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3.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01"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intlmonetaryfund-my.sharepoint.com/personal/tbenninger_imf_org/Documents/FARI/FARI simplified models/Published/"/>
    </mc:Choice>
  </mc:AlternateContent>
  <xr:revisionPtr revIDLastSave="43" documentId="8_{94969CCD-22A8-4490-9CB7-759D8A3105A8}" xr6:coauthVersionLast="47" xr6:coauthVersionMax="47" xr10:uidLastSave="{CE21F113-0753-4701-8816-B3D5D733355F}"/>
  <bookViews>
    <workbookView minimized="1" xWindow="1515" yWindow="1515" windowWidth="21600" windowHeight="11385" tabRatio="777" firstSheet="7" activeTab="7" xr2:uid="{00000000-000D-0000-FFFF-FFFF00000000}"/>
  </bookViews>
  <sheets>
    <sheet name="Terms" sheetId="3" r:id="rId1"/>
    <sheet name="ReadMe" sheetId="34" r:id="rId2"/>
    <sheet name="ModelMap" sheetId="24" r:id="rId3"/>
    <sheet name="Key" sheetId="13" r:id="rId4"/>
    <sheet name="Track" sheetId="35" r:id="rId5"/>
    <sheet name="Dashboard" sheetId="5" r:id="rId6"/>
    <sheet name="Inputs" sheetId="11" r:id="rId7"/>
    <sheet name="FiscalModel" sheetId="1" r:id="rId8"/>
    <sheet name="ProjectCashflows" sheetId="31" r:id="rId9"/>
    <sheet name="Analysis" sheetId="12" r:id="rId10"/>
    <sheet name="Charts" sheetId="7" r:id="rId11"/>
    <sheet name="Gold(2MMoz)" sheetId="33" r:id="rId12"/>
    <sheet name="IronOre(250MMt)" sheetId="36" r:id="rId13"/>
    <sheet name="Coal(250MMt)" sheetId="40" r:id="rId14"/>
    <sheet name="Translate" sheetId="41" r:id="rId15"/>
    <sheet name="NewSheet" sheetId="6" r:id="rId16"/>
  </sheets>
  <definedNames>
    <definedName name="_xlnm._FilterDatabase" localSheetId="9" hidden="1">Analysis!$C$1:$C$325</definedName>
    <definedName name="_xlnm._FilterDatabase" localSheetId="10" hidden="1">Charts!$A$1:$A$154</definedName>
    <definedName name="_xlnm._FilterDatabase" localSheetId="5" hidden="1">Dashboard!$C$1:$C$200</definedName>
    <definedName name="_xlnm._FilterDatabase" localSheetId="7" hidden="1">FiscalModel!$E$1:$E$807</definedName>
    <definedName name="_xlnm._FilterDatabase" localSheetId="11" hidden="1">'Gold(2MMoz)'!$B$1:$B$83</definedName>
    <definedName name="_xlnm._FilterDatabase" localSheetId="6" hidden="1">Inputs!$B$1:$B$102</definedName>
    <definedName name="_xlnm._FilterDatabase" localSheetId="12" hidden="1">'IronOre(250MMt)'!$B$1:$B$83</definedName>
    <definedName name="_xlnm._FilterDatabase" localSheetId="3" hidden="1">Key!$H$1:$H$79</definedName>
    <definedName name="_xlnm._FilterDatabase" localSheetId="8" hidden="1">ProjectCashflows!$E$1:$E$290</definedName>
    <definedName name="_xlnm._FilterDatabase" localSheetId="1" hidden="1">ReadMe!$B$1:$B$90</definedName>
    <definedName name="_xlnm._FilterDatabase" localSheetId="4" hidden="1">Track!$B$1:$B$104</definedName>
    <definedName name="_xlnm._FilterDatabase" localSheetId="14" hidden="1">Translate!$E$2:$Q$765</definedName>
    <definedName name="BEG_FISCAL_PARAMETERS">FiscalModel!$A$14</definedName>
    <definedName name="Breakeven1">Dashboard!$U$161</definedName>
    <definedName name="BreakevenMacroDifference">Dashboard!$T$166</definedName>
    <definedName name="BreakevenRegimeCount">Dashboard!$S$160</definedName>
    <definedName name="BreakevenResults">Dashboard!$T$162:$T$169</definedName>
    <definedName name="BreakevenResultsTable">Dashboard!$U$162:$Y$169</definedName>
    <definedName name="CBWorkbookPriority" hidden="1">-944898989</definedName>
    <definedName name="CHK_TOL">Inputs!$F$74</definedName>
    <definedName name="Dashboard">Dashboard!$A$1</definedName>
    <definedName name="END_FISCAL_PARAMETERS">FiscalModel!$A$68</definedName>
    <definedName name="HTML_CodePage" hidden="1">1252</definedName>
    <definedName name="HTML_Control" localSheetId="14" hidden="1">{"'web page'!$A$1:$G$48"}</definedName>
    <definedName name="HTML_Control" hidden="1">{"'web page'!$A$1:$G$48"}</definedName>
    <definedName name="HTML_Control_2" localSheetId="14" hidden="1">{"'web page'!$A$1:$G$48"}</definedName>
    <definedName name="HTML_Control_2" hidden="1">{"'web page'!$A$1:$G$48"}</definedName>
    <definedName name="HTML_Description" hidden="1">""</definedName>
    <definedName name="HTML_Email" hidden="1">""</definedName>
    <definedName name="HTML_Header" hidden="1">"Singapore"</definedName>
    <definedName name="HTML_LastUpdate" hidden="1">"31-Jan-98"</definedName>
    <definedName name="HTML_LineAfter" hidden="1">TRUE</definedName>
    <definedName name="HTML_LineBefore" hidden="1">TRUE</definedName>
    <definedName name="HTML_Name" hidden="1">"C R Laurent"</definedName>
    <definedName name="HTML_OBDlg2" hidden="1">TRUE</definedName>
    <definedName name="HTML_OBDlg3" hidden="1">TRUE</definedName>
    <definedName name="HTML_OBDlg4" hidden="1">TRUE</definedName>
    <definedName name="HTML_OS" hidden="1">0</definedName>
    <definedName name="HTML_PathFile" hidden="1">"C:\FrontPage Webs\Content\asiandem\sing96.htm"</definedName>
    <definedName name="HTML_PathTemplate" hidden="1">"C:\AsianDem\Database 98\Forecasts\HTMLTemp.htm"</definedName>
    <definedName name="HTML_Title" hidden="1">"Singapore 96 v2"</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Language_Selected">Dashboard!$C$5</definedName>
    <definedName name="Languages">Inputs!$F$90:$F$92</definedName>
    <definedName name="MineralPrice">Dashboard!$C$17</definedName>
    <definedName name="QuarterlyFis" localSheetId="13" hidden="1">#REF!</definedName>
    <definedName name="QuarterlyFis" localSheetId="11" hidden="1">#REF!</definedName>
    <definedName name="QuarterlyFis" localSheetId="12" hidden="1">#REF!</definedName>
    <definedName name="QuarterlyFis" localSheetId="4" hidden="1">#REF!</definedName>
    <definedName name="QuarterlyFis" hidden="1">#REF!</definedName>
    <definedName name="RegimeSelected">Dashboard!$C$6</definedName>
    <definedName name="RiskBeforeRecalcMacro" hidden="1">""</definedName>
    <definedName name="RiskBeforeSimMacro" hidden="1">"Before"</definedName>
    <definedName name="RiskCollectDistributionSamples" hidden="1">2</definedName>
    <definedName name="RiskMinimizeOnStart" hidden="1">FALSE</definedName>
    <definedName name="RiskMonitorConvergence" hidden="1">FALSE</definedName>
    <definedName name="RiskRunAfterRecalcMacro" hidden="1">FALSE</definedName>
    <definedName name="Rwvu.Print." hidden="1">#N/A</definedName>
    <definedName name="sdfa" localSheetId="14" hidden="1">{"'web page'!$A$1:$G$48"}</definedName>
    <definedName name="sdfa" hidden="1">{"'web page'!$A$1:$G$48"}</definedName>
    <definedName name="Translation_fiscal">FiscalModel!$E$7:$G$7</definedName>
    <definedName name="Translation_readme">ReadMe!$N$7:$P$7</definedName>
    <definedName name="translation1">Translate!$E$763</definedName>
    <definedName name="translation2">Translate!$E$764</definedName>
    <definedName name="translation3">Translate!$E$765</definedName>
    <definedName name="wrn.1998._.presentation._.Brief._.T2." localSheetId="14" hidden="1">{"BOP 1998",#N/A,FALSE,"BoPacc"}</definedName>
    <definedName name="wrn.1998._.presentation._.Brief._.T2." hidden="1">{"BOP 1998",#N/A,FALSE,"BoPacc"}</definedName>
    <definedName name="wrn.AE201." localSheetId="14" hidden="1">{#N/A,#N/A,FALSE,"Prod Nac GN";#N/A,#N/A,FALSE,"Prod Nac GN";#N/A,#N/A,FALSE,"Base Dados mil m3";#N/A,#N/A,FALSE,"Prod Ter Est 3D";#N/A,#N/A,FALSE,"Prod Ter 3D";#N/A,#N/A,FALSE,"Prod Mar 3D"}</definedName>
    <definedName name="wrn.AE201." hidden="1">{#N/A,#N/A,FALSE,"Prod Nac GN";#N/A,#N/A,FALSE,"Prod Nac GN";#N/A,#N/A,FALSE,"Base Dados mil m3";#N/A,#N/A,FALSE,"Prod Ter Est 3D";#N/A,#N/A,FALSE,"Prod Ter 3D";#N/A,#N/A,FALSE,"Prod Mar 3D"}</definedName>
    <definedName name="wrn.BoP._.med._.term._.present." localSheetId="14" hidden="1">{"BoP medium term",#N/A,FALSE,"BoPacc";"export breakdown",#N/A,FALSE,"oexp"}</definedName>
    <definedName name="wrn.BoP._.med._.term._.present." hidden="1">{"BoP medium term",#N/A,FALSE,"BoPacc";"export breakdown",#N/A,FALSE,"oexp"}</definedName>
    <definedName name="wrn.Medium._.term._.framework." localSheetId="14" hidden="1">{"sei table",#N/A,FALSE,"summary"}</definedName>
    <definedName name="wrn.Medium._.term._.framework." hidden="1">{"sei table",#N/A,FALSE,"summary"}</definedName>
    <definedName name="wrn.Medium._.term._.projections." localSheetId="14" hidden="1">{"BoP medium term",#N/A,FALSE,"BoPacc";"export breakdown",#N/A,FALSE,"oexp";"debt in US$",#N/A,FALSE,"debtUS$";"consis check",#N/A,FALSE,"dbomt"}</definedName>
    <definedName name="wrn.Medium._.term._.projections." hidden="1">{"BoP medium term",#N/A,FALSE,"BoPacc";"export breakdown",#N/A,FALSE,"oexp";"debt in US$",#N/A,FALSE,"debtUS$";"consis check",#N/A,FALSE,"dbomt"}</definedName>
    <definedName name="wvu.Print." localSheetId="14" hidden="1">{TRUE,TRUE,-0.5,-14.75,603,387,FALSE,TRUE,TRUE,TRUE,0,1,2,1,2,1,1,4,TRUE,TRUE,3,TRUE,1,TRUE,75,"Swvu.Print.","ACwvu.Print.",#N/A,FALSE,FALSE,1,0.75,0.6,0.5,1,"","",TRUE,FALSE,TRUE,FALSE,1,#N/A,1,1,#DIV/0!,FALSE,"Rwvu.Print.",#N/A,FALSE,FALSE,FALSE,1,65532,300,FALSE,FALSE,TRUE,TRUE,TRUE}</definedName>
    <definedName name="wvu.Print." hidden="1">{TRUE,TRUE,-0.5,-14.75,603,387,FALSE,TRUE,TRUE,TRUE,0,1,2,1,2,1,1,4,TRUE,TRUE,3,TRUE,1,TRUE,75,"Swvu.Print.","ACwvu.Print.",#N/A,FALSE,FALSE,1,0.75,0.6,0.5,1,"","",TRUE,FALSE,TRUE,FALSE,1,#N/A,1,1,#DIV/0!,FALSE,"Rwvu.Print.",#N/A,FALSE,FALSE,FALSE,1,65532,300,FALSE,FALSE,TRUE,TRUE,TRUE}</definedName>
  </definedNames>
  <calcPr calcId="191028" calcMode="autoNoTable"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99" i="1" l="1"/>
  <c r="J25" i="12"/>
  <c r="H25" i="12"/>
  <c r="F25" i="12"/>
  <c r="J637" i="1"/>
  <c r="H637" i="1"/>
  <c r="F637" i="1"/>
  <c r="J636" i="1"/>
  <c r="H636" i="1"/>
  <c r="F636" i="1"/>
  <c r="J785" i="1"/>
  <c r="H785" i="1"/>
  <c r="F785" i="1"/>
  <c r="J784" i="1"/>
  <c r="H784" i="1"/>
  <c r="F784" i="1"/>
  <c r="J742" i="1"/>
  <c r="H742" i="1"/>
  <c r="F742" i="1"/>
  <c r="J28" i="12"/>
  <c r="H28" i="12"/>
  <c r="F28" i="12"/>
  <c r="J708" i="1"/>
  <c r="H708" i="1"/>
  <c r="F708" i="1"/>
  <c r="J707" i="1"/>
  <c r="H707" i="1"/>
  <c r="F707" i="1"/>
  <c r="G695" i="1"/>
  <c r="J693" i="1"/>
  <c r="H693" i="1"/>
  <c r="F693" i="1"/>
  <c r="A1" i="3" l="1"/>
  <c r="A1" i="12"/>
  <c r="A1" i="31"/>
  <c r="A1" i="1"/>
  <c r="F100" i="35"/>
  <c r="G83" i="35"/>
  <c r="G82" i="35"/>
  <c r="G81" i="35"/>
  <c r="G80" i="35"/>
  <c r="G79" i="35"/>
  <c r="F79" i="35" a="1"/>
  <c r="F79" i="35" s="1"/>
  <c r="F72" i="35" a="1"/>
  <c r="F72" i="35" s="1"/>
  <c r="O2" i="41"/>
  <c r="N2" i="41"/>
  <c r="M2" i="41"/>
  <c r="L2" i="41"/>
  <c r="K2" i="41"/>
  <c r="H60" i="13"/>
  <c r="F81" i="35" l="1"/>
  <c r="F82" i="35"/>
  <c r="F80" i="35"/>
  <c r="F83" i="35"/>
  <c r="F75" i="35"/>
  <c r="F74" i="35"/>
  <c r="F73" i="35"/>
  <c r="F76" i="35"/>
  <c r="F51" i="11"/>
  <c r="F123" i="7" s="1"/>
  <c r="F89" i="11" l="1"/>
  <c r="F95" i="11" l="1"/>
  <c r="F2" i="41" s="1"/>
  <c r="E101" i="41" s="1" a="1"/>
  <c r="E101" i="41" s="1"/>
  <c r="A1" i="41"/>
  <c r="C11" i="24" s="1"/>
  <c r="B706" i="1" l="1"/>
  <c r="E709" i="1"/>
  <c r="E96" i="41" a="1"/>
  <c r="E96" i="41" s="1"/>
  <c r="E703" i="1" s="1"/>
  <c r="E708" i="1" s="1"/>
  <c r="E97" i="41" a="1"/>
  <c r="E97" i="41" s="1"/>
  <c r="E704" i="1" s="1"/>
  <c r="E95" i="41" a="1"/>
  <c r="E95" i="41" s="1"/>
  <c r="E701" i="1" s="1"/>
  <c r="E94" i="41" a="1"/>
  <c r="E94" i="41" s="1"/>
  <c r="E700" i="1" s="1"/>
  <c r="E37" i="41" a="1"/>
  <c r="E37" i="41" s="1"/>
  <c r="A690" i="1" s="1"/>
  <c r="E93" i="41" a="1"/>
  <c r="E93" i="41" s="1"/>
  <c r="B692" i="1" s="1"/>
  <c r="E98" i="41" a="1"/>
  <c r="E98" i="41" s="1"/>
  <c r="E300" i="41" a="1"/>
  <c r="E300" i="41" s="1"/>
  <c r="E765" i="41" a="1"/>
  <c r="E765" i="41" s="1"/>
  <c r="E764" i="41" a="1"/>
  <c r="E764" i="41" s="1"/>
  <c r="E763" i="41" a="1"/>
  <c r="E763" i="41" s="1"/>
  <c r="E723" i="41" a="1"/>
  <c r="E723" i="41" s="1"/>
  <c r="P14" i="35" s="1"/>
  <c r="E762" i="41" a="1"/>
  <c r="E762" i="41" s="1"/>
  <c r="D23" i="34" s="1"/>
  <c r="E761" i="41" a="1"/>
  <c r="E761" i="41" s="1"/>
  <c r="C23" i="34" s="1"/>
  <c r="E760" i="41" a="1"/>
  <c r="E760" i="41" s="1"/>
  <c r="D24" i="34" s="1"/>
  <c r="E50" i="41" a="1"/>
  <c r="E50" i="41" s="1"/>
  <c r="B61" i="1" s="1"/>
  <c r="E171" i="41" a="1"/>
  <c r="E171" i="41" s="1"/>
  <c r="E97" i="1" s="1"/>
  <c r="E104" i="41" a="1"/>
  <c r="E104" i="41" s="1"/>
  <c r="E192" i="41" a="1"/>
  <c r="E192" i="41" s="1"/>
  <c r="E233" i="1" s="1"/>
  <c r="E412" i="41" a="1"/>
  <c r="E412" i="41" s="1"/>
  <c r="E129" i="31" s="1"/>
  <c r="E105" i="41" a="1"/>
  <c r="E105" i="41" s="1"/>
  <c r="E51" i="41" a="1"/>
  <c r="E51" i="41" s="1"/>
  <c r="E85" i="41" a="1"/>
  <c r="E85" i="41" s="1"/>
  <c r="E107" i="41" a="1"/>
  <c r="E107" i="41" s="1"/>
  <c r="C379" i="1" s="1"/>
  <c r="E219" i="41" a="1"/>
  <c r="E219" i="41" s="1"/>
  <c r="E407" i="1" s="1"/>
  <c r="E217" i="41" a="1"/>
  <c r="E217" i="41" s="1"/>
  <c r="E164" i="41" a="1"/>
  <c r="E164" i="41" s="1"/>
  <c r="E65" i="1" s="1"/>
  <c r="E254" i="41" a="1"/>
  <c r="E254" i="41" s="1"/>
  <c r="E510" i="41" a="1"/>
  <c r="E510" i="41" s="1"/>
  <c r="E83" i="41" a="1"/>
  <c r="E83" i="41" s="1"/>
  <c r="E271" i="41" a="1"/>
  <c r="E271" i="41" s="1"/>
  <c r="E117" i="41" a="1"/>
  <c r="E117" i="41" s="1"/>
  <c r="C642" i="1" s="1"/>
  <c r="E247" i="41" a="1"/>
  <c r="E247" i="41" s="1"/>
  <c r="E141" i="41" a="1"/>
  <c r="E141" i="41" s="1"/>
  <c r="E34" i="41" a="1"/>
  <c r="E34" i="41" s="1"/>
  <c r="A591" i="1" s="1"/>
  <c r="E39" i="41" a="1"/>
  <c r="E39" i="41" s="1"/>
  <c r="A4" i="7" s="1"/>
  <c r="E57" i="41" a="1"/>
  <c r="E57" i="41" s="1"/>
  <c r="E55" i="41" a="1"/>
  <c r="E55" i="41" s="1"/>
  <c r="E60" i="41" a="1"/>
  <c r="E60" i="41" s="1"/>
  <c r="E267" i="41" a="1"/>
  <c r="E267" i="41" s="1"/>
  <c r="E187" i="41" a="1"/>
  <c r="E187" i="41" s="1"/>
  <c r="E208" i="1" s="1"/>
  <c r="E179" i="41" a="1"/>
  <c r="E179" i="41" s="1"/>
  <c r="E134" i="41" a="1"/>
  <c r="E134" i="41" s="1"/>
  <c r="E26" i="1" s="1"/>
  <c r="E143" i="41" a="1"/>
  <c r="E143" i="41" s="1"/>
  <c r="E512" i="41" a="1"/>
  <c r="E512" i="41" s="1"/>
  <c r="E89" i="41" a="1"/>
  <c r="E89" i="41" s="1"/>
  <c r="E415" i="41" a="1"/>
  <c r="E415" i="41" s="1"/>
  <c r="E100" i="41" a="1"/>
  <c r="E100" i="41" s="1"/>
  <c r="B683" i="1" s="1"/>
  <c r="E159" i="41" a="1"/>
  <c r="E159" i="41" s="1"/>
  <c r="E59" i="1" s="1"/>
  <c r="E149" i="41" a="1"/>
  <c r="E149" i="41" s="1"/>
  <c r="E153" i="41" a="1"/>
  <c r="E153" i="41" s="1"/>
  <c r="E190" i="41" a="1"/>
  <c r="E190" i="41" s="1"/>
  <c r="E532" i="41" a="1"/>
  <c r="E532" i="41" s="1"/>
  <c r="E24" i="41" a="1"/>
  <c r="E24" i="41" s="1"/>
  <c r="E161" i="41" a="1"/>
  <c r="E161" i="41" s="1"/>
  <c r="E23" i="41" a="1"/>
  <c r="E23" i="41" s="1"/>
  <c r="A70" i="1" s="1"/>
  <c r="E58" i="41" a="1"/>
  <c r="E58" i="41" s="1"/>
  <c r="B155" i="1" s="1"/>
  <c r="E38" i="41" a="1"/>
  <c r="E38" i="41" s="1"/>
  <c r="E114" i="41" a="1"/>
  <c r="E114" i="41" s="1"/>
  <c r="C547" i="1" s="1"/>
  <c r="E27" i="41" a="1"/>
  <c r="E27" i="41" s="1"/>
  <c r="A255" i="1" s="1"/>
  <c r="E29" i="41" a="1"/>
  <c r="E29" i="41" s="1"/>
  <c r="A351" i="1" s="1"/>
  <c r="E69" i="41" a="1"/>
  <c r="E69" i="41" s="1"/>
  <c r="E73" i="41" a="1"/>
  <c r="E73" i="41" s="1"/>
  <c r="B363" i="1" s="1"/>
  <c r="E90" i="41" a="1"/>
  <c r="E90" i="41" s="1"/>
  <c r="B616" i="1" s="1"/>
  <c r="E198" i="41" a="1"/>
  <c r="E198" i="41" s="1"/>
  <c r="E294" i="1" s="1"/>
  <c r="E123" i="41" a="1"/>
  <c r="E123" i="41" s="1"/>
  <c r="E272" i="41" a="1"/>
  <c r="E272" i="41" s="1"/>
  <c r="E721" i="1" s="1"/>
  <c r="E276" i="41" a="1"/>
  <c r="E276" i="41" s="1"/>
  <c r="E132" i="41" a="1"/>
  <c r="E132" i="41" s="1"/>
  <c r="E538" i="41" a="1"/>
  <c r="E538" i="41" s="1"/>
  <c r="E48" i="41" a="1"/>
  <c r="E48" i="41" s="1"/>
  <c r="E216" i="41" a="1"/>
  <c r="E216" i="41" s="1"/>
  <c r="E394" i="1" s="1"/>
  <c r="E116" i="41" a="1"/>
  <c r="E116" i="41" s="1"/>
  <c r="C579" i="1" s="1"/>
  <c r="E245" i="41" a="1"/>
  <c r="E245" i="41" s="1"/>
  <c r="E576" i="1" s="1"/>
  <c r="E86" i="41" a="1"/>
  <c r="E86" i="41" s="1"/>
  <c r="B526" i="1" s="1"/>
  <c r="E40" i="41" a="1"/>
  <c r="E40" i="41" s="1"/>
  <c r="E70" i="41" a="1"/>
  <c r="E70" i="41" s="1"/>
  <c r="E81" i="41" a="1"/>
  <c r="E81" i="41" s="1"/>
  <c r="E54" i="41" a="1"/>
  <c r="E54" i="41" s="1"/>
  <c r="E59" i="41" a="1"/>
  <c r="E59" i="41" s="1"/>
  <c r="B169" i="1" s="1"/>
  <c r="E160" i="41" a="1"/>
  <c r="E160" i="41" s="1"/>
  <c r="E60" i="1" s="1"/>
  <c r="E145" i="41" a="1"/>
  <c r="E145" i="41" s="1"/>
  <c r="E136" i="41" a="1"/>
  <c r="E136" i="41" s="1"/>
  <c r="E28" i="1" s="1"/>
  <c r="E236" i="41" a="1"/>
  <c r="E236" i="41" s="1"/>
  <c r="E517" i="1" s="1"/>
  <c r="E367" i="41" a="1"/>
  <c r="E367" i="41" s="1"/>
  <c r="E337" i="41" a="1"/>
  <c r="E337" i="41" s="1"/>
  <c r="E233" i="41" a="1"/>
  <c r="E233" i="41" s="1"/>
  <c r="E25" i="41" a="1"/>
  <c r="E25" i="41" s="1"/>
  <c r="A138" i="1" s="1"/>
  <c r="E76" i="41" a="1"/>
  <c r="E76" i="41" s="1"/>
  <c r="B403" i="1" s="1"/>
  <c r="E62" i="41" a="1"/>
  <c r="E62" i="41" s="1"/>
  <c r="B189" i="1" s="1"/>
  <c r="E115" i="41" a="1"/>
  <c r="E115" i="41" s="1"/>
  <c r="C552" i="1" s="1"/>
  <c r="E102" i="41" a="1"/>
  <c r="E102" i="41" s="1"/>
  <c r="E130" i="41" a="1"/>
  <c r="E130" i="41" s="1"/>
  <c r="E180" i="41" a="1"/>
  <c r="E180" i="41" s="1"/>
  <c r="E244" i="41" a="1"/>
  <c r="E244" i="41" s="1"/>
  <c r="E207" i="41" a="1"/>
  <c r="E207" i="41" s="1"/>
  <c r="E325" i="1" s="1"/>
  <c r="E693" i="1" s="1"/>
  <c r="E432" i="41" a="1"/>
  <c r="E432" i="41" s="1"/>
  <c r="E282" i="31" s="1"/>
  <c r="E465" i="41" a="1"/>
  <c r="E465" i="41" s="1"/>
  <c r="E262" i="41" a="1"/>
  <c r="E262" i="41" s="1"/>
  <c r="E376" i="41" a="1"/>
  <c r="E376" i="41" s="1"/>
  <c r="E371" i="41" a="1"/>
  <c r="E371" i="41" s="1"/>
  <c r="E433" i="41" a="1"/>
  <c r="E433" i="41" s="1"/>
  <c r="E575" i="41" a="1"/>
  <c r="E575" i="41" s="1"/>
  <c r="E450" i="41" a="1"/>
  <c r="E450" i="41" s="1"/>
  <c r="B124" i="5" s="1"/>
  <c r="E622" i="41" a="1"/>
  <c r="E622" i="41" s="1"/>
  <c r="G45" i="31" s="1"/>
  <c r="E241" i="41" a="1"/>
  <c r="E241" i="41" s="1"/>
  <c r="E235" i="41" a="1"/>
  <c r="E235" i="41" s="1"/>
  <c r="E411" i="41" a="1"/>
  <c r="E411" i="41" s="1"/>
  <c r="E380" i="41" a="1"/>
  <c r="E380" i="41" s="1"/>
  <c r="E487" i="41" a="1"/>
  <c r="E487" i="41" s="1"/>
  <c r="E6" i="41" a="1"/>
  <c r="E6" i="41" s="1"/>
  <c r="E291" i="41" a="1"/>
  <c r="E291" i="41" s="1"/>
  <c r="H34" i="1" s="1"/>
  <c r="E673" i="41" a="1"/>
  <c r="E673" i="41" s="1"/>
  <c r="E555" i="41" a="1"/>
  <c r="E555" i="41" s="1"/>
  <c r="E326" i="41" a="1"/>
  <c r="E326" i="41" s="1"/>
  <c r="D37" i="13" s="1"/>
  <c r="E683" i="41" a="1"/>
  <c r="E683" i="41" s="1"/>
  <c r="E370" i="41" a="1"/>
  <c r="E370" i="41" s="1"/>
  <c r="E407" i="41" a="1"/>
  <c r="E407" i="41" s="1"/>
  <c r="E539" i="41" a="1"/>
  <c r="E539" i="41" s="1"/>
  <c r="E543" i="41" a="1"/>
  <c r="E543" i="41" s="1"/>
  <c r="E292" i="41" a="1"/>
  <c r="E292" i="41" s="1"/>
  <c r="H37" i="1" s="1"/>
  <c r="E594" i="41" a="1"/>
  <c r="E594" i="41" s="1"/>
  <c r="E550" i="41" a="1"/>
  <c r="E550" i="41" s="1"/>
  <c r="E551" i="41" a="1"/>
  <c r="E551" i="41" s="1"/>
  <c r="E536" i="41" a="1"/>
  <c r="E536" i="41" s="1"/>
  <c r="E751" i="41" a="1"/>
  <c r="E751" i="41" s="1"/>
  <c r="E746" i="41" a="1"/>
  <c r="E746" i="41" s="1"/>
  <c r="N8" i="34" s="1"/>
  <c r="E741" i="41" a="1"/>
  <c r="E741" i="41" s="1"/>
  <c r="M3" i="24" s="1"/>
  <c r="E692" i="41" a="1"/>
  <c r="E692" i="41" s="1"/>
  <c r="E342" i="41" a="1"/>
  <c r="E342" i="41" s="1"/>
  <c r="E730" i="41" a="1"/>
  <c r="E730" i="41" s="1"/>
  <c r="G31" i="1" s="1"/>
  <c r="E726" i="41" a="1"/>
  <c r="E726" i="41" s="1"/>
  <c r="E702" i="41" a="1"/>
  <c r="E702" i="41" s="1"/>
  <c r="E716" i="41" a="1"/>
  <c r="E716" i="41" s="1"/>
  <c r="E698" i="41" a="1"/>
  <c r="E698" i="41" s="1"/>
  <c r="C34" i="34" s="1"/>
  <c r="E678" i="41" a="1"/>
  <c r="E678" i="41" s="1"/>
  <c r="E652" i="41" a="1"/>
  <c r="E652" i="41" s="1"/>
  <c r="E656" i="41" a="1"/>
  <c r="E656" i="41" s="1"/>
  <c r="E667" i="41" a="1"/>
  <c r="E667" i="41" s="1"/>
  <c r="E674" i="41" a="1"/>
  <c r="E674" i="41" s="1"/>
  <c r="E665" i="41" a="1"/>
  <c r="E665" i="41" s="1"/>
  <c r="E628" i="41" a="1"/>
  <c r="E628" i="41" s="1"/>
  <c r="E633" i="41" a="1"/>
  <c r="E633" i="41" s="1"/>
  <c r="E612" i="41" a="1"/>
  <c r="E612" i="41" s="1"/>
  <c r="G10" i="1" s="1"/>
  <c r="E607" i="41" a="1"/>
  <c r="E607" i="41" s="1"/>
  <c r="E603" i="41" a="1"/>
  <c r="E603" i="41" s="1"/>
  <c r="B38" i="33" s="1"/>
  <c r="E591" i="41" a="1"/>
  <c r="E591" i="41" s="1"/>
  <c r="B6" i="1" s="1"/>
  <c r="E26" i="41" a="1"/>
  <c r="E26" i="41" s="1"/>
  <c r="E361" i="41" a="1"/>
  <c r="E361" i="41" s="1"/>
  <c r="E473" i="41" a="1"/>
  <c r="E473" i="41" s="1"/>
  <c r="E356" i="41" a="1"/>
  <c r="E356" i="41" s="1"/>
  <c r="E13" i="41" a="1"/>
  <c r="E13" i="41" s="1"/>
  <c r="E439" i="41" a="1"/>
  <c r="E439" i="41" s="1"/>
  <c r="E346" i="41" a="1"/>
  <c r="E346" i="41" s="1"/>
  <c r="D64" i="13" s="1"/>
  <c r="E333" i="41" a="1"/>
  <c r="E333" i="41" s="1"/>
  <c r="E348" i="41" a="1"/>
  <c r="E348" i="41" s="1"/>
  <c r="E321" i="41" a="1"/>
  <c r="E321" i="41" s="1"/>
  <c r="E293" i="41" a="1"/>
  <c r="E293" i="41" s="1"/>
  <c r="E305" i="41" a="1"/>
  <c r="E305" i="41" s="1"/>
  <c r="E295" i="41" a="1"/>
  <c r="E295" i="41" s="1"/>
  <c r="E299" i="41" a="1"/>
  <c r="E299" i="41" s="1"/>
  <c r="E470" i="41" a="1"/>
  <c r="E470" i="41" s="1"/>
  <c r="E467" i="41" a="1"/>
  <c r="E467" i="41" s="1"/>
  <c r="E448" i="41" a="1"/>
  <c r="E448" i="41" s="1"/>
  <c r="A69" i="35" s="1"/>
  <c r="E572" i="41" a="1"/>
  <c r="E572" i="41" s="1"/>
  <c r="E518" i="41" a="1"/>
  <c r="E518" i="41" s="1"/>
  <c r="E548" i="41" a="1"/>
  <c r="E548" i="41" s="1"/>
  <c r="E526" i="41" a="1"/>
  <c r="E526" i="41" s="1"/>
  <c r="R149" i="5" s="1"/>
  <c r="E544" i="41" a="1"/>
  <c r="E544" i="41" s="1"/>
  <c r="E75" i="11" s="1"/>
  <c r="E573" i="41" a="1"/>
  <c r="E573" i="41" s="1"/>
  <c r="E534" i="41" a="1"/>
  <c r="E534" i="41" s="1"/>
  <c r="E527" i="41" a="1"/>
  <c r="E527" i="41" s="1"/>
  <c r="E574" i="41" a="1"/>
  <c r="E574" i="41" s="1"/>
  <c r="E569" i="41" a="1"/>
  <c r="E569" i="41" s="1"/>
  <c r="E546" i="41" a="1"/>
  <c r="E546" i="41" s="1"/>
  <c r="E579" i="41" a="1"/>
  <c r="E579" i="41" s="1"/>
  <c r="B32" i="11" s="1"/>
  <c r="E522" i="41" a="1"/>
  <c r="E522" i="41" s="1"/>
  <c r="E523" i="41" a="1"/>
  <c r="E523" i="41" s="1"/>
  <c r="R138" i="5" s="1"/>
  <c r="E509" i="41" a="1"/>
  <c r="E509" i="41" s="1"/>
  <c r="E511" i="41" a="1"/>
  <c r="E511" i="41" s="1"/>
  <c r="E515" i="41" a="1"/>
  <c r="E515" i="41" s="1"/>
  <c r="E12" i="41" a="1"/>
  <c r="E12" i="41" s="1"/>
  <c r="E417" i="41" a="1"/>
  <c r="E417" i="41" s="1"/>
  <c r="E373" i="41" a="1"/>
  <c r="E373" i="41" s="1"/>
  <c r="A269" i="31" s="1"/>
  <c r="E398" i="41" a="1"/>
  <c r="E398" i="41" s="1"/>
  <c r="E18" i="40" s="1"/>
  <c r="E418" i="41" a="1"/>
  <c r="E418" i="41" s="1"/>
  <c r="E186" i="31" s="1"/>
  <c r="E483" i="41" a="1"/>
  <c r="E483" i="41" s="1"/>
  <c r="E503" i="41" a="1"/>
  <c r="E503" i="41" s="1"/>
  <c r="E369" i="41" a="1"/>
  <c r="E369" i="41" s="1"/>
  <c r="E414" i="41" a="1"/>
  <c r="E414" i="41" s="1"/>
  <c r="E133" i="31" s="1"/>
  <c r="E379" i="41" a="1"/>
  <c r="E379" i="41" s="1"/>
  <c r="E400" i="41" a="1"/>
  <c r="E400" i="41" s="1"/>
  <c r="E20" i="36" s="1"/>
  <c r="E419" i="41" a="1"/>
  <c r="E419" i="41" s="1"/>
  <c r="E484" i="41" a="1"/>
  <c r="E484" i="41" s="1"/>
  <c r="B7" i="5" s="1"/>
  <c r="E384" i="41" a="1"/>
  <c r="E384" i="41" s="1"/>
  <c r="E420" i="41" a="1"/>
  <c r="E420" i="41" s="1"/>
  <c r="E385" i="41" a="1"/>
  <c r="E385" i="41" s="1"/>
  <c r="E401" i="41" a="1"/>
  <c r="E401" i="41" s="1"/>
  <c r="E27" i="40" s="1"/>
  <c r="E17" i="41" a="1"/>
  <c r="E17" i="41" s="1"/>
  <c r="E496" i="41" a="1"/>
  <c r="E496" i="41" s="1"/>
  <c r="E375" i="41" a="1"/>
  <c r="E375" i="41" s="1"/>
  <c r="E14" i="41" a="1"/>
  <c r="E14" i="41" s="1"/>
  <c r="E422" i="41" a="1"/>
  <c r="E422" i="41" s="1"/>
  <c r="E501" i="41" a="1"/>
  <c r="E501" i="41" s="1"/>
  <c r="E382" i="41" a="1"/>
  <c r="E382" i="41" s="1"/>
  <c r="E497" i="41" a="1"/>
  <c r="E497" i="41" s="1"/>
  <c r="B123" i="5" s="1"/>
  <c r="E140" i="41" a="1"/>
  <c r="E140" i="41" s="1"/>
  <c r="E170" i="41" a="1"/>
  <c r="E170" i="41" s="1"/>
  <c r="E92" i="1" s="1"/>
  <c r="E759" i="41" a="1"/>
  <c r="E759" i="41" s="1"/>
  <c r="E754" i="41" a="1"/>
  <c r="E754" i="41" s="1"/>
  <c r="E745" i="41" a="1"/>
  <c r="E745" i="41" s="1"/>
  <c r="N4" i="34" s="1"/>
  <c r="E735" i="41" a="1"/>
  <c r="E735" i="41" s="1"/>
  <c r="E689" i="41" a="1"/>
  <c r="E689" i="41" s="1"/>
  <c r="E335" i="41" a="1"/>
  <c r="E335" i="41" s="1"/>
  <c r="E45" i="41" a="1"/>
  <c r="E45" i="41" s="1"/>
  <c r="E747" i="41" a="1"/>
  <c r="E747" i="41" s="1"/>
  <c r="E737" i="41" a="1"/>
  <c r="E737" i="41" s="1"/>
  <c r="E736" i="41" a="1"/>
  <c r="E736" i="41" s="1"/>
  <c r="E688" i="41" a="1"/>
  <c r="E688" i="41" s="1"/>
  <c r="E455" i="41" a="1"/>
  <c r="E455" i="41" s="1"/>
  <c r="E722" i="41" a="1"/>
  <c r="E722" i="41" s="1"/>
  <c r="E717" i="41" a="1"/>
  <c r="E717" i="41" s="1"/>
  <c r="E719" i="41" a="1"/>
  <c r="E719" i="41" s="1"/>
  <c r="E708" i="41" a="1"/>
  <c r="E708" i="41" s="1"/>
  <c r="E687" i="41" a="1"/>
  <c r="E687" i="41" s="1"/>
  <c r="E679" i="41" a="1"/>
  <c r="E679" i="41" s="1"/>
  <c r="E662" i="41" a="1"/>
  <c r="E662" i="41" s="1"/>
  <c r="E642" i="41" a="1"/>
  <c r="E642" i="41" s="1"/>
  <c r="E669" i="41" a="1"/>
  <c r="E669" i="41" s="1"/>
  <c r="E648" i="41" a="1"/>
  <c r="E648" i="41" s="1"/>
  <c r="E659" i="41" a="1"/>
  <c r="E659" i="41" s="1"/>
  <c r="E634" i="41" a="1"/>
  <c r="E634" i="41" s="1"/>
  <c r="E623" i="41" a="1"/>
  <c r="E623" i="41" s="1"/>
  <c r="E613" i="41" a="1"/>
  <c r="E613" i="41" s="1"/>
  <c r="E98" i="35" s="1"/>
  <c r="E609" i="41" a="1"/>
  <c r="E609" i="41" s="1"/>
  <c r="E600" i="41" a="1"/>
  <c r="E600" i="41" s="1"/>
  <c r="E596" i="41" a="1"/>
  <c r="E596" i="41" s="1"/>
  <c r="E586" i="41" a="1"/>
  <c r="E586" i="41" s="1"/>
  <c r="G194" i="1" s="1"/>
  <c r="E365" i="41" a="1"/>
  <c r="E365" i="41" s="1"/>
  <c r="E476" i="41" a="1"/>
  <c r="E476" i="41" s="1"/>
  <c r="E462" i="41" a="1"/>
  <c r="E462" i="41" s="1"/>
  <c r="E354" i="41" a="1"/>
  <c r="E354" i="41" s="1"/>
  <c r="K8" i="33" s="1"/>
  <c r="E443" i="41" a="1"/>
  <c r="E443" i="41" s="1"/>
  <c r="E323" i="41" a="1"/>
  <c r="E323" i="41" s="1"/>
  <c r="E343" i="41" a="1"/>
  <c r="E343" i="41" s="1"/>
  <c r="E319" i="41" a="1"/>
  <c r="E319" i="41" s="1"/>
  <c r="E328" i="41" a="1"/>
  <c r="E328" i="41" s="1"/>
  <c r="E330" i="41" a="1"/>
  <c r="E330" i="41" s="1"/>
  <c r="E290" i="41" a="1"/>
  <c r="E290" i="41" s="1"/>
  <c r="E303" i="41" a="1"/>
  <c r="E303" i="41" s="1"/>
  <c r="H204" i="1" s="1"/>
  <c r="E283" i="41" a="1"/>
  <c r="E283" i="41" s="1"/>
  <c r="E311" i="41" a="1"/>
  <c r="E311" i="41" s="1"/>
  <c r="E471" i="41" a="1"/>
  <c r="E471" i="41" s="1"/>
  <c r="E458" i="41" a="1"/>
  <c r="E458" i="41" s="1"/>
  <c r="E547" i="41" a="1"/>
  <c r="E547" i="41" s="1"/>
  <c r="E570" i="41" a="1"/>
  <c r="E570" i="41" s="1"/>
  <c r="E529" i="41" a="1"/>
  <c r="E529" i="41" s="1"/>
  <c r="E3" i="41" a="1"/>
  <c r="E3" i="41" s="1"/>
  <c r="E531" i="41" a="1"/>
  <c r="E531" i="41" s="1"/>
  <c r="E561" i="41" a="1"/>
  <c r="E561" i="41" s="1"/>
  <c r="E521" i="41" a="1"/>
  <c r="E521" i="41" s="1"/>
  <c r="E541" i="41" a="1"/>
  <c r="E541" i="41" s="1"/>
  <c r="E549" i="41" a="1"/>
  <c r="E549" i="41" s="1"/>
  <c r="E554" i="41" a="1"/>
  <c r="E554" i="41" s="1"/>
  <c r="F2" i="7" s="1"/>
  <c r="E520" i="41" a="1"/>
  <c r="E520" i="41" s="1"/>
  <c r="E562" i="41" a="1"/>
  <c r="E562" i="41" s="1"/>
  <c r="F542" i="1" s="1"/>
  <c r="E553" i="41" a="1"/>
  <c r="E553" i="41" s="1"/>
  <c r="E558" i="41" a="1"/>
  <c r="E558" i="41" s="1"/>
  <c r="E542" i="41" a="1"/>
  <c r="E542" i="41" s="1"/>
  <c r="E504" i="41" a="1"/>
  <c r="E504" i="41" s="1"/>
  <c r="E23" i="11" s="1"/>
  <c r="E505" i="41" a="1"/>
  <c r="E505" i="41" s="1"/>
  <c r="E516" i="41" a="1"/>
  <c r="E516" i="41" s="1"/>
  <c r="E403" i="41" a="1"/>
  <c r="E403" i="41" s="1"/>
  <c r="E482" i="41" a="1"/>
  <c r="E482" i="41" s="1"/>
  <c r="B5" i="5" s="1"/>
  <c r="E89" i="11" s="1"/>
  <c r="E11" i="41" a="1"/>
  <c r="E11" i="41" s="1"/>
  <c r="E408" i="41" a="1"/>
  <c r="E408" i="41" s="1"/>
  <c r="E15" i="41" a="1"/>
  <c r="E15" i="41" s="1"/>
  <c r="E493" i="41" a="1"/>
  <c r="E493" i="41" s="1"/>
  <c r="E378" i="41" a="1"/>
  <c r="E378" i="41" s="1"/>
  <c r="E399" i="41" a="1"/>
  <c r="E399" i="41" s="1"/>
  <c r="E19" i="33" s="1"/>
  <c r="E494" i="41" a="1"/>
  <c r="E494" i="41" s="1"/>
  <c r="B22" i="5" s="1"/>
  <c r="E386" i="41" a="1"/>
  <c r="E386" i="41" s="1"/>
  <c r="B198" i="31" s="1"/>
  <c r="E410" i="41" a="1"/>
  <c r="E410" i="41" s="1"/>
  <c r="E430" i="41" a="1"/>
  <c r="E430" i="41" s="1"/>
  <c r="E495" i="41" a="1"/>
  <c r="E495" i="41" s="1"/>
  <c r="E387" i="41" a="1"/>
  <c r="E387" i="41" s="1"/>
  <c r="E490" i="41" a="1"/>
  <c r="E490" i="41" s="1"/>
  <c r="E390" i="41" a="1"/>
  <c r="E390" i="41" s="1"/>
  <c r="E425" i="41" a="1"/>
  <c r="E425" i="41" s="1"/>
  <c r="E485" i="41" a="1"/>
  <c r="E485" i="41" s="1"/>
  <c r="B11" i="5" s="1"/>
  <c r="E502" i="41" a="1"/>
  <c r="E502" i="41" s="1"/>
  <c r="E397" i="41" a="1"/>
  <c r="E397" i="41" s="1"/>
  <c r="E402" i="41" a="1"/>
  <c r="E402" i="41" s="1"/>
  <c r="E435" i="41" a="1"/>
  <c r="E435" i="41" s="1"/>
  <c r="E204" i="12" s="1"/>
  <c r="E372" i="41" a="1"/>
  <c r="E372" i="41" s="1"/>
  <c r="E391" i="41" a="1"/>
  <c r="E391" i="41" s="1"/>
  <c r="E124" i="41" a="1"/>
  <c r="E124" i="41" s="1"/>
  <c r="E154" i="41" a="1"/>
  <c r="E154" i="41" s="1"/>
  <c r="E183" i="41" a="1"/>
  <c r="E183" i="41" s="1"/>
  <c r="E757" i="41" a="1"/>
  <c r="E757" i="41" s="1"/>
  <c r="E350" i="41" a="1"/>
  <c r="E350" i="41" s="1"/>
  <c r="E727" i="41" a="1"/>
  <c r="E727" i="41" s="1"/>
  <c r="E705" i="41" a="1"/>
  <c r="E705" i="41" s="1"/>
  <c r="E685" i="41" a="1"/>
  <c r="E685" i="41" s="1"/>
  <c r="E641" i="41" a="1"/>
  <c r="E641" i="41" s="1"/>
  <c r="E647" i="41" a="1"/>
  <c r="E647" i="41" s="1"/>
  <c r="E635" i="41" a="1"/>
  <c r="E635" i="41" s="1"/>
  <c r="E617" i="41" a="1"/>
  <c r="E617" i="41" s="1"/>
  <c r="E606" i="41" a="1"/>
  <c r="E606" i="41" s="1"/>
  <c r="E588" i="41" a="1"/>
  <c r="E588" i="41" s="1"/>
  <c r="G19" i="11" s="1"/>
  <c r="E474" i="41" a="1"/>
  <c r="E474" i="41" s="1"/>
  <c r="E357" i="41" a="1"/>
  <c r="E357" i="41" s="1"/>
  <c r="E437" i="41" a="1"/>
  <c r="E437" i="41" s="1"/>
  <c r="E345" i="41" a="1"/>
  <c r="E345" i="41" s="1"/>
  <c r="D63" i="13" s="1"/>
  <c r="E329" i="41" a="1"/>
  <c r="E329" i="41" s="1"/>
  <c r="E280" i="41" a="1"/>
  <c r="E280" i="41" s="1"/>
  <c r="E284" i="41" a="1"/>
  <c r="E284" i="41" s="1"/>
  <c r="E468" i="41" a="1"/>
  <c r="E468" i="41" s="1"/>
  <c r="E577" i="41" a="1"/>
  <c r="E577" i="41" s="1"/>
  <c r="E556" i="41" a="1"/>
  <c r="E556" i="41" s="1"/>
  <c r="E5" i="41" a="1"/>
  <c r="E5" i="41" s="1"/>
  <c r="E563" i="41" a="1"/>
  <c r="E563" i="41" s="1"/>
  <c r="F543" i="1" s="1"/>
  <c r="E540" i="41" a="1"/>
  <c r="E540" i="41" s="1"/>
  <c r="E552" i="41" a="1"/>
  <c r="E552" i="41" s="1"/>
  <c r="E533" i="41" a="1"/>
  <c r="E533" i="41" s="1"/>
  <c r="E508" i="41" a="1"/>
  <c r="E508" i="41" s="1"/>
  <c r="F11" i="5" s="1"/>
  <c r="E506" i="41" a="1"/>
  <c r="E506" i="41" s="1"/>
  <c r="E428" i="41" a="1"/>
  <c r="E428" i="41" s="1"/>
  <c r="E404" i="41" a="1"/>
  <c r="E404" i="41" s="1"/>
  <c r="E48" i="31" s="1"/>
  <c r="E488" i="41" a="1"/>
  <c r="E488" i="41" s="1"/>
  <c r="B14" i="5" s="1"/>
  <c r="E393" i="41" a="1"/>
  <c r="E393" i="41" s="1"/>
  <c r="E406" i="41" a="1"/>
  <c r="E406" i="41" s="1"/>
  <c r="E424" i="41" a="1"/>
  <c r="E424" i="41" s="1"/>
  <c r="E492" i="41" a="1"/>
  <c r="E492" i="41" s="1"/>
  <c r="E388" i="41" a="1"/>
  <c r="E388" i="41" s="1"/>
  <c r="E434" i="41" a="1"/>
  <c r="E434" i="41" s="1"/>
  <c r="E381" i="41" a="1"/>
  <c r="E381" i="41" s="1"/>
  <c r="E426" i="41" a="1"/>
  <c r="E426" i="41" s="1"/>
  <c r="E389" i="41" a="1"/>
  <c r="E389" i="41" s="1"/>
  <c r="E146" i="41" a="1"/>
  <c r="E146" i="41" s="1"/>
  <c r="E200" i="41" a="1"/>
  <c r="E200" i="41" s="1"/>
  <c r="E242" i="41" a="1"/>
  <c r="E242" i="41" s="1"/>
  <c r="E275" i="41" a="1"/>
  <c r="E275" i="41" s="1"/>
  <c r="E166" i="41" a="1"/>
  <c r="E166" i="41" s="1"/>
  <c r="E278" i="41" a="1"/>
  <c r="E278" i="41" s="1"/>
  <c r="E274" i="41" a="1"/>
  <c r="E274" i="41" s="1"/>
  <c r="E727" i="1" s="1"/>
  <c r="E147" i="41" a="1"/>
  <c r="E147" i="41" s="1"/>
  <c r="E184" i="41" a="1"/>
  <c r="E184" i="41" s="1"/>
  <c r="E215" i="41" a="1"/>
  <c r="E215" i="41" s="1"/>
  <c r="E243" i="41" a="1"/>
  <c r="E243" i="41" s="1"/>
  <c r="E150" i="41" a="1"/>
  <c r="E150" i="41" s="1"/>
  <c r="E213" i="41" a="1"/>
  <c r="E213" i="41" s="1"/>
  <c r="E142" i="41" a="1"/>
  <c r="E142" i="41" s="1"/>
  <c r="E172" i="41" a="1"/>
  <c r="E172" i="41" s="1"/>
  <c r="E103" i="1" s="1"/>
  <c r="E194" i="41" a="1"/>
  <c r="E194" i="41" s="1"/>
  <c r="E223" i="41" a="1"/>
  <c r="E223" i="41" s="1"/>
  <c r="E252" i="41" a="1"/>
  <c r="E252" i="41" s="1"/>
  <c r="E174" i="41" a="1"/>
  <c r="E174" i="41" s="1"/>
  <c r="E139" i="41" a="1"/>
  <c r="E139" i="41" s="1"/>
  <c r="E157" i="41" a="1"/>
  <c r="E157" i="41" s="1"/>
  <c r="E55" i="1" s="1"/>
  <c r="E195" i="41" a="1"/>
  <c r="E195" i="41" s="1"/>
  <c r="E224" i="41" a="1"/>
  <c r="E224" i="41" s="1"/>
  <c r="E428" i="1" s="1"/>
  <c r="E253" i="41" a="1"/>
  <c r="E253" i="41" s="1"/>
  <c r="E277" i="41" a="1"/>
  <c r="E277" i="41" s="1"/>
  <c r="E196" i="41" a="1"/>
  <c r="E196" i="41" s="1"/>
  <c r="E182" i="41" a="1"/>
  <c r="E182" i="41" s="1"/>
  <c r="E129" i="41" a="1"/>
  <c r="E129" i="41" s="1"/>
  <c r="E167" i="41" a="1"/>
  <c r="E167" i="41" s="1"/>
  <c r="E197" i="41" a="1"/>
  <c r="E197" i="41" s="1"/>
  <c r="E226" i="41" a="1"/>
  <c r="E226" i="41" s="1"/>
  <c r="E434" i="1" s="1"/>
  <c r="E260" i="41" a="1"/>
  <c r="E260" i="41" s="1"/>
  <c r="E193" i="41" a="1"/>
  <c r="E193" i="41" s="1"/>
  <c r="E138" i="41" a="1"/>
  <c r="E138" i="41" s="1"/>
  <c r="E168" i="41" a="1"/>
  <c r="E168" i="41" s="1"/>
  <c r="E212" i="41" a="1"/>
  <c r="E212" i="41" s="1"/>
  <c r="E240" i="41" a="1"/>
  <c r="E240" i="41" s="1"/>
  <c r="E169" i="41" a="1"/>
  <c r="E169" i="41" s="1"/>
  <c r="E119" i="41" a="1"/>
  <c r="E119" i="41" s="1"/>
  <c r="C655" i="1" s="1"/>
  <c r="E71" i="41" a="1"/>
  <c r="E71" i="41" s="1"/>
  <c r="E110" i="41" a="1"/>
  <c r="E110" i="41" s="1"/>
  <c r="E108" i="41" a="1"/>
  <c r="E108" i="41" s="1"/>
  <c r="E65" i="41" a="1"/>
  <c r="E65" i="41" s="1"/>
  <c r="E61" i="41" a="1"/>
  <c r="E61" i="41" s="1"/>
  <c r="E120" i="41" a="1"/>
  <c r="E120" i="41" s="1"/>
  <c r="E66" i="41" a="1"/>
  <c r="E66" i="41" s="1"/>
  <c r="E740" i="41" a="1"/>
  <c r="E740" i="41" s="1"/>
  <c r="E720" i="41" a="1"/>
  <c r="E720" i="41" s="1"/>
  <c r="D69" i="13" s="1"/>
  <c r="E706" i="41" a="1"/>
  <c r="E706" i="41" s="1"/>
  <c r="E694" i="41" a="1"/>
  <c r="E694" i="41" s="1"/>
  <c r="E660" i="41" a="1"/>
  <c r="E660" i="41" s="1"/>
  <c r="E645" i="41" a="1"/>
  <c r="E645" i="41" s="1"/>
  <c r="E650" i="41" a="1"/>
  <c r="E650" i="41" s="1"/>
  <c r="E626" i="41" a="1"/>
  <c r="E626" i="41" s="1"/>
  <c r="E611" i="41" a="1"/>
  <c r="E611" i="41" s="1"/>
  <c r="E601" i="41" a="1"/>
  <c r="E601" i="41" s="1"/>
  <c r="E481" i="41" a="1"/>
  <c r="E481" i="41" s="1"/>
  <c r="E478" i="41" a="1"/>
  <c r="E478" i="41" s="1"/>
  <c r="E446" i="41" a="1"/>
  <c r="E446" i="41" s="1"/>
  <c r="E316" i="41" a="1"/>
  <c r="E316" i="41" s="1"/>
  <c r="E314" i="41" a="1"/>
  <c r="E314" i="41" s="1"/>
  <c r="E301" i="41" a="1"/>
  <c r="E301" i="41" s="1"/>
  <c r="E304" i="41" a="1"/>
  <c r="E304" i="41" s="1"/>
  <c r="H253" i="1" s="1"/>
  <c r="E460" i="41" a="1"/>
  <c r="E460" i="41" s="1"/>
  <c r="E517" i="41" a="1"/>
  <c r="E517" i="41" s="1"/>
  <c r="E525" i="41" a="1"/>
  <c r="E525" i="41" s="1"/>
  <c r="E530" i="41" a="1"/>
  <c r="E530" i="41" s="1"/>
  <c r="E578" i="41" a="1"/>
  <c r="E578" i="41" s="1"/>
  <c r="E545" i="41" a="1"/>
  <c r="E545" i="41" s="1"/>
  <c r="E576" i="41" a="1"/>
  <c r="E576" i="41" s="1"/>
  <c r="E528" i="41" a="1"/>
  <c r="E528" i="41" s="1"/>
  <c r="R160" i="5" s="1"/>
  <c r="E535" i="41" a="1"/>
  <c r="E535" i="41" s="1"/>
  <c r="E514" i="41" a="1"/>
  <c r="E514" i="41" s="1"/>
  <c r="E392" i="41" a="1"/>
  <c r="E392" i="41" s="1"/>
  <c r="E377" i="41" a="1"/>
  <c r="E377" i="41" s="1"/>
  <c r="E429" i="41" a="1"/>
  <c r="E429" i="41" s="1"/>
  <c r="E374" i="41" a="1"/>
  <c r="E374" i="41" s="1"/>
  <c r="E423" i="41" a="1"/>
  <c r="E423" i="41" s="1"/>
  <c r="E405" i="41" a="1"/>
  <c r="E405" i="41" s="1"/>
  <c r="E62" i="31" s="1"/>
  <c r="E489" i="41" a="1"/>
  <c r="E489" i="41" s="1"/>
  <c r="E431" i="41" a="1"/>
  <c r="E431" i="41" s="1"/>
  <c r="E421" i="41" a="1"/>
  <c r="E421" i="41" s="1"/>
  <c r="E500" i="41" a="1"/>
  <c r="E500" i="41" s="1"/>
  <c r="C182" i="5" s="1"/>
  <c r="E436" i="41" a="1"/>
  <c r="E436" i="41" s="1"/>
  <c r="E368" i="41" a="1"/>
  <c r="E368" i="41" s="1"/>
  <c r="E383" i="41" a="1"/>
  <c r="E383" i="41" s="1"/>
  <c r="E177" i="41" a="1"/>
  <c r="E177" i="41" s="1"/>
  <c r="E129" i="1" s="1"/>
  <c r="E228" i="41" a="1"/>
  <c r="E228" i="41" s="1"/>
  <c r="E256" i="41" a="1"/>
  <c r="E256" i="41" s="1"/>
  <c r="E605" i="1" s="1"/>
  <c r="E636" i="1" s="1"/>
  <c r="E269" i="41" a="1"/>
  <c r="E269" i="41" s="1"/>
  <c r="E225" i="41" a="1"/>
  <c r="E225" i="41" s="1"/>
  <c r="E199" i="41" a="1"/>
  <c r="E199" i="41" s="1"/>
  <c r="E133" i="41" a="1"/>
  <c r="E133" i="41" s="1"/>
  <c r="E163" i="41" a="1"/>
  <c r="E163" i="41" s="1"/>
  <c r="E201" i="41" a="1"/>
  <c r="E201" i="41" s="1"/>
  <c r="E303" i="1" s="1"/>
  <c r="E229" i="41" a="1"/>
  <c r="E229" i="41" s="1"/>
  <c r="E263" i="41" a="1"/>
  <c r="E263" i="41" s="1"/>
  <c r="E259" i="41" a="1"/>
  <c r="E259" i="41" s="1"/>
  <c r="E126" i="41" a="1"/>
  <c r="E126" i="41" s="1"/>
  <c r="E156" i="41" a="1"/>
  <c r="E156" i="41" s="1"/>
  <c r="E185" i="41" a="1"/>
  <c r="E185" i="41" s="1"/>
  <c r="E208" i="41" a="1"/>
  <c r="E208" i="41" s="1"/>
  <c r="E237" i="41" a="1"/>
  <c r="E237" i="41" s="1"/>
  <c r="E518" i="1" s="1"/>
  <c r="E270" i="41" a="1"/>
  <c r="E270" i="41" s="1"/>
  <c r="E246" i="41" a="1"/>
  <c r="E246" i="41" s="1"/>
  <c r="E135" i="41" a="1"/>
  <c r="E135" i="41" s="1"/>
  <c r="E173" i="41" a="1"/>
  <c r="E173" i="41" s="1"/>
  <c r="E209" i="41" a="1"/>
  <c r="E209" i="41" s="1"/>
  <c r="E238" i="41" a="1"/>
  <c r="E238" i="41" s="1"/>
  <c r="E265" i="41" a="1"/>
  <c r="E265" i="41" s="1"/>
  <c r="E158" i="41" a="1"/>
  <c r="E158" i="41" s="1"/>
  <c r="E58" i="1" s="1"/>
  <c r="E266" i="41" a="1"/>
  <c r="E266" i="41" s="1"/>
  <c r="E249" i="41" a="1"/>
  <c r="E249" i="41" s="1"/>
  <c r="E151" i="41" a="1"/>
  <c r="E151" i="41" s="1"/>
  <c r="E181" i="41" a="1"/>
  <c r="E181" i="41" s="1"/>
  <c r="E211" i="41" a="1"/>
  <c r="E211" i="41" s="1"/>
  <c r="E239" i="41" a="1"/>
  <c r="E239" i="41" s="1"/>
  <c r="E279" i="41" a="1"/>
  <c r="E279" i="41" s="1"/>
  <c r="E261" i="41" a="1"/>
  <c r="E261" i="41" s="1"/>
  <c r="E152" i="41" a="1"/>
  <c r="E152" i="41" s="1"/>
  <c r="E188" i="41" a="1"/>
  <c r="E188" i="41" s="1"/>
  <c r="E227" i="41" a="1"/>
  <c r="E227" i="41" s="1"/>
  <c r="E255" i="41" a="1"/>
  <c r="E255" i="41" s="1"/>
  <c r="E221" i="41" a="1"/>
  <c r="E221" i="41" s="1"/>
  <c r="E52" i="41" a="1"/>
  <c r="E52" i="41" s="1"/>
  <c r="E84" i="41" a="1"/>
  <c r="E84" i="41" s="1"/>
  <c r="E64" i="41" a="1"/>
  <c r="E64" i="41" s="1"/>
  <c r="B211" i="1" s="1"/>
  <c r="E44" i="41" a="1"/>
  <c r="E44" i="41" s="1"/>
  <c r="E78" i="41" a="1"/>
  <c r="E78" i="41" s="1"/>
  <c r="E103" i="41" a="1"/>
  <c r="E103" i="41" s="1"/>
  <c r="E53" i="41" a="1"/>
  <c r="E53" i="41" s="1"/>
  <c r="E20" i="41" a="1"/>
  <c r="E20" i="41" s="1"/>
  <c r="E32" i="41" a="1"/>
  <c r="E32" i="41" s="1"/>
  <c r="E28" i="41" a="1"/>
  <c r="E28" i="41" s="1"/>
  <c r="E33" i="41" a="1"/>
  <c r="E33" i="41" s="1"/>
  <c r="A532" i="1" s="1"/>
  <c r="E36" i="41" a="1"/>
  <c r="E36" i="41" s="1"/>
  <c r="E118" i="41" a="1"/>
  <c r="E118" i="41" s="1"/>
  <c r="E42" i="41" a="1"/>
  <c r="E42" i="41" s="1"/>
  <c r="E88" i="41" a="1"/>
  <c r="E88" i="41" s="1"/>
  <c r="E82" i="41" a="1"/>
  <c r="E82" i="41" s="1"/>
  <c r="E75" i="41" a="1"/>
  <c r="E75" i="41" s="1"/>
  <c r="E122" i="41" a="1"/>
  <c r="E122" i="41" s="1"/>
  <c r="C665" i="1" s="1"/>
  <c r="E92" i="41" a="1"/>
  <c r="E92" i="41" s="1"/>
  <c r="E80" i="41" a="1"/>
  <c r="E80" i="41" s="1"/>
  <c r="E47" i="41" a="1"/>
  <c r="E47" i="41" s="1"/>
  <c r="E74" i="41" a="1"/>
  <c r="E74" i="41" s="1"/>
  <c r="E79" i="41" a="1"/>
  <c r="E79" i="41" s="1"/>
  <c r="E87" i="41" a="1"/>
  <c r="E87" i="41" s="1"/>
  <c r="E113" i="41" a="1"/>
  <c r="E113" i="41" s="1"/>
  <c r="E77" i="41" a="1"/>
  <c r="E77" i="41" s="1"/>
  <c r="E189" i="41" a="1"/>
  <c r="E189" i="41" s="1"/>
  <c r="E221" i="1" s="1"/>
  <c r="E220" i="41" a="1"/>
  <c r="E220" i="41" s="1"/>
  <c r="E144" i="41" a="1"/>
  <c r="E144" i="41" s="1"/>
  <c r="E273" i="41" a="1"/>
  <c r="E273" i="41" s="1"/>
  <c r="E205" i="41" a="1"/>
  <c r="E205" i="41" s="1"/>
  <c r="E137" i="41" a="1"/>
  <c r="E137" i="41" s="1"/>
  <c r="E218" i="41" a="1"/>
  <c r="E218" i="41" s="1"/>
  <c r="E258" i="41" a="1"/>
  <c r="E258" i="41" s="1"/>
  <c r="E203" i="41" a="1"/>
  <c r="E203" i="41" s="1"/>
  <c r="E305" i="1" s="1"/>
  <c r="E127" i="41" a="1"/>
  <c r="E127" i="41" s="1"/>
  <c r="E264" i="41" a="1"/>
  <c r="E264" i="41" s="1"/>
  <c r="E202" i="41" a="1"/>
  <c r="E202" i="41" s="1"/>
  <c r="E148" i="41" a="1"/>
  <c r="E148" i="41" s="1"/>
  <c r="E186" i="41" a="1"/>
  <c r="E186" i="41" s="1"/>
  <c r="E222" i="41" a="1"/>
  <c r="E222" i="41" s="1"/>
  <c r="E155" i="41" a="1"/>
  <c r="E155" i="41" s="1"/>
  <c r="E54" i="1" s="1"/>
  <c r="E131" i="41" a="1"/>
  <c r="E131" i="41" s="1"/>
  <c r="E257" i="41" a="1"/>
  <c r="E257" i="41" s="1"/>
  <c r="E606" i="1" s="1"/>
  <c r="E637" i="1" s="1"/>
  <c r="E214" i="41" a="1"/>
  <c r="E214" i="41" s="1"/>
  <c r="E427" i="41" a="1"/>
  <c r="E427" i="41" s="1"/>
  <c r="E416" i="41" a="1"/>
  <c r="E416" i="41" s="1"/>
  <c r="E396" i="41" a="1"/>
  <c r="E396" i="41" s="1"/>
  <c r="E16" i="41" a="1"/>
  <c r="E16" i="41" s="1"/>
  <c r="E409" i="41" a="1"/>
  <c r="E409" i="41" s="1"/>
  <c r="E413" i="41" a="1"/>
  <c r="E413" i="41" s="1"/>
  <c r="E132" i="31" s="1"/>
  <c r="E507" i="41" a="1"/>
  <c r="E507" i="41" s="1"/>
  <c r="E559" i="41" a="1"/>
  <c r="E559" i="41" s="1"/>
  <c r="E571" i="41" a="1"/>
  <c r="E571" i="41" s="1"/>
  <c r="E566" i="41" a="1"/>
  <c r="E566" i="41" s="1"/>
  <c r="E568" i="41" a="1"/>
  <c r="E568" i="41" s="1"/>
  <c r="E308" i="41" a="1"/>
  <c r="E308" i="41" s="1"/>
  <c r="E7" i="41" a="1"/>
  <c r="E7" i="41" s="1"/>
  <c r="E331" i="41" a="1"/>
  <c r="E331" i="41" s="1"/>
  <c r="D50" i="13" s="1"/>
  <c r="E477" i="41" a="1"/>
  <c r="E477" i="41" s="1"/>
  <c r="E602" i="41" a="1"/>
  <c r="E602" i="41" s="1"/>
  <c r="E627" i="41" a="1"/>
  <c r="E627" i="41" s="1"/>
  <c r="E658" i="41" a="1"/>
  <c r="E658" i="41" s="1"/>
  <c r="E700" i="41" a="1"/>
  <c r="E700" i="41" s="1"/>
  <c r="E731" i="41" a="1"/>
  <c r="E731" i="41" s="1"/>
  <c r="E441" i="41" a="1"/>
  <c r="E441" i="41" s="1"/>
  <c r="E362" i="41" a="1"/>
  <c r="E362" i="41" s="1"/>
  <c r="G65" i="1" s="1"/>
  <c r="E4" i="41" a="1"/>
  <c r="E4" i="41" s="1"/>
  <c r="E672" i="41" a="1"/>
  <c r="E672" i="41" s="1"/>
  <c r="E639" i="41" a="1"/>
  <c r="E639" i="41" s="1"/>
  <c r="O3" i="34" s="1"/>
  <c r="E704" i="41" a="1"/>
  <c r="E704" i="41" s="1"/>
  <c r="E734" i="41" a="1"/>
  <c r="E734" i="41" s="1"/>
  <c r="E41" i="41" a="1"/>
  <c r="E41" i="41" s="1"/>
  <c r="E21" i="41" a="1"/>
  <c r="E21" i="41" s="1"/>
  <c r="E35" i="41" a="1"/>
  <c r="E35" i="41" s="1"/>
  <c r="A611" i="1" s="1"/>
  <c r="E30" i="41" a="1"/>
  <c r="E30" i="41" s="1"/>
  <c r="E22" i="41" a="1"/>
  <c r="E22" i="41" s="1"/>
  <c r="E63" i="41" a="1"/>
  <c r="E63" i="41" s="1"/>
  <c r="E112" i="41" a="1"/>
  <c r="E112" i="41" s="1"/>
  <c r="E106" i="41" a="1"/>
  <c r="E106" i="41" s="1"/>
  <c r="E99" i="41" a="1"/>
  <c r="E99" i="41" s="1"/>
  <c r="E56" i="41" a="1"/>
  <c r="E56" i="41" s="1"/>
  <c r="E111" i="41" a="1"/>
  <c r="E111" i="41" s="1"/>
  <c r="E121" i="41" a="1"/>
  <c r="E121" i="41" s="1"/>
  <c r="E67" i="41" a="1"/>
  <c r="E67" i="41" s="1"/>
  <c r="E109" i="41" a="1"/>
  <c r="E109" i="41" s="1"/>
  <c r="E91" i="41" a="1"/>
  <c r="E91" i="41" s="1"/>
  <c r="E46" i="41" a="1"/>
  <c r="E46" i="41" s="1"/>
  <c r="E72" i="41" a="1"/>
  <c r="E72" i="41" s="1"/>
  <c r="E68" i="41" a="1"/>
  <c r="E68" i="41" s="1"/>
  <c r="E43" i="41" a="1"/>
  <c r="E43" i="41" s="1"/>
  <c r="E39" i="1" s="1"/>
  <c r="E248" i="41" a="1"/>
  <c r="E248" i="41" s="1"/>
  <c r="E176" i="41" a="1"/>
  <c r="E176" i="41" s="1"/>
  <c r="E234" i="41" a="1"/>
  <c r="E234" i="41" s="1"/>
  <c r="E232" i="41" a="1"/>
  <c r="E232" i="41" s="1"/>
  <c r="E175" i="41" a="1"/>
  <c r="E175" i="41" s="1"/>
  <c r="E206" i="41" a="1"/>
  <c r="E206" i="41" s="1"/>
  <c r="E128" i="41" a="1"/>
  <c r="E128" i="41" s="1"/>
  <c r="E19" i="1" s="1"/>
  <c r="E231" i="41" a="1"/>
  <c r="E231" i="41" s="1"/>
  <c r="E475" i="1" s="1"/>
  <c r="E165" i="41" a="1"/>
  <c r="E165" i="41" s="1"/>
  <c r="E210" i="41" a="1"/>
  <c r="E210" i="41" s="1"/>
  <c r="E230" i="41" a="1"/>
  <c r="E230" i="41" s="1"/>
  <c r="E178" i="41" a="1"/>
  <c r="E178" i="41" s="1"/>
  <c r="E268" i="41" a="1"/>
  <c r="E268" i="41" s="1"/>
  <c r="E251" i="41" a="1"/>
  <c r="E251" i="41" s="1"/>
  <c r="E191" i="41" a="1"/>
  <c r="E191" i="41" s="1"/>
  <c r="E125" i="41" a="1"/>
  <c r="E125" i="41" s="1"/>
  <c r="E204" i="41" a="1"/>
  <c r="E204" i="41" s="1"/>
  <c r="E250" i="41" a="1"/>
  <c r="E250" i="41" s="1"/>
  <c r="E162" i="41" a="1"/>
  <c r="E162" i="41" s="1"/>
  <c r="E486" i="41" a="1"/>
  <c r="E486" i="41" s="1"/>
  <c r="E491" i="41" a="1"/>
  <c r="E491" i="41" s="1"/>
  <c r="E395" i="41" a="1"/>
  <c r="E395" i="41" s="1"/>
  <c r="E394" i="41" a="1"/>
  <c r="E394" i="41" s="1"/>
  <c r="E499" i="41" a="1"/>
  <c r="E499" i="41" s="1"/>
  <c r="E498" i="41" a="1"/>
  <c r="E498" i="41" s="1"/>
  <c r="C179" i="5" s="1"/>
  <c r="E513" i="41" a="1"/>
  <c r="E513" i="41" s="1"/>
  <c r="E567" i="41" a="1"/>
  <c r="E567" i="41" s="1"/>
  <c r="E519" i="41" a="1"/>
  <c r="E519" i="41" s="1"/>
  <c r="E582" i="41" a="1"/>
  <c r="E582" i="41" s="1"/>
  <c r="E453" i="41" a="1"/>
  <c r="E453" i="41" s="1"/>
  <c r="E296" i="41" a="1"/>
  <c r="E296" i="41" s="1"/>
  <c r="E327" i="41" a="1"/>
  <c r="E327" i="41" s="1"/>
  <c r="E353" i="41" a="1"/>
  <c r="E353" i="41" s="1"/>
  <c r="E585" i="41" a="1"/>
  <c r="E585" i="41" s="1"/>
  <c r="E615" i="41" a="1"/>
  <c r="E615" i="41" s="1"/>
  <c r="E664" i="41" a="1"/>
  <c r="E664" i="41" s="1"/>
  <c r="E680" i="41" a="1"/>
  <c r="E680" i="41" s="1"/>
  <c r="E710" i="41" a="1"/>
  <c r="E710" i="41" s="1"/>
  <c r="E748" i="41" a="1"/>
  <c r="E748" i="41" s="1"/>
  <c r="E758" i="41" a="1"/>
  <c r="E758" i="41" s="1"/>
  <c r="E755" i="41" a="1"/>
  <c r="E755" i="41" s="1"/>
  <c r="E753" i="41" a="1"/>
  <c r="E753" i="41" s="1"/>
  <c r="E749" i="41" a="1"/>
  <c r="E749" i="41" s="1"/>
  <c r="E744" i="41" a="1"/>
  <c r="E744" i="41" s="1"/>
  <c r="E733" i="41" a="1"/>
  <c r="E733" i="41" s="1"/>
  <c r="E738" i="41" a="1"/>
  <c r="E738" i="41" s="1"/>
  <c r="E739" i="41" a="1"/>
  <c r="E739" i="41" s="1"/>
  <c r="E690" i="41" a="1"/>
  <c r="E690" i="41" s="1"/>
  <c r="E49" i="41" a="1"/>
  <c r="E49" i="41" s="1"/>
  <c r="E339" i="41" a="1"/>
  <c r="E339" i="41" s="1"/>
  <c r="E10" i="41" a="1"/>
  <c r="E10" i="41" s="1"/>
  <c r="E721" i="41" a="1"/>
  <c r="E721" i="41" s="1"/>
  <c r="P9" i="35" s="1"/>
  <c r="E724" i="41" a="1"/>
  <c r="E724" i="41" s="1"/>
  <c r="E701" i="41" a="1"/>
  <c r="E701" i="41" s="1"/>
  <c r="E718" i="41" a="1"/>
  <c r="E718" i="41" s="1"/>
  <c r="E703" i="41" a="1"/>
  <c r="E703" i="41" s="1"/>
  <c r="E712" i="41" a="1"/>
  <c r="E712" i="41" s="1"/>
  <c r="E713" i="41" a="1"/>
  <c r="E713" i="41" s="1"/>
  <c r="E697" i="41" a="1"/>
  <c r="E697" i="41" s="1"/>
  <c r="E696" i="41" a="1"/>
  <c r="E696" i="41" s="1"/>
  <c r="E677" i="41" a="1"/>
  <c r="E677" i="41" s="1"/>
  <c r="E681" i="41" a="1"/>
  <c r="E681" i="41" s="1"/>
  <c r="E682" i="41" a="1"/>
  <c r="E682" i="41" s="1"/>
  <c r="E668" i="41" a="1"/>
  <c r="E668" i="41" s="1"/>
  <c r="D76" i="34" s="1"/>
  <c r="E655" i="41" a="1"/>
  <c r="E655" i="41" s="1"/>
  <c r="E657" i="41" a="1"/>
  <c r="E657" i="41" s="1"/>
  <c r="E671" i="41" a="1"/>
  <c r="E671" i="41" s="1"/>
  <c r="E653" i="41" a="1"/>
  <c r="E653" i="41" s="1"/>
  <c r="E638" i="41" a="1"/>
  <c r="E638" i="41" s="1"/>
  <c r="E663" i="41" a="1"/>
  <c r="E663" i="41" s="1"/>
  <c r="E676" i="41" a="1"/>
  <c r="E676" i="41" s="1"/>
  <c r="E666" i="41" a="1"/>
  <c r="E666" i="41" s="1"/>
  <c r="E636" i="41" a="1"/>
  <c r="E636" i="41" s="1"/>
  <c r="E629" i="41" a="1"/>
  <c r="E629" i="41" s="1"/>
  <c r="E631" i="41" a="1"/>
  <c r="E631" i="41" s="1"/>
  <c r="E625" i="41" a="1"/>
  <c r="E625" i="41" s="1"/>
  <c r="E621" i="41" a="1"/>
  <c r="E621" i="41" s="1"/>
  <c r="E618" i="41" a="1"/>
  <c r="E618" i="41" s="1"/>
  <c r="E616" i="41" a="1"/>
  <c r="E616" i="41" s="1"/>
  <c r="E610" i="41" a="1"/>
  <c r="E610" i="41" s="1"/>
  <c r="E604" i="41" a="1"/>
  <c r="E604" i="41" s="1"/>
  <c r="E8" i="41" a="1"/>
  <c r="E8" i="41" s="1"/>
  <c r="E597" i="41" a="1"/>
  <c r="E597" i="41" s="1"/>
  <c r="E592" i="41" a="1"/>
  <c r="E592" i="41" s="1"/>
  <c r="E593" i="41" a="1"/>
  <c r="E593" i="41" s="1"/>
  <c r="E587" i="41" a="1"/>
  <c r="E587" i="41" s="1"/>
  <c r="E583" i="41" a="1"/>
  <c r="E583" i="41" s="1"/>
  <c r="E366" i="41" a="1"/>
  <c r="E366" i="41" s="1"/>
  <c r="E364" i="41" a="1"/>
  <c r="E364" i="41" s="1"/>
  <c r="E479" i="41" a="1"/>
  <c r="E479" i="41" s="1"/>
  <c r="E480" i="41" a="1"/>
  <c r="E480" i="41" s="1"/>
  <c r="E461" i="41" a="1"/>
  <c r="E461" i="41" s="1"/>
  <c r="E463" i="41" a="1"/>
  <c r="E463" i="41" s="1"/>
  <c r="E358" i="41" a="1"/>
  <c r="E358" i="41" s="1"/>
  <c r="E359" i="41" a="1"/>
  <c r="E359" i="41" s="1"/>
  <c r="E444" i="41" a="1"/>
  <c r="E444" i="41" s="1"/>
  <c r="E442" i="41" a="1"/>
  <c r="E442" i="41" s="1"/>
  <c r="E438" i="41" a="1"/>
  <c r="E438" i="41" s="1"/>
  <c r="E341" i="41" a="1"/>
  <c r="E341" i="41" s="1"/>
  <c r="E324" i="41" a="1"/>
  <c r="E324" i="41" s="1"/>
  <c r="E317" i="41" a="1"/>
  <c r="E317" i="41" s="1"/>
  <c r="E9" i="41" a="1"/>
  <c r="E9" i="41" s="1"/>
  <c r="H69" i="13" s="1"/>
  <c r="E336" i="41" a="1"/>
  <c r="E336" i="41" s="1"/>
  <c r="E340" i="41" a="1"/>
  <c r="E340" i="41" s="1"/>
  <c r="E322" i="41" a="1"/>
  <c r="E322" i="41" s="1"/>
  <c r="E338" i="41" a="1"/>
  <c r="E338" i="41" s="1"/>
  <c r="E312" i="41" a="1"/>
  <c r="E312" i="41" s="1"/>
  <c r="E309" i="41" a="1"/>
  <c r="E309" i="41" s="1"/>
  <c r="E287" i="41" a="1"/>
  <c r="E287" i="41" s="1"/>
  <c r="E288" i="41" a="1"/>
  <c r="E288" i="41" s="1"/>
  <c r="E281" i="41" a="1"/>
  <c r="E281" i="41" s="1"/>
  <c r="E282" i="41" a="1"/>
  <c r="E282" i="41" s="1"/>
  <c r="H17" i="1" s="1"/>
  <c r="E297" i="41" a="1"/>
  <c r="E297" i="41" s="1"/>
  <c r="E298" i="41" a="1"/>
  <c r="E298" i="41" s="1"/>
  <c r="E454" i="41" a="1"/>
  <c r="E454" i="41" s="1"/>
  <c r="E447" i="41" a="1"/>
  <c r="E447" i="41" s="1"/>
  <c r="E456" i="41" a="1"/>
  <c r="E456" i="41" s="1"/>
  <c r="E469" i="41" a="1"/>
  <c r="E469" i="41" s="1"/>
  <c r="E452" i="41" a="1"/>
  <c r="E452" i="41" s="1"/>
  <c r="E524" i="41" a="1"/>
  <c r="E524" i="41" s="1"/>
  <c r="R140" i="5" s="1"/>
  <c r="E560" i="41" a="1"/>
  <c r="E560" i="41" s="1"/>
  <c r="E581" i="41" a="1"/>
  <c r="E581" i="41" s="1"/>
  <c r="E564" i="41" a="1"/>
  <c r="E564" i="41" s="1"/>
  <c r="E31" i="41" a="1"/>
  <c r="E31" i="41" s="1"/>
  <c r="E756" i="41" a="1"/>
  <c r="E756" i="41" s="1"/>
  <c r="E752" i="41" a="1"/>
  <c r="E752" i="41" s="1"/>
  <c r="E750" i="41" a="1"/>
  <c r="E750" i="41" s="1"/>
  <c r="E693" i="41" a="1"/>
  <c r="E693" i="41" s="1"/>
  <c r="E742" i="41" a="1"/>
  <c r="E742" i="41" s="1"/>
  <c r="E743" i="41" a="1"/>
  <c r="E743" i="41" s="1"/>
  <c r="E691" i="41" a="1"/>
  <c r="E691" i="41" s="1"/>
  <c r="E732" i="41" a="1"/>
  <c r="E732" i="41" s="1"/>
  <c r="E344" i="41" a="1"/>
  <c r="E344" i="41" s="1"/>
  <c r="E18" i="41" a="1"/>
  <c r="E18" i="41" s="1"/>
  <c r="E729" i="41" a="1"/>
  <c r="E729" i="41" s="1"/>
  <c r="E728" i="41" a="1"/>
  <c r="E728" i="41" s="1"/>
  <c r="E725" i="41" a="1"/>
  <c r="E725" i="41" s="1"/>
  <c r="E709" i="41" a="1"/>
  <c r="E709" i="41" s="1"/>
  <c r="E715" i="41" a="1"/>
  <c r="E715" i="41" s="1"/>
  <c r="E711" i="41" a="1"/>
  <c r="E711" i="41" s="1"/>
  <c r="E707" i="41" a="1"/>
  <c r="E707" i="41" s="1"/>
  <c r="E714" i="41" a="1"/>
  <c r="E714" i="41" s="1"/>
  <c r="E699" i="41" a="1"/>
  <c r="E699" i="41" s="1"/>
  <c r="E695" i="41" a="1"/>
  <c r="E695" i="41" s="1"/>
  <c r="E684" i="41" a="1"/>
  <c r="E684" i="41" s="1"/>
  <c r="E686" i="41" a="1"/>
  <c r="E686" i="41" s="1"/>
  <c r="E644" i="41" a="1"/>
  <c r="E644" i="41" s="1"/>
  <c r="E646" i="41" a="1"/>
  <c r="E646" i="41" s="1"/>
  <c r="E640" i="41" a="1"/>
  <c r="E640" i="41" s="1"/>
  <c r="E670" i="41" a="1"/>
  <c r="E670" i="41" s="1"/>
  <c r="E651" i="41" a="1"/>
  <c r="E651" i="41" s="1"/>
  <c r="E661" i="41" a="1"/>
  <c r="E661" i="41" s="1"/>
  <c r="E654" i="41" a="1"/>
  <c r="E654" i="41" s="1"/>
  <c r="E675" i="41" a="1"/>
  <c r="E675" i="41" s="1"/>
  <c r="E649" i="41" a="1"/>
  <c r="E649" i="41" s="1"/>
  <c r="E643" i="41" a="1"/>
  <c r="E643" i="41" s="1"/>
  <c r="E637" i="41" a="1"/>
  <c r="E637" i="41" s="1"/>
  <c r="E630" i="41" a="1"/>
  <c r="E630" i="41" s="1"/>
  <c r="E632" i="41" a="1"/>
  <c r="E632" i="41" s="1"/>
  <c r="E624" i="41" a="1"/>
  <c r="E624" i="41" s="1"/>
  <c r="E620" i="41" a="1"/>
  <c r="E620" i="41" s="1"/>
  <c r="E619" i="41" a="1"/>
  <c r="E619" i="41" s="1"/>
  <c r="E614" i="41" a="1"/>
  <c r="E614" i="41" s="1"/>
  <c r="E608" i="41" a="1"/>
  <c r="E608" i="41" s="1"/>
  <c r="G205" i="1" s="1"/>
  <c r="E605" i="41" a="1"/>
  <c r="E605" i="41" s="1"/>
  <c r="E599" i="41" a="1"/>
  <c r="E599" i="41" s="1"/>
  <c r="E598" i="41" a="1"/>
  <c r="E598" i="41" s="1"/>
  <c r="E595" i="41" a="1"/>
  <c r="E595" i="41" s="1"/>
  <c r="E590" i="41" a="1"/>
  <c r="E590" i="41" s="1"/>
  <c r="E589" i="41" a="1"/>
  <c r="E589" i="41" s="1"/>
  <c r="E584" i="41" a="1"/>
  <c r="E584" i="41" s="1"/>
  <c r="E363" i="41" a="1"/>
  <c r="E363" i="41" s="1"/>
  <c r="E360" i="41" a="1"/>
  <c r="E360" i="41" s="1"/>
  <c r="E475" i="41" a="1"/>
  <c r="E475" i="41" s="1"/>
  <c r="E472" i="41" a="1"/>
  <c r="E472" i="41" s="1"/>
  <c r="E464" i="41" a="1"/>
  <c r="E464" i="41" s="1"/>
  <c r="E466" i="41" a="1"/>
  <c r="E466" i="41" s="1"/>
  <c r="E352" i="41" a="1"/>
  <c r="E352" i="41" s="1"/>
  <c r="E355" i="41" a="1"/>
  <c r="E355" i="41" s="1"/>
  <c r="E440" i="41" a="1"/>
  <c r="E440" i="41" s="1"/>
  <c r="E445" i="41" a="1"/>
  <c r="E445" i="41" s="1"/>
  <c r="E315" i="41" a="1"/>
  <c r="E315" i="41" s="1"/>
  <c r="E318" i="41" a="1"/>
  <c r="E318" i="41" s="1"/>
  <c r="E332" i="41" a="1"/>
  <c r="E332" i="41" s="1"/>
  <c r="E325" i="41" a="1"/>
  <c r="E325" i="41" s="1"/>
  <c r="E334" i="41" a="1"/>
  <c r="E334" i="41" s="1"/>
  <c r="E347" i="41" a="1"/>
  <c r="E347" i="41" s="1"/>
  <c r="E320" i="41" a="1"/>
  <c r="E320" i="41" s="1"/>
  <c r="E313" i="41" a="1"/>
  <c r="E313" i="41" s="1"/>
  <c r="E349" i="41" a="1"/>
  <c r="E349" i="41" s="1"/>
  <c r="E286" i="41" a="1"/>
  <c r="E286" i="41" s="1"/>
  <c r="E310" i="41" a="1"/>
  <c r="E310" i="41" s="1"/>
  <c r="E302" i="41" a="1"/>
  <c r="E302" i="41" s="1"/>
  <c r="E294" i="41" a="1"/>
  <c r="E294" i="41" s="1"/>
  <c r="E289" i="41" a="1"/>
  <c r="E289" i="41" s="1"/>
  <c r="E285" i="41" a="1"/>
  <c r="E285" i="41" s="1"/>
  <c r="E306" i="41" a="1"/>
  <c r="E306" i="41" s="1"/>
  <c r="E307" i="41" a="1"/>
  <c r="E307" i="41" s="1"/>
  <c r="E459" i="41" a="1"/>
  <c r="E459" i="41" s="1"/>
  <c r="E449" i="41" a="1"/>
  <c r="E449" i="41" s="1"/>
  <c r="E451" i="41" a="1"/>
  <c r="E451" i="41" s="1"/>
  <c r="E19" i="41" a="1"/>
  <c r="E19" i="41" s="1"/>
  <c r="E457" i="41" a="1"/>
  <c r="E457" i="41" s="1"/>
  <c r="E537" i="41" a="1"/>
  <c r="E537" i="41" s="1"/>
  <c r="E565" i="41" a="1"/>
  <c r="E565" i="41" s="1"/>
  <c r="E557" i="41" a="1"/>
  <c r="E557" i="41" s="1"/>
  <c r="E580" i="41" a="1"/>
  <c r="E580" i="41" s="1"/>
  <c r="H56" i="13"/>
  <c r="E742" i="1" l="1"/>
  <c r="E25" i="12"/>
  <c r="E784" i="1"/>
  <c r="E785" i="1"/>
  <c r="E28" i="12"/>
  <c r="G605" i="1"/>
  <c r="G636" i="1" s="1"/>
  <c r="G599" i="1"/>
  <c r="G709" i="1"/>
  <c r="G25" i="12" s="1"/>
  <c r="G704" i="1"/>
  <c r="G703" i="1"/>
  <c r="G708" i="1" s="1"/>
  <c r="G606" i="1"/>
  <c r="G637" i="1" s="1"/>
  <c r="E681" i="1"/>
  <c r="G608" i="1"/>
  <c r="G801" i="1" s="1"/>
  <c r="I18" i="24"/>
  <c r="E630" i="1"/>
  <c r="E633" i="1" s="1"/>
  <c r="B627" i="1"/>
  <c r="E53" i="1"/>
  <c r="E699" i="1" s="1"/>
  <c r="E52" i="1"/>
  <c r="E696" i="1" s="1"/>
  <c r="E65" i="5"/>
  <c r="E121" i="5"/>
  <c r="E95" i="5"/>
  <c r="E153" i="5"/>
  <c r="E176" i="5"/>
  <c r="K53" i="5"/>
  <c r="K59" i="5"/>
  <c r="C105" i="1"/>
  <c r="E36" i="1"/>
  <c r="A121" i="5"/>
  <c r="H2" i="11"/>
  <c r="H2" i="31"/>
  <c r="H2" i="1"/>
  <c r="H2" i="12"/>
  <c r="H2" i="7"/>
  <c r="H2" i="6"/>
  <c r="H2" i="33"/>
  <c r="H2" i="41"/>
  <c r="H2" i="36"/>
  <c r="H2" i="40"/>
  <c r="C180" i="5"/>
  <c r="C181" i="5"/>
  <c r="C184" i="5"/>
  <c r="C183" i="5"/>
  <c r="A730" i="1"/>
  <c r="C160" i="5"/>
  <c r="C99" i="5"/>
  <c r="C126" i="5"/>
  <c r="C125" i="5"/>
  <c r="C100" i="5"/>
  <c r="E7" i="7"/>
  <c r="C127" i="5"/>
  <c r="C101" i="5"/>
  <c r="C128" i="5"/>
  <c r="C102" i="5"/>
  <c r="C163" i="5"/>
  <c r="C124" i="5"/>
  <c r="C98" i="5"/>
  <c r="E174" i="1"/>
  <c r="F2" i="36"/>
  <c r="B18" i="1"/>
  <c r="E20" i="33"/>
  <c r="B732" i="1"/>
  <c r="G233" i="1"/>
  <c r="G235" i="12"/>
  <c r="N3" i="34"/>
  <c r="E149" i="12"/>
  <c r="B38" i="40"/>
  <c r="G27" i="11"/>
  <c r="G276" i="1"/>
  <c r="K8" i="36"/>
  <c r="K8" i="40"/>
  <c r="B81" i="5"/>
  <c r="G192" i="31"/>
  <c r="B102" i="5"/>
  <c r="G188" i="31"/>
  <c r="B38" i="36"/>
  <c r="G313" i="1"/>
  <c r="G83" i="33"/>
  <c r="E8" i="7"/>
  <c r="G215" i="1"/>
  <c r="E202" i="31"/>
  <c r="G807" i="1"/>
  <c r="G243" i="1"/>
  <c r="G348" i="1"/>
  <c r="E63" i="31"/>
  <c r="L55" i="5"/>
  <c r="G302" i="12"/>
  <c r="G26" i="1"/>
  <c r="L58" i="5"/>
  <c r="G337" i="1"/>
  <c r="G41" i="33"/>
  <c r="G189" i="12"/>
  <c r="G245" i="1"/>
  <c r="C159" i="5"/>
  <c r="G325" i="12"/>
  <c r="T130" i="5"/>
  <c r="P6" i="34" s="1"/>
  <c r="R130" i="5"/>
  <c r="N6" i="34" s="1"/>
  <c r="E41" i="11"/>
  <c r="G41" i="11"/>
  <c r="P5" i="34" s="1"/>
  <c r="G100" i="11"/>
  <c r="S194" i="5"/>
  <c r="G45" i="12"/>
  <c r="E116" i="7"/>
  <c r="G401" i="1"/>
  <c r="G33" i="12"/>
  <c r="G681" i="1"/>
  <c r="G438" i="1"/>
  <c r="L60" i="5"/>
  <c r="G102" i="11" s="1"/>
  <c r="G146" i="12"/>
  <c r="G247" i="12"/>
  <c r="G266" i="31"/>
  <c r="D68" i="34"/>
  <c r="C71" i="5"/>
  <c r="G7" i="1"/>
  <c r="G40" i="31"/>
  <c r="G41" i="36"/>
  <c r="G154" i="7"/>
  <c r="G83" i="36"/>
  <c r="G115" i="1"/>
  <c r="G88" i="7"/>
  <c r="F56" i="5"/>
  <c r="E76" i="7"/>
  <c r="G774" i="1"/>
  <c r="L56" i="5"/>
  <c r="C70" i="5"/>
  <c r="H20" i="1"/>
  <c r="I2" i="12"/>
  <c r="G87" i="11"/>
  <c r="B163" i="5"/>
  <c r="B26" i="36"/>
  <c r="A53" i="33"/>
  <c r="A65" i="5"/>
  <c r="E151" i="12"/>
  <c r="B22" i="36"/>
  <c r="E231" i="1"/>
  <c r="A95" i="5"/>
  <c r="A71" i="7"/>
  <c r="E88" i="7" s="1"/>
  <c r="F238" i="1"/>
  <c r="E14" i="40"/>
  <c r="E670" i="1"/>
  <c r="E679" i="1" s="1"/>
  <c r="B24" i="7"/>
  <c r="E87" i="31"/>
  <c r="E658" i="1"/>
  <c r="F14" i="5"/>
  <c r="R155" i="5"/>
  <c r="H133" i="31"/>
  <c r="E277" i="1"/>
  <c r="E95" i="11"/>
  <c r="E2" i="41" s="1"/>
  <c r="B140" i="1"/>
  <c r="E45" i="31"/>
  <c r="E326" i="1"/>
  <c r="G11" i="1"/>
  <c r="H33" i="1"/>
  <c r="E115" i="31"/>
  <c r="G90" i="11"/>
  <c r="E213" i="31"/>
  <c r="E89" i="1"/>
  <c r="R137" i="5"/>
  <c r="E164" i="1"/>
  <c r="A44" i="40"/>
  <c r="B315" i="1"/>
  <c r="C162" i="5"/>
  <c r="G6" i="40"/>
  <c r="E64" i="1"/>
  <c r="D31" i="13"/>
  <c r="B39" i="11"/>
  <c r="F81" i="11"/>
  <c r="F697" i="1" s="1"/>
  <c r="E104" i="35"/>
  <c r="H25" i="13"/>
  <c r="B161" i="5"/>
  <c r="B12" i="3"/>
  <c r="F357" i="1"/>
  <c r="C81" i="5"/>
  <c r="E415" i="1"/>
  <c r="G6" i="33"/>
  <c r="B8" i="36"/>
  <c r="A776" i="1"/>
  <c r="B53" i="31"/>
  <c r="R68" i="5"/>
  <c r="H54" i="1"/>
  <c r="C95" i="1"/>
  <c r="B235" i="1"/>
  <c r="E425" i="1"/>
  <c r="N19" i="5"/>
  <c r="E209" i="1"/>
  <c r="G94" i="11"/>
  <c r="C69" i="34"/>
  <c r="D52" i="13"/>
  <c r="G75" i="11"/>
  <c r="D59" i="34"/>
  <c r="C25" i="34"/>
  <c r="P19" i="35"/>
  <c r="A71" i="13"/>
  <c r="D59" i="13"/>
  <c r="V197" i="5"/>
  <c r="N3" i="5"/>
  <c r="D66" i="34"/>
  <c r="D83" i="34"/>
  <c r="H14" i="13"/>
  <c r="B28" i="13"/>
  <c r="D57" i="13"/>
  <c r="D39" i="13"/>
  <c r="E13" i="1"/>
  <c r="C417" i="1"/>
  <c r="E620" i="1"/>
  <c r="G576" i="1"/>
  <c r="E22" i="1"/>
  <c r="B40" i="24"/>
  <c r="D35" i="34"/>
  <c r="F83" i="11"/>
  <c r="F70" i="11"/>
  <c r="E39" i="34"/>
  <c r="B36" i="24"/>
  <c r="A67" i="11"/>
  <c r="D67" i="34"/>
  <c r="E93" i="11"/>
  <c r="E42" i="1"/>
  <c r="E5" i="35"/>
  <c r="E113" i="31"/>
  <c r="A112" i="7"/>
  <c r="D26" i="34"/>
  <c r="H54" i="13"/>
  <c r="B35" i="24"/>
  <c r="F82" i="11"/>
  <c r="E82" i="11" s="1"/>
  <c r="E3" i="34"/>
  <c r="D47" i="34"/>
  <c r="F3" i="5"/>
  <c r="E306" i="1"/>
  <c r="E312" i="1" s="1"/>
  <c r="E674" i="1"/>
  <c r="F9" i="5"/>
  <c r="A625" i="1"/>
  <c r="E716" i="1"/>
  <c r="B339" i="1"/>
  <c r="E44" i="1"/>
  <c r="D44" i="13"/>
  <c r="J4" i="34"/>
  <c r="P17" i="35"/>
  <c r="B8" i="40"/>
  <c r="E376" i="1"/>
  <c r="E397" i="1" s="1"/>
  <c r="E400" i="1" s="1"/>
  <c r="E276" i="31"/>
  <c r="B69" i="5"/>
  <c r="D23" i="13"/>
  <c r="D43" i="34"/>
  <c r="B182" i="5"/>
  <c r="H44" i="13"/>
  <c r="B37" i="24"/>
  <c r="D49" i="34"/>
  <c r="E18" i="33"/>
  <c r="E26" i="12"/>
  <c r="E39" i="12" s="1"/>
  <c r="G9" i="31"/>
  <c r="E18" i="36"/>
  <c r="B8" i="33"/>
  <c r="G13" i="1"/>
  <c r="B290" i="1"/>
  <c r="E34" i="1"/>
  <c r="H213" i="31"/>
  <c r="E205" i="31"/>
  <c r="B59" i="31"/>
  <c r="E41" i="1"/>
  <c r="E14" i="31"/>
  <c r="E786" i="1"/>
  <c r="E275" i="31"/>
  <c r="E46" i="1"/>
  <c r="F390" i="1"/>
  <c r="A4" i="31"/>
  <c r="E252" i="12"/>
  <c r="F237" i="1"/>
  <c r="H530" i="1"/>
  <c r="D68" i="13"/>
  <c r="D16" i="13"/>
  <c r="F10" i="33"/>
  <c r="B13" i="3"/>
  <c r="D73" i="34"/>
  <c r="H35" i="13"/>
  <c r="G326" i="1"/>
  <c r="D51" i="13"/>
  <c r="H29" i="1"/>
  <c r="F52" i="11"/>
  <c r="F104" i="12" s="1"/>
  <c r="G62" i="12"/>
  <c r="G40" i="36"/>
  <c r="E102" i="35"/>
  <c r="D61" i="34"/>
  <c r="E53" i="34"/>
  <c r="H10" i="13"/>
  <c r="B38" i="24"/>
  <c r="H26" i="13"/>
  <c r="B3" i="5"/>
  <c r="E15" i="36"/>
  <c r="E598" i="1"/>
  <c r="E319" i="1"/>
  <c r="E344" i="1" s="1"/>
  <c r="B353" i="1"/>
  <c r="E640" i="1"/>
  <c r="B9" i="1"/>
  <c r="H52" i="13"/>
  <c r="H573" i="1"/>
  <c r="E421" i="1"/>
  <c r="C535" i="1"/>
  <c r="B384" i="1"/>
  <c r="B87" i="1"/>
  <c r="E545" i="1"/>
  <c r="E521" i="1"/>
  <c r="E24" i="1"/>
  <c r="A5" i="11"/>
  <c r="B8" i="31"/>
  <c r="E76" i="11"/>
  <c r="D14" i="13"/>
  <c r="D42" i="34"/>
  <c r="C660" i="1"/>
  <c r="E548" i="1"/>
  <c r="E82" i="1"/>
  <c r="E75" i="1"/>
  <c r="E245" i="31"/>
  <c r="E264" i="31" s="1"/>
  <c r="E266" i="31" s="1"/>
  <c r="F146" i="1"/>
  <c r="E5" i="34"/>
  <c r="E2" i="6"/>
  <c r="E19" i="40"/>
  <c r="U67" i="5"/>
  <c r="F2" i="6"/>
  <c r="A9" i="11"/>
  <c r="D46" i="13"/>
  <c r="B17" i="3"/>
  <c r="H24" i="13"/>
  <c r="Y67" i="5"/>
  <c r="B25" i="5"/>
  <c r="E20" i="40"/>
  <c r="A61" i="11"/>
  <c r="H45" i="1"/>
  <c r="H59" i="13"/>
  <c r="D44" i="34"/>
  <c r="A49" i="13"/>
  <c r="D78" i="34"/>
  <c r="C761" i="1"/>
  <c r="E774" i="1" s="1"/>
  <c r="K9" i="31"/>
  <c r="D80" i="34"/>
  <c r="G30" i="24"/>
  <c r="H51" i="1"/>
  <c r="C5" i="34"/>
  <c r="D50" i="34"/>
  <c r="H33" i="13"/>
  <c r="G52" i="11"/>
  <c r="G104" i="12" s="1"/>
  <c r="E588" i="1"/>
  <c r="E332" i="1"/>
  <c r="E342" i="1" s="1"/>
  <c r="D75" i="34"/>
  <c r="B50" i="1"/>
  <c r="C648" i="1"/>
  <c r="E587" i="1"/>
  <c r="R109" i="5"/>
  <c r="E780" i="1"/>
  <c r="E194" i="1"/>
  <c r="A53" i="36"/>
  <c r="H12" i="13"/>
  <c r="G9" i="40"/>
  <c r="E192" i="31"/>
  <c r="E195" i="31" s="1"/>
  <c r="F13" i="5"/>
  <c r="B273" i="1"/>
  <c r="C77" i="34"/>
  <c r="D35" i="13"/>
  <c r="D46" i="34"/>
  <c r="F358" i="1"/>
  <c r="E66" i="1"/>
  <c r="C3" i="34"/>
  <c r="E17" i="1"/>
  <c r="D65" i="13"/>
  <c r="E470" i="1"/>
  <c r="E45" i="11"/>
  <c r="E276" i="1"/>
  <c r="E63" i="11"/>
  <c r="B165" i="5"/>
  <c r="E6" i="33"/>
  <c r="E194" i="31"/>
  <c r="B6" i="5"/>
  <c r="E94" i="11"/>
  <c r="C413" i="1"/>
  <c r="E8" i="34"/>
  <c r="G86" i="11"/>
  <c r="C55" i="34"/>
  <c r="H16" i="1"/>
  <c r="D82" i="34"/>
  <c r="T140" i="5"/>
  <c r="A14" i="1"/>
  <c r="A18" i="34"/>
  <c r="H61" i="13"/>
  <c r="E18" i="31"/>
  <c r="C73" i="5"/>
  <c r="R162" i="5"/>
  <c r="E743" i="1"/>
  <c r="E249" i="1"/>
  <c r="G275" i="31"/>
  <c r="I2" i="33"/>
  <c r="E17" i="36"/>
  <c r="E10" i="1"/>
  <c r="R132" i="5"/>
  <c r="B106" i="31"/>
  <c r="C274" i="1"/>
  <c r="E40" i="1"/>
  <c r="E188" i="31"/>
  <c r="E189" i="31" s="1"/>
  <c r="E229" i="1"/>
  <c r="A712" i="1"/>
  <c r="B507" i="1"/>
  <c r="G74" i="11"/>
  <c r="E646" i="1"/>
  <c r="E619" i="1"/>
  <c r="G83" i="11"/>
  <c r="G65" i="11"/>
  <c r="E666" i="1"/>
  <c r="F99" i="11"/>
  <c r="H470" i="1"/>
  <c r="D12" i="13"/>
  <c r="G2" i="6"/>
  <c r="G54" i="1"/>
  <c r="D518" i="1"/>
  <c r="D20" i="34"/>
  <c r="H23" i="13"/>
  <c r="H62" i="13"/>
  <c r="E130" i="7"/>
  <c r="B52" i="5"/>
  <c r="H28" i="1"/>
  <c r="H197" i="1" s="1"/>
  <c r="D20" i="13"/>
  <c r="G95" i="11"/>
  <c r="G2" i="41" s="1"/>
  <c r="K9" i="1"/>
  <c r="E37" i="34"/>
  <c r="P15" i="35"/>
  <c r="B31" i="24"/>
  <c r="E51" i="34"/>
  <c r="B77" i="5"/>
  <c r="B19" i="5"/>
  <c r="B47" i="1"/>
  <c r="C328" i="1"/>
  <c r="B32" i="24"/>
  <c r="B40" i="34"/>
  <c r="A96" i="35"/>
  <c r="E16" i="40"/>
  <c r="E205" i="1"/>
  <c r="E29" i="1"/>
  <c r="B534" i="1"/>
  <c r="B482" i="1"/>
  <c r="A4" i="1"/>
  <c r="E411" i="1"/>
  <c r="E331" i="1"/>
  <c r="E335" i="1" s="1"/>
  <c r="E56" i="1"/>
  <c r="E299" i="1"/>
  <c r="R190" i="5"/>
  <c r="B247" i="31"/>
  <c r="B17" i="11"/>
  <c r="D18" i="13"/>
  <c r="D32" i="34"/>
  <c r="B183" i="1"/>
  <c r="E347" i="1"/>
  <c r="E20" i="1"/>
  <c r="E31" i="1"/>
  <c r="E725" i="1"/>
  <c r="E741" i="1"/>
  <c r="F8" i="5"/>
  <c r="B14" i="11"/>
  <c r="H18" i="13"/>
  <c r="A208" i="31"/>
  <c r="B16" i="5"/>
  <c r="B83" i="31"/>
  <c r="F7" i="5"/>
  <c r="E92" i="11"/>
  <c r="E90" i="11"/>
  <c r="D42" i="13"/>
  <c r="G548" i="1"/>
  <c r="D54" i="34"/>
  <c r="H46" i="13"/>
  <c r="H65" i="13"/>
  <c r="E32" i="1"/>
  <c r="E158" i="31"/>
  <c r="E174" i="31" s="1"/>
  <c r="E185" i="31"/>
  <c r="E77" i="11"/>
  <c r="E91" i="11"/>
  <c r="H367" i="1"/>
  <c r="G221" i="31"/>
  <c r="E38" i="34"/>
  <c r="E74" i="11"/>
  <c r="C72" i="34"/>
  <c r="H43" i="1"/>
  <c r="B16" i="34"/>
  <c r="H63" i="13"/>
  <c r="H58" i="13"/>
  <c r="B184" i="5"/>
  <c r="E121" i="1"/>
  <c r="A68" i="1"/>
  <c r="A44" i="36"/>
  <c r="E215" i="1"/>
  <c r="E577" i="1"/>
  <c r="H20" i="13"/>
  <c r="C65" i="34"/>
  <c r="D63" i="34"/>
  <c r="H50" i="13"/>
  <c r="R192" i="5"/>
  <c r="A181" i="1"/>
  <c r="E14" i="33"/>
  <c r="D58" i="13"/>
  <c r="G128" i="7"/>
  <c r="H167" i="1"/>
  <c r="B30" i="24"/>
  <c r="B27" i="34"/>
  <c r="H31" i="13"/>
  <c r="E73" i="7"/>
  <c r="B38" i="1"/>
  <c r="E466" i="1"/>
  <c r="F10" i="5"/>
  <c r="E469" i="1"/>
  <c r="B22" i="33"/>
  <c r="E603" i="1"/>
  <c r="E608" i="1" s="1"/>
  <c r="E801" i="1" s="1"/>
  <c r="E10" i="36"/>
  <c r="E193" i="1"/>
  <c r="E116" i="31"/>
  <c r="H19" i="1"/>
  <c r="B9" i="13"/>
  <c r="D54" i="13"/>
  <c r="E58" i="34"/>
  <c r="G59" i="7"/>
  <c r="F6" i="5"/>
  <c r="B15" i="3"/>
  <c r="U178" i="5"/>
  <c r="E201" i="31"/>
  <c r="B9" i="35"/>
  <c r="B39" i="24"/>
  <c r="B11" i="11"/>
  <c r="D21" i="34"/>
  <c r="H57" i="13"/>
  <c r="E17" i="33"/>
  <c r="E11" i="1"/>
  <c r="B80" i="5"/>
  <c r="G91" i="11"/>
  <c r="E17" i="40"/>
  <c r="B26" i="40"/>
  <c r="E126" i="31"/>
  <c r="D67" i="13"/>
  <c r="A180" i="31"/>
  <c r="F145" i="1"/>
  <c r="E37" i="1"/>
  <c r="E23" i="1"/>
  <c r="B150" i="1"/>
  <c r="B25" i="1"/>
  <c r="E253" i="1"/>
  <c r="E293" i="1"/>
  <c r="H48" i="1"/>
  <c r="E33" i="1"/>
  <c r="F16" i="5"/>
  <c r="E307" i="12"/>
  <c r="E663" i="1"/>
  <c r="H22" i="1"/>
  <c r="D25" i="13"/>
  <c r="G545" i="1"/>
  <c r="G206" i="1"/>
  <c r="D29" i="34"/>
  <c r="D33" i="34"/>
  <c r="H29" i="13"/>
  <c r="A8" i="13"/>
  <c r="H53" i="13"/>
  <c r="B64" i="34"/>
  <c r="H721" i="1"/>
  <c r="D33" i="13"/>
  <c r="H252" i="31"/>
  <c r="D45" i="34"/>
  <c r="C28" i="34"/>
  <c r="J3" i="34"/>
  <c r="D62" i="34"/>
  <c r="R128" i="5"/>
  <c r="F9" i="33"/>
  <c r="E12" i="33" s="1"/>
  <c r="E153" i="1"/>
  <c r="E494" i="1"/>
  <c r="B622" i="1"/>
  <c r="C423" i="1"/>
  <c r="H16" i="13"/>
  <c r="D52" i="34"/>
  <c r="A7" i="35"/>
  <c r="E184" i="31"/>
  <c r="E45" i="1"/>
  <c r="E307" i="1"/>
  <c r="B452" i="1"/>
  <c r="B584" i="1"/>
  <c r="B94" i="1"/>
  <c r="E623" i="1"/>
  <c r="E172" i="1"/>
  <c r="E106" i="1"/>
  <c r="E16" i="1"/>
  <c r="E429" i="1"/>
  <c r="C72" i="5"/>
  <c r="B75" i="31"/>
  <c r="R169" i="5"/>
  <c r="G1" i="35"/>
  <c r="D56" i="34"/>
  <c r="B217" i="1"/>
  <c r="E85" i="1"/>
  <c r="E187" i="1"/>
  <c r="E110" i="1"/>
  <c r="E571" i="1"/>
  <c r="E550" i="1"/>
  <c r="B20" i="5"/>
  <c r="F69" i="11"/>
  <c r="P18" i="35"/>
  <c r="E305" i="12"/>
  <c r="B210" i="31"/>
  <c r="B21" i="5"/>
  <c r="E22" i="11"/>
  <c r="E64" i="11"/>
  <c r="D24" i="13"/>
  <c r="G553" i="1"/>
  <c r="D36" i="34"/>
  <c r="H42" i="13"/>
  <c r="H55" i="13"/>
  <c r="B97" i="5"/>
  <c r="E27" i="36"/>
  <c r="A103" i="35"/>
  <c r="R110" i="5"/>
  <c r="H40" i="1"/>
  <c r="B16" i="3"/>
  <c r="A4" i="36"/>
  <c r="J14" i="34"/>
  <c r="E59" i="11"/>
  <c r="F85" i="11"/>
  <c r="E85" i="11" s="1"/>
  <c r="A79" i="11"/>
  <c r="E573" i="1"/>
  <c r="E496" i="1"/>
  <c r="B117" i="1"/>
  <c r="B57" i="1"/>
  <c r="E62" i="1"/>
  <c r="E135" i="31"/>
  <c r="B176" i="1"/>
  <c r="E719" i="1"/>
  <c r="B514" i="1"/>
  <c r="D60" i="13"/>
  <c r="G59" i="11"/>
  <c r="E99" i="31"/>
  <c r="A101" i="31"/>
  <c r="P16" i="35"/>
  <c r="H49" i="1"/>
  <c r="G37" i="1"/>
  <c r="E582" i="1"/>
  <c r="F84" i="11"/>
  <c r="E84" i="11" s="1"/>
  <c r="E410" i="1"/>
  <c r="F275" i="31"/>
  <c r="B215" i="31"/>
  <c r="B19" i="3"/>
  <c r="F2" i="35"/>
  <c r="D60" i="34"/>
  <c r="B182" i="31"/>
  <c r="E40" i="11"/>
  <c r="D79" i="34"/>
  <c r="B103" i="31"/>
  <c r="E206" i="12"/>
  <c r="H23" i="1"/>
  <c r="H67" i="13"/>
  <c r="G282" i="31"/>
  <c r="E57" i="34"/>
  <c r="F87" i="11"/>
  <c r="E87" i="11" s="1"/>
  <c r="J4" i="35"/>
  <c r="F86" i="11"/>
  <c r="F198" i="1" s="1"/>
  <c r="E17" i="31"/>
  <c r="E268" i="1"/>
  <c r="G92" i="11"/>
  <c r="G6" i="36"/>
  <c r="E14" i="36"/>
  <c r="C284" i="1"/>
  <c r="B446" i="1"/>
  <c r="H52" i="1"/>
  <c r="E395" i="1"/>
  <c r="R166" i="5"/>
  <c r="E549" i="1"/>
  <c r="E788" i="1"/>
  <c r="E225" i="1"/>
  <c r="G36" i="1"/>
  <c r="A271" i="1"/>
  <c r="B443" i="1"/>
  <c r="E21" i="1"/>
  <c r="E789" i="1"/>
  <c r="A44" i="33"/>
  <c r="E669" i="1"/>
  <c r="H30" i="1"/>
  <c r="D66" i="13"/>
  <c r="E99" i="35"/>
  <c r="D41" i="34"/>
  <c r="D31" i="34"/>
  <c r="H37" i="13"/>
  <c r="B41" i="13"/>
  <c r="F391" i="1"/>
  <c r="B27" i="5"/>
  <c r="B48" i="34"/>
  <c r="D61" i="13"/>
  <c r="C7" i="34"/>
  <c r="H66" i="13"/>
  <c r="B14" i="3"/>
  <c r="D74" i="34"/>
  <c r="C30" i="34"/>
  <c r="G242" i="31"/>
  <c r="E100" i="35"/>
  <c r="A53" i="35"/>
  <c r="E63" i="1"/>
  <c r="E471" i="1"/>
  <c r="E503" i="1"/>
  <c r="C406" i="1"/>
  <c r="B196" i="1"/>
  <c r="K3" i="34"/>
  <c r="B8" i="3"/>
  <c r="A43" i="11"/>
  <c r="E53" i="11"/>
  <c r="E747" i="1" s="1"/>
  <c r="E304" i="1"/>
  <c r="E311" i="1" s="1"/>
  <c r="E722" i="1"/>
  <c r="B370" i="1"/>
  <c r="B35" i="1"/>
  <c r="C99" i="1"/>
  <c r="E49" i="1"/>
  <c r="E27" i="1"/>
  <c r="E650" i="1"/>
  <c r="E687" i="1"/>
  <c r="E193" i="31"/>
  <c r="E9" i="40"/>
  <c r="U159" i="5"/>
  <c r="C4" i="34"/>
  <c r="C19" i="34"/>
  <c r="C388" i="1"/>
  <c r="E30" i="1"/>
  <c r="E288" i="1"/>
  <c r="E602" i="1"/>
  <c r="E382" i="1"/>
  <c r="E301" i="1"/>
  <c r="E206" i="31"/>
  <c r="E7" i="11"/>
  <c r="E51" i="11" s="1"/>
  <c r="E123" i="7" s="1"/>
  <c r="D251" i="31"/>
  <c r="H68" i="13"/>
  <c r="E15" i="11"/>
  <c r="B23" i="5"/>
  <c r="E65" i="11"/>
  <c r="R135" i="5"/>
  <c r="D62" i="13"/>
  <c r="D70" i="34"/>
  <c r="P13" i="35"/>
  <c r="B22" i="13"/>
  <c r="B122" i="31"/>
  <c r="B191" i="31"/>
  <c r="A51" i="31"/>
  <c r="T67" i="5"/>
  <c r="A73" i="11"/>
  <c r="A49" i="11"/>
  <c r="D26" i="13"/>
  <c r="G7" i="11"/>
  <c r="G51" i="11" s="1"/>
  <c r="G123" i="7" s="1"/>
  <c r="B10" i="3"/>
  <c r="H39" i="13"/>
  <c r="H51" i="13"/>
  <c r="E111" i="31"/>
  <c r="B13" i="5"/>
  <c r="E29" i="12"/>
  <c r="E42" i="12" s="1"/>
  <c r="E167" i="1"/>
  <c r="B468" i="1"/>
  <c r="E58" i="11"/>
  <c r="B296" i="1"/>
  <c r="A131" i="1"/>
  <c r="B613" i="1"/>
  <c r="B133" i="1"/>
  <c r="B498" i="1"/>
  <c r="B72" i="1"/>
  <c r="G206" i="31"/>
  <c r="E115" i="7"/>
  <c r="E24" i="11"/>
  <c r="E26" i="31"/>
  <c r="B12" i="5"/>
  <c r="B162" i="5"/>
  <c r="G24" i="11"/>
  <c r="E25" i="11"/>
  <c r="C80" i="5"/>
  <c r="B183" i="5"/>
  <c r="G120" i="31"/>
  <c r="G293" i="1"/>
  <c r="R191" i="5"/>
  <c r="E27" i="11"/>
  <c r="B178" i="5"/>
  <c r="E27" i="33"/>
  <c r="B128" i="5"/>
  <c r="G26" i="11"/>
  <c r="G277" i="1"/>
  <c r="E26" i="11"/>
  <c r="B68" i="5"/>
  <c r="E19" i="11"/>
  <c r="B75" i="5"/>
  <c r="B29" i="11"/>
  <c r="D55" i="13"/>
  <c r="E125" i="1"/>
  <c r="F5" i="5"/>
  <c r="G184" i="31"/>
  <c r="G21" i="11"/>
  <c r="D427" i="1"/>
  <c r="G393" i="1"/>
  <c r="E20" i="11"/>
  <c r="B157" i="5"/>
  <c r="G113" i="31"/>
  <c r="G280" i="1"/>
  <c r="H41" i="1"/>
  <c r="E250" i="12"/>
  <c r="G201" i="31"/>
  <c r="G18" i="11"/>
  <c r="G193" i="1"/>
  <c r="G82" i="1"/>
  <c r="E21" i="11"/>
  <c r="A4" i="33"/>
  <c r="C161" i="5"/>
  <c r="G66" i="1"/>
  <c r="B73" i="5"/>
  <c r="G189" i="31"/>
  <c r="G20" i="11"/>
  <c r="G646" i="1"/>
  <c r="E18" i="11"/>
  <c r="F15" i="5"/>
  <c r="A4" i="40"/>
  <c r="H36" i="1"/>
  <c r="G213" i="31"/>
  <c r="B745" i="1"/>
  <c r="D124" i="1"/>
  <c r="D381" i="1"/>
  <c r="E40" i="31"/>
  <c r="G286" i="1"/>
  <c r="E40" i="40"/>
  <c r="G276" i="31"/>
  <c r="G399" i="1"/>
  <c r="E39" i="31"/>
  <c r="G306" i="1"/>
  <c r="E7" i="34"/>
  <c r="E323" i="1"/>
  <c r="D250" i="31"/>
  <c r="D594" i="1"/>
  <c r="D119" i="1"/>
  <c r="E41" i="33"/>
  <c r="G103" i="1"/>
  <c r="G603" i="1"/>
  <c r="G110" i="1"/>
  <c r="G496" i="1"/>
  <c r="A85" i="35"/>
  <c r="B40" i="35"/>
  <c r="E9" i="33"/>
  <c r="G27" i="1"/>
  <c r="R158" i="5"/>
  <c r="B15" i="1"/>
  <c r="D428" i="1"/>
  <c r="D595" i="1"/>
  <c r="D715" i="1"/>
  <c r="R97" i="5"/>
  <c r="G652" i="1"/>
  <c r="G121" i="1"/>
  <c r="G410" i="1"/>
  <c r="E52" i="11"/>
  <c r="E104" i="12" s="1"/>
  <c r="G32" i="1"/>
  <c r="D304" i="1"/>
  <c r="D88" i="31"/>
  <c r="G239" i="31"/>
  <c r="G582" i="1"/>
  <c r="G494" i="1"/>
  <c r="F53" i="11"/>
  <c r="G15" i="40" s="1"/>
  <c r="E136" i="1"/>
  <c r="D409" i="1"/>
  <c r="R141" i="5"/>
  <c r="F9" i="36"/>
  <c r="E12" i="36" s="1"/>
  <c r="E9" i="36"/>
  <c r="D502" i="1"/>
  <c r="D596" i="1"/>
  <c r="D177" i="31"/>
  <c r="C21" i="34"/>
  <c r="G106" i="1"/>
  <c r="G26" i="12"/>
  <c r="G630" i="1"/>
  <c r="T178" i="5"/>
  <c r="E9" i="31"/>
  <c r="E40" i="33"/>
  <c r="F544" i="1"/>
  <c r="I66" i="1" s="1" a="1"/>
  <c r="I66" i="1" s="1"/>
  <c r="E40" i="36"/>
  <c r="D520" i="1"/>
  <c r="D410" i="1"/>
  <c r="D249" i="31"/>
  <c r="G305" i="1"/>
  <c r="G415" i="1"/>
  <c r="G687" i="1"/>
  <c r="G707" i="1" s="1"/>
  <c r="T161" i="5"/>
  <c r="G92" i="1"/>
  <c r="G407" i="1"/>
  <c r="G428" i="1"/>
  <c r="E348" i="1"/>
  <c r="D306" i="1"/>
  <c r="D108" i="1"/>
  <c r="D318" i="1"/>
  <c r="D670" i="1"/>
  <c r="G471" i="1"/>
  <c r="G477" i="1"/>
  <c r="G240" i="31"/>
  <c r="G236" i="31"/>
  <c r="R164" i="5"/>
  <c r="A43" i="31"/>
  <c r="G193" i="31"/>
  <c r="G269" i="12"/>
  <c r="E19" i="31"/>
  <c r="E74" i="7"/>
  <c r="G789" i="1"/>
  <c r="B635" i="1"/>
  <c r="G22" i="11"/>
  <c r="L54" i="5"/>
  <c r="G41" i="40"/>
  <c r="E19" i="36"/>
  <c r="G290" i="31"/>
  <c r="G99" i="12"/>
  <c r="G133" i="31"/>
  <c r="F2" i="12"/>
  <c r="F2" i="31"/>
  <c r="E41" i="36"/>
  <c r="C78" i="5"/>
  <c r="E117" i="7"/>
  <c r="E9" i="7"/>
  <c r="E15" i="33"/>
  <c r="G623" i="1"/>
  <c r="E2" i="12"/>
  <c r="G76" i="11"/>
  <c r="E2" i="33"/>
  <c r="F2" i="1"/>
  <c r="R101" i="5"/>
  <c r="A63" i="5"/>
  <c r="G40" i="24" s="1"/>
  <c r="E41" i="40"/>
  <c r="C79" i="5"/>
  <c r="E438" i="1"/>
  <c r="E2" i="31"/>
  <c r="G77" i="11"/>
  <c r="E2" i="36"/>
  <c r="E15" i="40"/>
  <c r="B37" i="31"/>
  <c r="E15" i="31"/>
  <c r="E2" i="1"/>
  <c r="G84" i="1"/>
  <c r="E2" i="40"/>
  <c r="E2" i="7"/>
  <c r="E20" i="31"/>
  <c r="G505" i="1"/>
  <c r="E2" i="11"/>
  <c r="G23" i="11"/>
  <c r="G25" i="11"/>
  <c r="L57" i="5"/>
  <c r="F2" i="40"/>
  <c r="G134" i="12"/>
  <c r="G290" i="12"/>
  <c r="G208" i="1"/>
  <c r="G83" i="40"/>
  <c r="C676" i="1"/>
  <c r="E313" i="1"/>
  <c r="E75" i="7"/>
  <c r="F2" i="33"/>
  <c r="G120" i="12"/>
  <c r="G201" i="12"/>
  <c r="G268" i="12"/>
  <c r="D71" i="34"/>
  <c r="E505" i="1"/>
  <c r="E401" i="1"/>
  <c r="R81" i="5"/>
  <c r="E115" i="1"/>
  <c r="E668" i="1"/>
  <c r="E678" i="1" s="1"/>
  <c r="R93" i="5"/>
  <c r="E89" i="31"/>
  <c r="E680" i="1"/>
  <c r="E337" i="1"/>
  <c r="E671" i="1"/>
  <c r="E652" i="1"/>
  <c r="E653" i="1" s="1"/>
  <c r="E667" i="1" s="1"/>
  <c r="E7" i="1"/>
  <c r="G394" i="1"/>
  <c r="G81" i="11"/>
  <c r="G697" i="1" s="1"/>
  <c r="G58" i="11"/>
  <c r="G40" i="40"/>
  <c r="I2" i="11"/>
  <c r="G9" i="33"/>
  <c r="B26" i="33"/>
  <c r="G194" i="31"/>
  <c r="G39" i="31"/>
  <c r="G85" i="11"/>
  <c r="F2" i="11"/>
  <c r="F71" i="11"/>
  <c r="B25" i="31"/>
  <c r="A53" i="40"/>
  <c r="G93" i="11"/>
  <c r="G395" i="1"/>
  <c r="B72" i="5"/>
  <c r="G82" i="11"/>
  <c r="G15" i="11"/>
  <c r="I2" i="7"/>
  <c r="P19" i="5"/>
  <c r="G9" i="36"/>
  <c r="G84" i="11"/>
  <c r="I2" i="6"/>
  <c r="G53" i="11"/>
  <c r="G747" i="1" s="1"/>
  <c r="E150" i="12"/>
  <c r="E16" i="36"/>
  <c r="D380" i="1"/>
  <c r="A153" i="5"/>
  <c r="E10" i="33"/>
  <c r="G225" i="31"/>
  <c r="D107" i="1"/>
  <c r="G186" i="31"/>
  <c r="G2" i="7"/>
  <c r="F289" i="31"/>
  <c r="D667" i="1"/>
  <c r="A480" i="1"/>
  <c r="R82" i="5"/>
  <c r="E10" i="31"/>
  <c r="E105" i="12" s="1"/>
  <c r="E48" i="1"/>
  <c r="B555" i="1"/>
  <c r="G129" i="31"/>
  <c r="D21" i="5"/>
  <c r="G2" i="12"/>
  <c r="G10" i="40"/>
  <c r="F80" i="33"/>
  <c r="G272" i="12"/>
  <c r="D668" i="1"/>
  <c r="D176" i="31"/>
  <c r="G549" i="1"/>
  <c r="F151" i="7"/>
  <c r="E114" i="7"/>
  <c r="D20" i="5"/>
  <c r="B91" i="31"/>
  <c r="F82" i="40"/>
  <c r="G171" i="12"/>
  <c r="D109" i="1"/>
  <c r="D501" i="1"/>
  <c r="F12" i="5"/>
  <c r="E16" i="33"/>
  <c r="C77" i="5"/>
  <c r="F792" i="1"/>
  <c r="E6" i="7"/>
  <c r="B15" i="5"/>
  <c r="D23" i="5"/>
  <c r="D19" i="5"/>
  <c r="G2" i="33"/>
  <c r="G2" i="1"/>
  <c r="E251" i="12"/>
  <c r="E120" i="31"/>
  <c r="E161" i="31" s="1"/>
  <c r="E97" i="31"/>
  <c r="E245" i="1"/>
  <c r="E266" i="1"/>
  <c r="G116" i="31"/>
  <c r="G132" i="31"/>
  <c r="E6" i="36"/>
  <c r="G10" i="36"/>
  <c r="B22" i="40"/>
  <c r="F80" i="36"/>
  <c r="F80" i="40"/>
  <c r="F286" i="31"/>
  <c r="G170" i="12"/>
  <c r="G167" i="12"/>
  <c r="D317" i="1"/>
  <c r="D597" i="1"/>
  <c r="D666" i="1"/>
  <c r="D120" i="1"/>
  <c r="D714" i="1"/>
  <c r="D316" i="1"/>
  <c r="D87" i="31"/>
  <c r="G550" i="1"/>
  <c r="F153" i="7"/>
  <c r="B457" i="1"/>
  <c r="R123" i="5"/>
  <c r="E252" i="31"/>
  <c r="E581" i="1"/>
  <c r="G10" i="31"/>
  <c r="G105" i="12" s="1"/>
  <c r="N31" i="5"/>
  <c r="R165" i="5"/>
  <c r="H64" i="13"/>
  <c r="E16" i="31"/>
  <c r="C69" i="5"/>
  <c r="F806" i="1"/>
  <c r="D22" i="5"/>
  <c r="G2" i="36"/>
  <c r="G2" i="11"/>
  <c r="E205" i="12"/>
  <c r="G202" i="31"/>
  <c r="G63" i="31"/>
  <c r="E10" i="40"/>
  <c r="G10" i="33"/>
  <c r="F82" i="33"/>
  <c r="F311" i="12"/>
  <c r="G168" i="12"/>
  <c r="G64" i="12"/>
  <c r="D593" i="1"/>
  <c r="D123" i="1"/>
  <c r="D301" i="1"/>
  <c r="D408" i="1"/>
  <c r="D106" i="1"/>
  <c r="D519" i="1"/>
  <c r="F101" i="11"/>
  <c r="G620" i="1"/>
  <c r="F9" i="40"/>
  <c r="E12" i="40" s="1"/>
  <c r="B43" i="1"/>
  <c r="D29" i="13"/>
  <c r="D53" i="13"/>
  <c r="C158" i="5"/>
  <c r="G2" i="40"/>
  <c r="G2" i="31"/>
  <c r="E306" i="12"/>
  <c r="G115" i="31"/>
  <c r="F82" i="36"/>
  <c r="F324" i="12"/>
  <c r="G65" i="12"/>
  <c r="G271" i="12"/>
  <c r="D303" i="1"/>
  <c r="D118" i="1"/>
  <c r="D426" i="1"/>
  <c r="D500" i="1"/>
  <c r="D302" i="1"/>
  <c r="E51" i="1"/>
  <c r="E695" i="1" s="1"/>
  <c r="C673" i="1"/>
  <c r="A441" i="1"/>
  <c r="G64" i="11"/>
  <c r="G600" i="1"/>
  <c r="G466" i="1"/>
  <c r="G674" i="1"/>
  <c r="G129" i="1"/>
  <c r="G323" i="1"/>
  <c r="G517" i="1"/>
  <c r="G719" i="1"/>
  <c r="G307" i="1"/>
  <c r="G650" i="1"/>
  <c r="G429" i="1"/>
  <c r="G245" i="31"/>
  <c r="G136" i="1"/>
  <c r="G425" i="1"/>
  <c r="G640" i="1"/>
  <c r="G521" i="1"/>
  <c r="G633" i="1"/>
  <c r="G185" i="31"/>
  <c r="G195" i="31"/>
  <c r="G61" i="12"/>
  <c r="G331" i="1"/>
  <c r="G666" i="1"/>
  <c r="G319" i="1"/>
  <c r="G503" i="1"/>
  <c r="G725" i="1"/>
  <c r="G29" i="12"/>
  <c r="G51" i="12" s="1"/>
  <c r="G249" i="1"/>
  <c r="G340" i="1"/>
  <c r="G434" i="1"/>
  <c r="G571" i="1"/>
  <c r="G653" i="1"/>
  <c r="G727" i="1"/>
  <c r="G411" i="1"/>
  <c r="G743" i="1"/>
  <c r="G304" i="1"/>
  <c r="G472" i="1"/>
  <c r="G717" i="1"/>
  <c r="G780" i="1"/>
  <c r="G266" i="1"/>
  <c r="G341" i="1"/>
  <c r="G450" i="1"/>
  <c r="G573" i="1"/>
  <c r="G663" i="1"/>
  <c r="G741" i="1"/>
  <c r="G671" i="1"/>
  <c r="G268" i="1"/>
  <c r="G716" i="1"/>
  <c r="G187" i="1"/>
  <c r="E437" i="1"/>
  <c r="B254" i="31"/>
  <c r="G63" i="11"/>
  <c r="E477" i="1"/>
  <c r="D10" i="13"/>
  <c r="G148" i="1"/>
  <c r="G174" i="1"/>
  <c r="G243" i="31"/>
  <c r="G421" i="1"/>
  <c r="G125" i="1"/>
  <c r="G668" i="1"/>
  <c r="G325" i="1"/>
  <c r="G693" i="1" s="1"/>
  <c r="G518" i="1"/>
  <c r="G721" i="1"/>
  <c r="G786" i="1"/>
  <c r="G524" i="1"/>
  <c r="E524" i="1"/>
  <c r="E529" i="1" s="1"/>
  <c r="E530" i="1" s="1"/>
  <c r="G282" i="1"/>
  <c r="G85" i="1"/>
  <c r="G42" i="1"/>
  <c r="G40" i="33"/>
  <c r="I2" i="36"/>
  <c r="I2" i="31"/>
  <c r="G59" i="1"/>
  <c r="G221" i="1"/>
  <c r="G577" i="1"/>
  <c r="I2" i="40"/>
  <c r="I2" i="1"/>
  <c r="G205" i="31"/>
  <c r="G48" i="31"/>
  <c r="F10" i="36"/>
  <c r="G12" i="36" s="1"/>
  <c r="E309" i="1"/>
  <c r="F10" i="40"/>
  <c r="G12" i="40" s="1"/>
  <c r="D56" i="13"/>
  <c r="G241" i="31"/>
  <c r="G342" i="1"/>
  <c r="G788" i="1"/>
  <c r="G332" i="1"/>
  <c r="G602" i="1"/>
  <c r="G234" i="31"/>
  <c r="G16" i="1"/>
  <c r="G288" i="1"/>
  <c r="G376" i="1"/>
  <c r="G469" i="1"/>
  <c r="G588" i="1"/>
  <c r="G669" i="1"/>
  <c r="G252" i="31"/>
  <c r="G455" i="1"/>
  <c r="G238" i="31"/>
  <c r="G347" i="1"/>
  <c r="G587" i="1"/>
  <c r="G235" i="31"/>
  <c r="G89" i="1"/>
  <c r="G301" i="1"/>
  <c r="G382" i="1"/>
  <c r="G470" i="1"/>
  <c r="G598" i="1"/>
  <c r="G670" i="1"/>
  <c r="G303" i="1"/>
  <c r="G722" i="1"/>
  <c r="G397" i="1"/>
  <c r="C431" i="1"/>
  <c r="I16" i="24"/>
  <c r="I15" i="24"/>
  <c r="I14" i="24"/>
  <c r="G785" i="1" l="1"/>
  <c r="G28" i="12"/>
  <c r="G742" i="1"/>
  <c r="G784" i="1"/>
  <c r="E600" i="1"/>
  <c r="E599" i="1"/>
  <c r="E707" i="1"/>
  <c r="E81" i="11"/>
  <c r="E697" i="1" s="1"/>
  <c r="R89" i="5"/>
  <c r="B78" i="35" s="1"/>
  <c r="B6" i="12"/>
  <c r="A4" i="12"/>
  <c r="E83" i="11"/>
  <c r="G150" i="12"/>
  <c r="G151" i="12"/>
  <c r="G149" i="12"/>
  <c r="C21" i="12"/>
  <c r="C7" i="12"/>
  <c r="R88" i="5"/>
  <c r="I23" i="1" a="1"/>
  <c r="I23" i="1" s="1"/>
  <c r="E340" i="1"/>
  <c r="E70" i="12"/>
  <c r="A176" i="5"/>
  <c r="C81" i="34" s="1"/>
  <c r="N5" i="34"/>
  <c r="E100" i="11"/>
  <c r="E86" i="11"/>
  <c r="E399" i="1"/>
  <c r="D15" i="5"/>
  <c r="I36" i="1" a="1"/>
  <c r="I36" i="1" s="1"/>
  <c r="I40" i="1" a="1"/>
  <c r="I40" i="1" s="1"/>
  <c r="G34" i="33"/>
  <c r="D13" i="5"/>
  <c r="D12" i="5"/>
  <c r="G30" i="33"/>
  <c r="I24" i="1" a="1"/>
  <c r="I24" i="1" s="1"/>
  <c r="I45" i="1" a="1"/>
  <c r="I45" i="1" s="1"/>
  <c r="I29" i="1" a="1"/>
  <c r="I29" i="1" s="1"/>
  <c r="G24" i="33"/>
  <c r="G31" i="33"/>
  <c r="G35" i="33"/>
  <c r="G19" i="33"/>
  <c r="G14" i="40"/>
  <c r="G50" i="33"/>
  <c r="G805" i="1"/>
  <c r="P7" i="34"/>
  <c r="G99" i="31"/>
  <c r="G32" i="33"/>
  <c r="J4" i="5"/>
  <c r="E336" i="1"/>
  <c r="G36" i="33"/>
  <c r="G12" i="33"/>
  <c r="C219" i="31"/>
  <c r="G23" i="33"/>
  <c r="G33" i="33"/>
  <c r="G15" i="33"/>
  <c r="D14" i="5"/>
  <c r="E805" i="1"/>
  <c r="N7" i="34"/>
  <c r="B210" i="12"/>
  <c r="G19" i="36"/>
  <c r="S192" i="5"/>
  <c r="E178" i="31"/>
  <c r="C122" i="12"/>
  <c r="B20" i="35" s="1"/>
  <c r="S169" i="5"/>
  <c r="A138" i="31"/>
  <c r="F199" i="1"/>
  <c r="I28" i="1" s="1" a="1"/>
  <c r="I28" i="1" s="1"/>
  <c r="B261" i="12"/>
  <c r="F41" i="11"/>
  <c r="B160" i="12"/>
  <c r="I52" i="1" a="1"/>
  <c r="I52" i="1" s="1"/>
  <c r="E47" i="11"/>
  <c r="A227" i="31"/>
  <c r="B229" i="31"/>
  <c r="B47" i="12"/>
  <c r="I34" i="1" a="1"/>
  <c r="I34" i="1" s="1"/>
  <c r="B146" i="31"/>
  <c r="I33" i="1" a="1"/>
  <c r="I33" i="1" s="1"/>
  <c r="A67" i="12"/>
  <c r="I22" i="1" a="1"/>
  <c r="I22" i="1" s="1"/>
  <c r="E341" i="1"/>
  <c r="C101" i="12"/>
  <c r="E120" i="12" s="1"/>
  <c r="D25" i="5"/>
  <c r="I41" i="1" a="1"/>
  <c r="I41" i="1" s="1"/>
  <c r="B148" i="12"/>
  <c r="G3" i="5"/>
  <c r="A73" i="31"/>
  <c r="G46" i="11"/>
  <c r="I17" i="1" a="1"/>
  <c r="I17" i="1" s="1"/>
  <c r="C72" i="12"/>
  <c r="E99" i="12" s="1"/>
  <c r="S190" i="5"/>
  <c r="R80" i="5"/>
  <c r="B153" i="12"/>
  <c r="B160" i="31"/>
  <c r="S81" i="5"/>
  <c r="G4" i="5"/>
  <c r="I4" i="5"/>
  <c r="K4" i="5"/>
  <c r="B54" i="12"/>
  <c r="G23" i="40"/>
  <c r="B223" i="12"/>
  <c r="E247" i="12" s="1"/>
  <c r="G250" i="12"/>
  <c r="A208" i="12"/>
  <c r="B249" i="12"/>
  <c r="R91" i="5"/>
  <c r="H4" i="5"/>
  <c r="L4" i="5"/>
  <c r="G252" i="12"/>
  <c r="S191" i="5"/>
  <c r="S82" i="5"/>
  <c r="B68" i="12"/>
  <c r="C223" i="31"/>
  <c r="B254" i="12"/>
  <c r="G251" i="12"/>
  <c r="E46" i="11"/>
  <c r="G49" i="36"/>
  <c r="G87" i="31"/>
  <c r="G15" i="36"/>
  <c r="F70" i="12"/>
  <c r="G17" i="36"/>
  <c r="G49" i="33"/>
  <c r="G18" i="33"/>
  <c r="G178" i="31"/>
  <c r="F747" i="1"/>
  <c r="G16" i="40"/>
  <c r="G19" i="40"/>
  <c r="G17" i="40"/>
  <c r="G18" i="36"/>
  <c r="G20" i="31"/>
  <c r="G17" i="31"/>
  <c r="G177" i="31"/>
  <c r="G16" i="33"/>
  <c r="I3" i="5"/>
  <c r="G17" i="33"/>
  <c r="G97" i="31"/>
  <c r="G14" i="31"/>
  <c r="B180" i="5"/>
  <c r="G19" i="31"/>
  <c r="G18" i="40"/>
  <c r="G20" i="40"/>
  <c r="G14" i="33"/>
  <c r="G16" i="31"/>
  <c r="G16" i="36"/>
  <c r="G15" i="31"/>
  <c r="G158" i="31"/>
  <c r="G14" i="36"/>
  <c r="G20" i="36"/>
  <c r="G18" i="31"/>
  <c r="G20" i="33"/>
  <c r="G49" i="40"/>
  <c r="G70" i="12"/>
  <c r="G31" i="40"/>
  <c r="G33" i="36"/>
  <c r="G36" i="40"/>
  <c r="G33" i="40"/>
  <c r="G50" i="40"/>
  <c r="G34" i="40"/>
  <c r="G24" i="40"/>
  <c r="G24" i="36"/>
  <c r="G35" i="40"/>
  <c r="G30" i="40"/>
  <c r="G32" i="40"/>
  <c r="G23" i="36"/>
  <c r="G32" i="36"/>
  <c r="G31" i="36"/>
  <c r="G36" i="36"/>
  <c r="G30" i="36"/>
  <c r="G35" i="36"/>
  <c r="G50" i="36"/>
  <c r="G34" i="36"/>
  <c r="J19" i="7"/>
  <c r="J32" i="7" s="1"/>
  <c r="H19" i="7"/>
  <c r="H32" i="7" s="1"/>
  <c r="F19" i="7"/>
  <c r="F32" i="7" s="1"/>
  <c r="J740" i="1"/>
  <c r="H740" i="1"/>
  <c r="G740" i="1"/>
  <c r="F740" i="1"/>
  <c r="E740" i="1"/>
  <c r="E756" i="1" s="1"/>
  <c r="E769" i="1" s="1"/>
  <c r="J597" i="1"/>
  <c r="H597" i="1"/>
  <c r="G597" i="1"/>
  <c r="F597" i="1"/>
  <c r="E597" i="1"/>
  <c r="J586" i="1"/>
  <c r="H586" i="1"/>
  <c r="G586" i="1"/>
  <c r="F586" i="1"/>
  <c r="E586" i="1"/>
  <c r="J585" i="1"/>
  <c r="H585" i="1"/>
  <c r="G585" i="1"/>
  <c r="F585" i="1"/>
  <c r="E585" i="1"/>
  <c r="J580" i="1"/>
  <c r="I580" i="1"/>
  <c r="H580" i="1"/>
  <c r="G580" i="1"/>
  <c r="F580" i="1"/>
  <c r="E580" i="1"/>
  <c r="G575" i="1"/>
  <c r="E575" i="1"/>
  <c r="G564" i="1"/>
  <c r="E564" i="1"/>
  <c r="G563" i="1"/>
  <c r="E563" i="1"/>
  <c r="G562" i="1"/>
  <c r="E562" i="1"/>
  <c r="J560" i="1"/>
  <c r="H560" i="1"/>
  <c r="G560" i="1"/>
  <c r="G570" i="1" s="1"/>
  <c r="F560" i="1"/>
  <c r="J559" i="1"/>
  <c r="H559" i="1"/>
  <c r="G559" i="1"/>
  <c r="G569" i="1" s="1"/>
  <c r="F559" i="1"/>
  <c r="J558" i="1"/>
  <c r="H558" i="1"/>
  <c r="G558" i="1"/>
  <c r="G568" i="1" s="1"/>
  <c r="F558" i="1"/>
  <c r="J557" i="1"/>
  <c r="H557" i="1"/>
  <c r="G557" i="1"/>
  <c r="G567" i="1" s="1"/>
  <c r="F557" i="1"/>
  <c r="J556" i="1"/>
  <c r="H556" i="1"/>
  <c r="G556" i="1"/>
  <c r="G566" i="1" s="1"/>
  <c r="F556" i="1"/>
  <c r="G541" i="1"/>
  <c r="E541" i="1"/>
  <c r="J539" i="1"/>
  <c r="I539" i="1"/>
  <c r="H539" i="1"/>
  <c r="G539" i="1"/>
  <c r="F539" i="1"/>
  <c r="E539" i="1"/>
  <c r="J538" i="1"/>
  <c r="I538" i="1"/>
  <c r="H538" i="1"/>
  <c r="G538" i="1"/>
  <c r="F538" i="1"/>
  <c r="E538" i="1"/>
  <c r="J537" i="1"/>
  <c r="I537" i="1"/>
  <c r="H537" i="1"/>
  <c r="G537" i="1"/>
  <c r="F537" i="1"/>
  <c r="E537" i="1"/>
  <c r="J536" i="1"/>
  <c r="I536" i="1"/>
  <c r="H536" i="1"/>
  <c r="G536" i="1"/>
  <c r="F536" i="1"/>
  <c r="E536" i="1"/>
  <c r="G581" i="1"/>
  <c r="BH580" i="1"/>
  <c r="BG580" i="1"/>
  <c r="BF580" i="1"/>
  <c r="BE580" i="1"/>
  <c r="BD580" i="1"/>
  <c r="BC580" i="1"/>
  <c r="BB580" i="1"/>
  <c r="BA580" i="1"/>
  <c r="AZ580" i="1"/>
  <c r="AY580" i="1"/>
  <c r="G8" i="24" l="1"/>
  <c r="R197" i="5"/>
  <c r="F58" i="5" s="1"/>
  <c r="O5" i="34"/>
  <c r="F100" i="11"/>
  <c r="F7" i="1"/>
  <c r="E234" i="12"/>
  <c r="E45" i="12"/>
  <c r="E32" i="12"/>
  <c r="E133" i="12"/>
  <c r="E146" i="12"/>
  <c r="N27" i="5"/>
  <c r="R76" i="5" s="1"/>
  <c r="E19" i="7"/>
  <c r="E32" i="7" s="1"/>
  <c r="F805" i="1" l="1"/>
  <c r="O7" i="34"/>
  <c r="E63" i="35"/>
  <c r="E67" i="7"/>
  <c r="J127" i="7"/>
  <c r="F127" i="7"/>
  <c r="D32" i="5"/>
  <c r="B31" i="5"/>
  <c r="J617" i="1"/>
  <c r="I617" i="1"/>
  <c r="H617" i="1"/>
  <c r="G617" i="1"/>
  <c r="F617" i="1"/>
  <c r="E617" i="1"/>
  <c r="J618" i="1"/>
  <c r="I618" i="1"/>
  <c r="H618" i="1"/>
  <c r="G618" i="1"/>
  <c r="G619" i="1" s="1"/>
  <c r="F618" i="1"/>
  <c r="G614" i="1"/>
  <c r="E614" i="1"/>
  <c r="D30" i="5"/>
  <c r="B30" i="5"/>
  <c r="K13" i="24"/>
  <c r="K12" i="24"/>
  <c r="K11" i="24"/>
  <c r="K10" i="24"/>
  <c r="K9" i="24"/>
  <c r="K8" i="24"/>
  <c r="K7" i="24"/>
  <c r="J272" i="31"/>
  <c r="F272" i="31"/>
  <c r="J73" i="1"/>
  <c r="F73" i="1"/>
  <c r="J177" i="31" l="1"/>
  <c r="H177" i="31"/>
  <c r="F177" i="31"/>
  <c r="J176" i="31"/>
  <c r="F176" i="31"/>
  <c r="J86" i="7"/>
  <c r="H86" i="7"/>
  <c r="F86" i="7"/>
  <c r="J84" i="7"/>
  <c r="F84" i="7"/>
  <c r="J83" i="7"/>
  <c r="F83" i="7"/>
  <c r="J82" i="7"/>
  <c r="F82" i="7"/>
  <c r="J81" i="7"/>
  <c r="F81" i="7"/>
  <c r="J80" i="7"/>
  <c r="F80" i="7"/>
  <c r="J142" i="31"/>
  <c r="H142" i="31"/>
  <c r="J173" i="31"/>
  <c r="J85" i="7" s="1"/>
  <c r="H173" i="31"/>
  <c r="H85" i="7" s="1"/>
  <c r="F173" i="31"/>
  <c r="F85" i="7" s="1"/>
  <c r="G174" i="31"/>
  <c r="G86" i="7" s="1"/>
  <c r="E243" i="31"/>
  <c r="J161" i="31"/>
  <c r="H161" i="31"/>
  <c r="G161" i="31"/>
  <c r="F161" i="31"/>
  <c r="H169" i="31"/>
  <c r="H81" i="7" s="1"/>
  <c r="H167" i="31"/>
  <c r="H80" i="7" s="1"/>
  <c r="H166" i="31"/>
  <c r="H165" i="31"/>
  <c r="H163" i="31"/>
  <c r="H176" i="31" l="1"/>
  <c r="E177" i="31"/>
  <c r="E86" i="7"/>
  <c r="J140" i="31"/>
  <c r="H140" i="31"/>
  <c r="G140" i="31"/>
  <c r="F140" i="31"/>
  <c r="E140" i="31"/>
  <c r="G131" i="31"/>
  <c r="E131" i="31"/>
  <c r="J134" i="31"/>
  <c r="H134" i="31"/>
  <c r="F134" i="31"/>
  <c r="J128" i="31"/>
  <c r="I128" i="31"/>
  <c r="H128" i="31"/>
  <c r="G128" i="31"/>
  <c r="F128" i="31"/>
  <c r="E128" i="31"/>
  <c r="J123" i="31"/>
  <c r="I123" i="31"/>
  <c r="H123" i="31"/>
  <c r="G123" i="31"/>
  <c r="F123" i="31"/>
  <c r="E123" i="31"/>
  <c r="G119" i="31"/>
  <c r="F119" i="31"/>
  <c r="E119" i="31"/>
  <c r="F118" i="31"/>
  <c r="E118" i="31"/>
  <c r="J112" i="31"/>
  <c r="I112" i="31"/>
  <c r="H112" i="31"/>
  <c r="G112" i="31"/>
  <c r="F112" i="31"/>
  <c r="E112" i="31"/>
  <c r="J107" i="31"/>
  <c r="H107" i="31"/>
  <c r="G107" i="31"/>
  <c r="F107" i="31"/>
  <c r="E107" i="31"/>
  <c r="E104" i="31"/>
  <c r="E109" i="31" l="1"/>
  <c r="E110" i="31" s="1"/>
  <c r="J61" i="31"/>
  <c r="I61" i="31"/>
  <c r="H61" i="31"/>
  <c r="G61" i="31"/>
  <c r="G104" i="31" s="1"/>
  <c r="F61" i="31"/>
  <c r="E61" i="31"/>
  <c r="J248" i="1" l="1"/>
  <c r="I248" i="1"/>
  <c r="H248" i="1"/>
  <c r="G248" i="1"/>
  <c r="F248" i="1"/>
  <c r="E248" i="1"/>
  <c r="H236" i="1"/>
  <c r="E236" i="1"/>
  <c r="G224" i="1"/>
  <c r="G225" i="1" s="1"/>
  <c r="G227" i="1" s="1"/>
  <c r="G229" i="1" s="1"/>
  <c r="E224" i="1"/>
  <c r="G223" i="1"/>
  <c r="E223" i="1"/>
  <c r="G219" i="1"/>
  <c r="G220" i="1" s="1"/>
  <c r="E219" i="1"/>
  <c r="E220" i="1" s="1"/>
  <c r="J212" i="1"/>
  <c r="I212" i="1"/>
  <c r="H212" i="1"/>
  <c r="G212" i="1"/>
  <c r="F212" i="1"/>
  <c r="G214" i="1"/>
  <c r="E214" i="1"/>
  <c r="G213" i="1"/>
  <c r="E213" i="1"/>
  <c r="E212" i="1"/>
  <c r="G204" i="1"/>
  <c r="F204" i="1"/>
  <c r="E204" i="1"/>
  <c r="J746" i="1"/>
  <c r="I746" i="1"/>
  <c r="H746" i="1"/>
  <c r="G746" i="1"/>
  <c r="F746" i="1"/>
  <c r="E746" i="1"/>
  <c r="J69" i="12"/>
  <c r="I69" i="12"/>
  <c r="H69" i="12"/>
  <c r="G69" i="12"/>
  <c r="F69" i="12"/>
  <c r="E69" i="12"/>
  <c r="J202" i="1"/>
  <c r="I202" i="1"/>
  <c r="H202" i="1"/>
  <c r="G202" i="1"/>
  <c r="F202" i="1"/>
  <c r="E202" i="1"/>
  <c r="E206" i="1" s="1"/>
  <c r="J201" i="1"/>
  <c r="I201" i="1"/>
  <c r="H201" i="1"/>
  <c r="G201" i="1"/>
  <c r="F201" i="1"/>
  <c r="E201" i="1"/>
  <c r="E197" i="1"/>
  <c r="G191" i="1"/>
  <c r="G192" i="1" s="1"/>
  <c r="G218" i="1" s="1"/>
  <c r="E191" i="1"/>
  <c r="J190" i="1"/>
  <c r="I190" i="1"/>
  <c r="H190" i="1"/>
  <c r="G190" i="1"/>
  <c r="F190" i="1"/>
  <c r="E190" i="1"/>
  <c r="J244" i="1"/>
  <c r="I244" i="1"/>
  <c r="H244" i="1"/>
  <c r="F244" i="1"/>
  <c r="J241" i="1"/>
  <c r="I241" i="1"/>
  <c r="H241" i="1"/>
  <c r="G241" i="1"/>
  <c r="F241" i="1"/>
  <c r="E241" i="1"/>
  <c r="J240" i="1"/>
  <c r="I240" i="1"/>
  <c r="H240" i="1"/>
  <c r="G240" i="1"/>
  <c r="F240" i="1"/>
  <c r="E240" i="1"/>
  <c r="J232" i="1"/>
  <c r="I232" i="1"/>
  <c r="H232" i="1"/>
  <c r="G232" i="1"/>
  <c r="F232" i="1"/>
  <c r="E232" i="1"/>
  <c r="J231" i="1"/>
  <c r="H231" i="1"/>
  <c r="G231" i="1"/>
  <c r="F231" i="1"/>
  <c r="G228" i="1"/>
  <c r="E228" i="1"/>
  <c r="E227" i="1"/>
  <c r="G209" i="1"/>
  <c r="G244" i="1" s="1"/>
  <c r="E244" i="1"/>
  <c r="E192" i="1" l="1"/>
  <c r="E218" i="1" s="1"/>
  <c r="F177" i="1"/>
  <c r="G177" i="1"/>
  <c r="H177" i="1"/>
  <c r="J177" i="1"/>
  <c r="E152" i="1"/>
  <c r="F152" i="1"/>
  <c r="G152" i="1"/>
  <c r="H152" i="1"/>
  <c r="J152" i="1"/>
  <c r="E178" i="1"/>
  <c r="F178" i="1"/>
  <c r="G178" i="1"/>
  <c r="H178" i="1"/>
  <c r="J178" i="1"/>
  <c r="E171" i="1"/>
  <c r="F171" i="1"/>
  <c r="G171" i="1"/>
  <c r="H171" i="1"/>
  <c r="I171" i="1"/>
  <c r="J171" i="1"/>
  <c r="E170" i="1"/>
  <c r="F170" i="1"/>
  <c r="G170" i="1"/>
  <c r="H170" i="1"/>
  <c r="I170" i="1"/>
  <c r="J170" i="1"/>
  <c r="G158" i="1"/>
  <c r="F158" i="1"/>
  <c r="E158" i="1"/>
  <c r="A1" i="34"/>
  <c r="C5" i="24" s="1"/>
  <c r="G528" i="1" l="1"/>
  <c r="F528" i="1"/>
  <c r="E528" i="1"/>
  <c r="G510" i="1"/>
  <c r="F510" i="1"/>
  <c r="E510" i="1"/>
  <c r="J426" i="1" l="1"/>
  <c r="H426" i="1"/>
  <c r="G426" i="1"/>
  <c r="F426" i="1"/>
  <c r="E426" i="1"/>
  <c r="E419" i="1"/>
  <c r="F419" i="1"/>
  <c r="G419" i="1"/>
  <c r="H419" i="1"/>
  <c r="I419" i="1"/>
  <c r="J419" i="1"/>
  <c r="E385" i="1"/>
  <c r="F385" i="1"/>
  <c r="G385" i="1"/>
  <c r="H385" i="1"/>
  <c r="J385" i="1"/>
  <c r="E404" i="1"/>
  <c r="E424" i="1" s="1"/>
  <c r="F404" i="1"/>
  <c r="F424" i="1" s="1"/>
  <c r="G404" i="1"/>
  <c r="G424" i="1" s="1"/>
  <c r="H404" i="1"/>
  <c r="H424" i="1" s="1"/>
  <c r="I404" i="1"/>
  <c r="I424" i="1" s="1"/>
  <c r="J404" i="1"/>
  <c r="J424" i="1" s="1"/>
  <c r="E386" i="1"/>
  <c r="F386" i="1"/>
  <c r="G386" i="1"/>
  <c r="H386" i="1"/>
  <c r="J386" i="1"/>
  <c r="G231" i="31" l="1"/>
  <c r="E231" i="31"/>
  <c r="E159" i="1"/>
  <c r="F159" i="1"/>
  <c r="G159" i="1"/>
  <c r="H159" i="1"/>
  <c r="I159" i="1"/>
  <c r="J159" i="1"/>
  <c r="E157" i="1"/>
  <c r="E644" i="1"/>
  <c r="F644" i="1"/>
  <c r="G644" i="1"/>
  <c r="H644" i="1"/>
  <c r="J644" i="1"/>
  <c r="G632" i="1"/>
  <c r="F632" i="1"/>
  <c r="E632" i="1"/>
  <c r="E618" i="1" l="1"/>
  <c r="E24" i="35" l="1"/>
  <c r="E34" i="35"/>
  <c r="E33" i="35"/>
  <c r="E32" i="35"/>
  <c r="E23" i="35"/>
  <c r="E22" i="35"/>
  <c r="F493" i="1"/>
  <c r="H493" i="1"/>
  <c r="J493" i="1"/>
  <c r="E717" i="1"/>
  <c r="F465" i="1" l="1"/>
  <c r="H465" i="1"/>
  <c r="J465" i="1"/>
  <c r="E527" i="1"/>
  <c r="K530" i="1"/>
  <c r="G529" i="1"/>
  <c r="G530" i="1" s="1"/>
  <c r="G436" i="1"/>
  <c r="E436" i="1"/>
  <c r="G400" i="1"/>
  <c r="G344" i="1"/>
  <c r="G336" i="1"/>
  <c r="G346" i="1" s="1"/>
  <c r="E346" i="1"/>
  <c r="G335" i="1"/>
  <c r="G345" i="1" s="1"/>
  <c r="E345" i="1"/>
  <c r="J317" i="1"/>
  <c r="H317" i="1"/>
  <c r="G317" i="1"/>
  <c r="F317" i="1"/>
  <c r="E317" i="1"/>
  <c r="J316" i="1"/>
  <c r="H316" i="1"/>
  <c r="G316" i="1"/>
  <c r="F316" i="1"/>
  <c r="E316" i="1"/>
  <c r="F265" i="1"/>
  <c r="G265" i="1"/>
  <c r="H265" i="1"/>
  <c r="J265" i="1"/>
  <c r="E265" i="1"/>
  <c r="F257" i="1"/>
  <c r="H257" i="1"/>
  <c r="J257" i="1"/>
  <c r="J252" i="1"/>
  <c r="H252" i="1"/>
  <c r="G252" i="1"/>
  <c r="F252" i="1"/>
  <c r="F251" i="1"/>
  <c r="G251" i="1"/>
  <c r="H251" i="1"/>
  <c r="J251" i="1"/>
  <c r="E251" i="1"/>
  <c r="F247" i="1"/>
  <c r="G247" i="1"/>
  <c r="H247" i="1"/>
  <c r="J247" i="1"/>
  <c r="E247" i="1"/>
  <c r="F185" i="1"/>
  <c r="G185" i="1"/>
  <c r="E185" i="1"/>
  <c r="E184" i="1"/>
  <c r="F127" i="1"/>
  <c r="G127" i="1"/>
  <c r="H127" i="1"/>
  <c r="J127" i="1"/>
  <c r="E127" i="1"/>
  <c r="G449" i="1"/>
  <c r="F449" i="1"/>
  <c r="E449" i="1"/>
  <c r="G366" i="1"/>
  <c r="F366" i="1"/>
  <c r="E366" i="1"/>
  <c r="F91" i="1"/>
  <c r="G91" i="1"/>
  <c r="E91" i="1"/>
  <c r="G47" i="40"/>
  <c r="E47" i="40"/>
  <c r="E24" i="36"/>
  <c r="E465" i="1" l="1"/>
  <c r="E493" i="1"/>
  <c r="G465" i="1"/>
  <c r="G493" i="1"/>
  <c r="K465" i="1"/>
  <c r="K493" i="1"/>
  <c r="W68" i="5"/>
  <c r="V68" i="5"/>
  <c r="U161" i="5" l="1" a="1"/>
  <c r="E72" i="35" a="1"/>
  <c r="E79" i="35" a="1"/>
  <c r="U161" i="5"/>
  <c r="X161" i="5"/>
  <c r="Y161" i="5"/>
  <c r="W161" i="5"/>
  <c r="R103" i="5" a="1"/>
  <c r="S142" i="5" a="1"/>
  <c r="V161" i="5"/>
  <c r="G14" i="35"/>
  <c r="F14" i="35"/>
  <c r="E14" i="35"/>
  <c r="E80" i="35" l="1"/>
  <c r="E81" i="35"/>
  <c r="E83" i="35"/>
  <c r="E79" i="35"/>
  <c r="E82" i="35"/>
  <c r="E72" i="35"/>
  <c r="E75" i="35"/>
  <c r="E74" i="35"/>
  <c r="E73" i="35"/>
  <c r="E76" i="35"/>
  <c r="S142" i="5"/>
  <c r="S145" i="5"/>
  <c r="S146" i="5"/>
  <c r="S144" i="5"/>
  <c r="S143" i="5"/>
  <c r="R103" i="5"/>
  <c r="R106" i="5"/>
  <c r="R104" i="5"/>
  <c r="R107" i="5"/>
  <c r="R105" i="5"/>
  <c r="B181" i="5"/>
  <c r="B160" i="5"/>
  <c r="B79" i="5"/>
  <c r="J162" i="1" l="1"/>
  <c r="I162" i="1"/>
  <c r="H162" i="1"/>
  <c r="F162" i="1"/>
  <c r="E156" i="1"/>
  <c r="G151" i="1"/>
  <c r="E151" i="1"/>
  <c r="L13" i="34" l="1"/>
  <c r="B57" i="5" l="1"/>
  <c r="B56" i="5"/>
  <c r="B55" i="5"/>
  <c r="B54" i="5" l="1"/>
  <c r="B53" i="5"/>
  <c r="AX280" i="31" l="1"/>
  <c r="AW280" i="31"/>
  <c r="AV280" i="31"/>
  <c r="AU280" i="31"/>
  <c r="AT280" i="31"/>
  <c r="AS280" i="31"/>
  <c r="AR280" i="31"/>
  <c r="AQ280" i="31"/>
  <c r="AP280" i="31"/>
  <c r="AO280" i="31"/>
  <c r="AN280" i="31"/>
  <c r="AM280" i="31"/>
  <c r="AL280" i="31"/>
  <c r="AK280" i="31"/>
  <c r="AJ280" i="31"/>
  <c r="AI280" i="31"/>
  <c r="AH280" i="31"/>
  <c r="AG280" i="31"/>
  <c r="AF280" i="31"/>
  <c r="AE280" i="31"/>
  <c r="AD280" i="31"/>
  <c r="AC280" i="31"/>
  <c r="AB280" i="31"/>
  <c r="AA280" i="31"/>
  <c r="Z280" i="31"/>
  <c r="Y280" i="31"/>
  <c r="X280" i="31"/>
  <c r="W280" i="31"/>
  <c r="V280" i="31"/>
  <c r="U280" i="31"/>
  <c r="T280" i="31"/>
  <c r="S280" i="31"/>
  <c r="R280" i="31"/>
  <c r="Q280" i="31"/>
  <c r="P280" i="31"/>
  <c r="O280" i="31"/>
  <c r="N280" i="31"/>
  <c r="M280" i="31"/>
  <c r="L280" i="31"/>
  <c r="K280" i="31"/>
  <c r="J280" i="31"/>
  <c r="I280" i="31"/>
  <c r="H280" i="31"/>
  <c r="G280" i="31"/>
  <c r="E280" i="31"/>
  <c r="F65" i="11"/>
  <c r="F280" i="31" s="1"/>
  <c r="J492" i="1" l="1"/>
  <c r="H492" i="1"/>
  <c r="G492" i="1"/>
  <c r="F492" i="1"/>
  <c r="J491" i="1"/>
  <c r="H491" i="1"/>
  <c r="G491" i="1"/>
  <c r="F491" i="1"/>
  <c r="J464" i="1"/>
  <c r="H464" i="1"/>
  <c r="G464" i="1"/>
  <c r="F464" i="1"/>
  <c r="E454" i="1"/>
  <c r="J453" i="1"/>
  <c r="H453" i="1"/>
  <c r="G453" i="1"/>
  <c r="F453" i="1"/>
  <c r="E453" i="1"/>
  <c r="E455" i="1" l="1"/>
  <c r="E492" i="1" s="1"/>
  <c r="I8" i="24"/>
  <c r="J14" i="7"/>
  <c r="J27" i="7" s="1"/>
  <c r="F14" i="7"/>
  <c r="F27" i="7" s="1"/>
  <c r="J735" i="1"/>
  <c r="H735" i="1"/>
  <c r="H751" i="1" s="1"/>
  <c r="H14" i="7" s="1"/>
  <c r="H27" i="7" s="1"/>
  <c r="G735" i="1"/>
  <c r="F735" i="1"/>
  <c r="E735" i="1"/>
  <c r="E751" i="1" s="1"/>
  <c r="E764" i="1" s="1"/>
  <c r="G281" i="31"/>
  <c r="E281" i="31"/>
  <c r="E464" i="1" l="1"/>
  <c r="N22" i="5"/>
  <c r="R70" i="5" s="1"/>
  <c r="E14" i="7"/>
  <c r="E27" i="7" s="1"/>
  <c r="J186" i="1"/>
  <c r="H186" i="1"/>
  <c r="G186" i="1"/>
  <c r="F186" i="1"/>
  <c r="E186" i="1"/>
  <c r="E62" i="7" l="1"/>
  <c r="G274" i="31"/>
  <c r="E274" i="31"/>
  <c r="G279" i="31" l="1"/>
  <c r="F279" i="31"/>
  <c r="E279" i="31"/>
  <c r="J278" i="31"/>
  <c r="H278" i="31"/>
  <c r="G278" i="31"/>
  <c r="F278" i="31"/>
  <c r="E278" i="31"/>
  <c r="G273" i="31"/>
  <c r="F273" i="31"/>
  <c r="E273" i="31"/>
  <c r="G46" i="40"/>
  <c r="G81" i="40"/>
  <c r="E81" i="40"/>
  <c r="J49" i="40"/>
  <c r="H49" i="40"/>
  <c r="F49" i="40"/>
  <c r="E49" i="40"/>
  <c r="AX46" i="40"/>
  <c r="AW46" i="40"/>
  <c r="AV46" i="40"/>
  <c r="AU46" i="40"/>
  <c r="AT46" i="40"/>
  <c r="AS46" i="40"/>
  <c r="AR46" i="40"/>
  <c r="AQ46" i="40"/>
  <c r="AP46" i="40"/>
  <c r="AO46" i="40"/>
  <c r="AN46" i="40"/>
  <c r="AM46" i="40"/>
  <c r="AL46" i="40"/>
  <c r="AK46" i="40"/>
  <c r="AJ46" i="40"/>
  <c r="AI46" i="40"/>
  <c r="AH46" i="40"/>
  <c r="AG46" i="40"/>
  <c r="AF46" i="40"/>
  <c r="AE46" i="40"/>
  <c r="AD46" i="40"/>
  <c r="AC46" i="40"/>
  <c r="AB46" i="40"/>
  <c r="AA46" i="40"/>
  <c r="Z46" i="40"/>
  <c r="Y46" i="40"/>
  <c r="X46" i="40"/>
  <c r="W46" i="40"/>
  <c r="V46" i="40"/>
  <c r="U46" i="40"/>
  <c r="T46" i="40"/>
  <c r="S46" i="40"/>
  <c r="R46" i="40"/>
  <c r="Q46" i="40"/>
  <c r="P46" i="40"/>
  <c r="O46" i="40"/>
  <c r="N46" i="40"/>
  <c r="M46" i="40"/>
  <c r="L46" i="40"/>
  <c r="K46" i="40"/>
  <c r="J46" i="40"/>
  <c r="H46" i="40"/>
  <c r="F46" i="40"/>
  <c r="F40" i="40"/>
  <c r="G39" i="40"/>
  <c r="F39" i="40"/>
  <c r="E39" i="40"/>
  <c r="E36" i="40"/>
  <c r="E35" i="40"/>
  <c r="E34" i="40"/>
  <c r="E33" i="40"/>
  <c r="E32" i="40"/>
  <c r="E31" i="40"/>
  <c r="E30" i="40"/>
  <c r="G28" i="40"/>
  <c r="E28" i="40"/>
  <c r="F27" i="40"/>
  <c r="F32" i="40" s="1"/>
  <c r="E24" i="40"/>
  <c r="E23" i="40"/>
  <c r="I16" i="40"/>
  <c r="I15" i="40"/>
  <c r="I12" i="40"/>
  <c r="I46" i="40" s="1"/>
  <c r="E46" i="40"/>
  <c r="G3" i="40"/>
  <c r="A1" i="40"/>
  <c r="G34" i="24" s="1"/>
  <c r="H143" i="31"/>
  <c r="H127" i="7" s="1"/>
  <c r="G271" i="31"/>
  <c r="E271" i="31"/>
  <c r="E83" i="40" l="1"/>
  <c r="J13" i="34" s="1"/>
  <c r="A78" i="40"/>
  <c r="E50" i="40"/>
  <c r="F20" i="11"/>
  <c r="H73" i="1"/>
  <c r="H272" i="31"/>
  <c r="F6" i="40"/>
  <c r="M6" i="24"/>
  <c r="F41" i="40"/>
  <c r="F31" i="40"/>
  <c r="G27" i="40"/>
  <c r="F81" i="40" l="1"/>
  <c r="F83" i="40" s="1"/>
  <c r="K13" i="34" s="1"/>
  <c r="F35" i="40"/>
  <c r="F33" i="40"/>
  <c r="I19" i="40"/>
  <c r="I17" i="40"/>
  <c r="L3" i="6" l="1"/>
  <c r="L3" i="7"/>
  <c r="L3" i="12"/>
  <c r="G277" i="12"/>
  <c r="E277" i="12"/>
  <c r="G176" i="12"/>
  <c r="E176" i="12"/>
  <c r="G217" i="31"/>
  <c r="E217" i="31"/>
  <c r="L12" i="34"/>
  <c r="E472" i="1" l="1"/>
  <c r="G55" i="11"/>
  <c r="F55" i="11"/>
  <c r="E409" i="1" l="1"/>
  <c r="F409" i="1"/>
  <c r="G409" i="1"/>
  <c r="H409" i="1"/>
  <c r="J409" i="1"/>
  <c r="G298" i="1" l="1"/>
  <c r="E298" i="1"/>
  <c r="L3" i="11"/>
  <c r="L3" i="31"/>
  <c r="L3" i="1"/>
  <c r="E24" i="33"/>
  <c r="E23" i="33"/>
  <c r="E23" i="36"/>
  <c r="G292" i="1" l="1"/>
  <c r="E292" i="1"/>
  <c r="G315" i="12"/>
  <c r="E315" i="12"/>
  <c r="I12" i="36"/>
  <c r="I12" i="33"/>
  <c r="G122" i="7" l="1"/>
  <c r="E122" i="7"/>
  <c r="G121" i="7"/>
  <c r="E121" i="7"/>
  <c r="G120" i="7"/>
  <c r="E120" i="7"/>
  <c r="G103" i="12"/>
  <c r="E103" i="12"/>
  <c r="B179" i="5" l="1"/>
  <c r="U194" i="5"/>
  <c r="V194" i="5"/>
  <c r="W194" i="5"/>
  <c r="X194" i="5"/>
  <c r="U190" i="5"/>
  <c r="V190" i="5"/>
  <c r="W190" i="5"/>
  <c r="X190" i="5"/>
  <c r="U191" i="5"/>
  <c r="V191" i="5"/>
  <c r="W191" i="5"/>
  <c r="X191" i="5"/>
  <c r="U192" i="5"/>
  <c r="V192" i="5"/>
  <c r="W192" i="5"/>
  <c r="X192" i="5"/>
  <c r="T179" i="5"/>
  <c r="E55" i="11"/>
  <c r="D9" i="5" l="1"/>
  <c r="B9" i="5"/>
  <c r="G16" i="24" l="1"/>
  <c r="G15" i="24"/>
  <c r="G14" i="24"/>
  <c r="G13" i="24"/>
  <c r="G12" i="24"/>
  <c r="G11" i="24"/>
  <c r="I21" i="24"/>
  <c r="I20" i="24"/>
  <c r="I19" i="24"/>
  <c r="I17" i="24"/>
  <c r="I13" i="24"/>
  <c r="I12" i="24"/>
  <c r="I11" i="24"/>
  <c r="G81" i="36" l="1"/>
  <c r="E81" i="36"/>
  <c r="J49" i="36"/>
  <c r="H49" i="36"/>
  <c r="F49" i="36"/>
  <c r="E49" i="36"/>
  <c r="G47" i="36"/>
  <c r="E47" i="36"/>
  <c r="AX46" i="36"/>
  <c r="AW46" i="36"/>
  <c r="AV46" i="36"/>
  <c r="AU46" i="36"/>
  <c r="AT46" i="36"/>
  <c r="AS46" i="36"/>
  <c r="AR46" i="36"/>
  <c r="AQ46" i="36"/>
  <c r="AP46" i="36"/>
  <c r="AO46" i="36"/>
  <c r="AN46" i="36"/>
  <c r="AM46" i="36"/>
  <c r="AL46" i="36"/>
  <c r="AK46" i="36"/>
  <c r="AJ46" i="36"/>
  <c r="AI46" i="36"/>
  <c r="AH46" i="36"/>
  <c r="AG46" i="36"/>
  <c r="AF46" i="36"/>
  <c r="AE46" i="36"/>
  <c r="AD46" i="36"/>
  <c r="AC46" i="36"/>
  <c r="AB46" i="36"/>
  <c r="AA46" i="36"/>
  <c r="Z46" i="36"/>
  <c r="Y46" i="36"/>
  <c r="X46" i="36"/>
  <c r="W46" i="36"/>
  <c r="V46" i="36"/>
  <c r="U46" i="36"/>
  <c r="T46" i="36"/>
  <c r="S46" i="36"/>
  <c r="R46" i="36"/>
  <c r="Q46" i="36"/>
  <c r="P46" i="36"/>
  <c r="O46" i="36"/>
  <c r="N46" i="36"/>
  <c r="M46" i="36"/>
  <c r="L46" i="36"/>
  <c r="K46" i="36"/>
  <c r="J46" i="36"/>
  <c r="H46" i="36"/>
  <c r="F46" i="36"/>
  <c r="F40" i="36"/>
  <c r="G39" i="36"/>
  <c r="F39" i="36"/>
  <c r="E39" i="36"/>
  <c r="E36" i="36"/>
  <c r="E35" i="36"/>
  <c r="E34" i="36"/>
  <c r="E33" i="36"/>
  <c r="E32" i="36"/>
  <c r="E31" i="36"/>
  <c r="E30" i="36"/>
  <c r="G28" i="36"/>
  <c r="E28" i="36"/>
  <c r="F27" i="36"/>
  <c r="I16" i="36"/>
  <c r="I15" i="36"/>
  <c r="I46" i="36"/>
  <c r="G46" i="36"/>
  <c r="E46" i="36"/>
  <c r="G3" i="36"/>
  <c r="A1" i="36"/>
  <c r="G33" i="24" s="1"/>
  <c r="C8" i="34"/>
  <c r="L5" i="34"/>
  <c r="T157" i="5"/>
  <c r="R157" i="5"/>
  <c r="T156" i="5"/>
  <c r="R156" i="5"/>
  <c r="T134" i="5"/>
  <c r="R134" i="5"/>
  <c r="T133" i="5"/>
  <c r="R133" i="5"/>
  <c r="G33" i="11"/>
  <c r="G77" i="31" s="1"/>
  <c r="F33" i="11"/>
  <c r="F77" i="31" s="1"/>
  <c r="E33" i="11"/>
  <c r="E77" i="31" s="1"/>
  <c r="E34" i="31"/>
  <c r="E33" i="31"/>
  <c r="E32" i="31"/>
  <c r="E31" i="31"/>
  <c r="E30" i="31"/>
  <c r="E29" i="31"/>
  <c r="G27" i="31"/>
  <c r="E27" i="31"/>
  <c r="G47" i="33"/>
  <c r="E47" i="33"/>
  <c r="F27" i="33"/>
  <c r="E661" i="1"/>
  <c r="F661" i="1"/>
  <c r="G661" i="1"/>
  <c r="H661" i="1"/>
  <c r="J661" i="1"/>
  <c r="E715" i="1"/>
  <c r="F715" i="1"/>
  <c r="G715" i="1"/>
  <c r="H715" i="1"/>
  <c r="J715" i="1"/>
  <c r="E714" i="1"/>
  <c r="F714" i="1"/>
  <c r="G714" i="1"/>
  <c r="H714" i="1"/>
  <c r="J714" i="1"/>
  <c r="E685" i="1"/>
  <c r="F685" i="1"/>
  <c r="G685" i="1"/>
  <c r="H685" i="1"/>
  <c r="J685" i="1"/>
  <c r="F684" i="1"/>
  <c r="G684" i="1"/>
  <c r="H684" i="1"/>
  <c r="J684" i="1"/>
  <c r="F649" i="1"/>
  <c r="G649" i="1"/>
  <c r="H649" i="1"/>
  <c r="J649" i="1"/>
  <c r="G639" i="1"/>
  <c r="E639" i="1"/>
  <c r="E649" i="1"/>
  <c r="E628" i="1"/>
  <c r="F628" i="1"/>
  <c r="G628" i="1"/>
  <c r="H628" i="1"/>
  <c r="J628" i="1"/>
  <c r="G629" i="1"/>
  <c r="E631" i="1"/>
  <c r="E629" i="1"/>
  <c r="E593" i="1"/>
  <c r="F593" i="1"/>
  <c r="G593" i="1"/>
  <c r="H593" i="1"/>
  <c r="J593" i="1"/>
  <c r="E489" i="1"/>
  <c r="F489" i="1"/>
  <c r="G489" i="1"/>
  <c r="H489" i="1"/>
  <c r="J489" i="1"/>
  <c r="F488" i="1"/>
  <c r="G488" i="1"/>
  <c r="H488" i="1"/>
  <c r="J488" i="1"/>
  <c r="F487" i="1"/>
  <c r="G487" i="1"/>
  <c r="H487" i="1"/>
  <c r="J487" i="1"/>
  <c r="F486" i="1"/>
  <c r="G486" i="1"/>
  <c r="H486" i="1"/>
  <c r="J486" i="1"/>
  <c r="F485" i="1"/>
  <c r="G485" i="1"/>
  <c r="H485" i="1"/>
  <c r="J485" i="1"/>
  <c r="E83" i="36" l="1"/>
  <c r="J12" i="34" s="1"/>
  <c r="A78" i="36"/>
  <c r="E50" i="36"/>
  <c r="F41" i="36"/>
  <c r="M5" i="24"/>
  <c r="F19" i="11"/>
  <c r="F6" i="36"/>
  <c r="G27" i="36"/>
  <c r="E684" i="1"/>
  <c r="F81" i="36" l="1"/>
  <c r="F83" i="36" s="1"/>
  <c r="K12" i="34" s="1"/>
  <c r="I19" i="36"/>
  <c r="I17" i="36"/>
  <c r="J483" i="1" l="1"/>
  <c r="H483" i="1"/>
  <c r="G483" i="1"/>
  <c r="F483" i="1"/>
  <c r="F463" i="1"/>
  <c r="G463" i="1"/>
  <c r="H463" i="1"/>
  <c r="J463" i="1"/>
  <c r="E447" i="1"/>
  <c r="E450" i="1" s="1"/>
  <c r="F447" i="1"/>
  <c r="G447" i="1"/>
  <c r="H447" i="1"/>
  <c r="J447" i="1"/>
  <c r="E448" i="1"/>
  <c r="E463" i="1" l="1"/>
  <c r="E491" i="1"/>
  <c r="E461" i="1"/>
  <c r="F461" i="1"/>
  <c r="G461" i="1"/>
  <c r="H461" i="1"/>
  <c r="J461" i="1"/>
  <c r="F460" i="1"/>
  <c r="G460" i="1"/>
  <c r="H460" i="1"/>
  <c r="J460" i="1"/>
  <c r="F444" i="1"/>
  <c r="G444" i="1"/>
  <c r="H444" i="1"/>
  <c r="J444" i="1"/>
  <c r="F374" i="1"/>
  <c r="G374" i="1"/>
  <c r="H374" i="1"/>
  <c r="J374" i="1"/>
  <c r="F373" i="1"/>
  <c r="G373" i="1"/>
  <c r="H373" i="1"/>
  <c r="J373" i="1"/>
  <c r="F354" i="1"/>
  <c r="G354" i="1"/>
  <c r="H354" i="1"/>
  <c r="J354" i="1"/>
  <c r="E364" i="1"/>
  <c r="E367" i="1" s="1"/>
  <c r="F364" i="1"/>
  <c r="G364" i="1"/>
  <c r="H364" i="1"/>
  <c r="J364" i="1"/>
  <c r="F151" i="31"/>
  <c r="H151" i="31"/>
  <c r="J151" i="31"/>
  <c r="G79" i="31"/>
  <c r="E79" i="31"/>
  <c r="G86" i="31"/>
  <c r="E86" i="31"/>
  <c r="G80" i="31"/>
  <c r="E80" i="31"/>
  <c r="G27" i="33" l="1"/>
  <c r="E38" i="12"/>
  <c r="G52" i="12"/>
  <c r="E686" i="1"/>
  <c r="F686" i="1"/>
  <c r="G686" i="1"/>
  <c r="H686" i="1"/>
  <c r="J686" i="1"/>
  <c r="G802" i="1"/>
  <c r="E802" i="1"/>
  <c r="G680" i="1"/>
  <c r="K666" i="1"/>
  <c r="G679" i="1"/>
  <c r="F667" i="1"/>
  <c r="G667" i="1"/>
  <c r="H667" i="1"/>
  <c r="J667" i="1"/>
  <c r="E677" i="1"/>
  <c r="G656" i="1"/>
  <c r="E656" i="1"/>
  <c r="E643" i="1"/>
  <c r="F643" i="1"/>
  <c r="G643" i="1"/>
  <c r="H643" i="1"/>
  <c r="I643" i="1"/>
  <c r="J643" i="1"/>
  <c r="G645" i="1"/>
  <c r="E645" i="1"/>
  <c r="G662" i="1"/>
  <c r="E662" i="1"/>
  <c r="G657" i="1"/>
  <c r="E657" i="1"/>
  <c r="G651" i="1"/>
  <c r="E651" i="1"/>
  <c r="K1" i="5"/>
  <c r="G677" i="1" l="1"/>
  <c r="G678" i="1"/>
  <c r="F99" i="35"/>
  <c r="F98" i="35"/>
  <c r="E67" i="35"/>
  <c r="F55" i="35"/>
  <c r="E55" i="35"/>
  <c r="E38" i="35"/>
  <c r="E37" i="35"/>
  <c r="E36" i="35"/>
  <c r="E35" i="35"/>
  <c r="E31" i="35"/>
  <c r="G28" i="35"/>
  <c r="G27" i="35"/>
  <c r="G26" i="35"/>
  <c r="G25" i="35"/>
  <c r="G24" i="35"/>
  <c r="G23" i="35"/>
  <c r="G22" i="35"/>
  <c r="G21" i="35"/>
  <c r="E28" i="35"/>
  <c r="E27" i="35"/>
  <c r="E26" i="35"/>
  <c r="E25" i="35"/>
  <c r="E21" i="35"/>
  <c r="I4" i="35"/>
  <c r="J14" i="35" l="1"/>
  <c r="I14" i="35" s="1"/>
  <c r="J79" i="35"/>
  <c r="I79" i="35" s="1"/>
  <c r="J72" i="35"/>
  <c r="I72" i="35" s="1"/>
  <c r="J75" i="35"/>
  <c r="I75" i="35" s="1"/>
  <c r="J82" i="35"/>
  <c r="I82" i="35" s="1"/>
  <c r="J76" i="35"/>
  <c r="I76" i="35" s="1"/>
  <c r="J74" i="35"/>
  <c r="I74" i="35" s="1"/>
  <c r="J80" i="35"/>
  <c r="I80" i="35" s="1"/>
  <c r="J81" i="35"/>
  <c r="I81" i="35" s="1"/>
  <c r="J73" i="35"/>
  <c r="I73" i="35" s="1"/>
  <c r="J83" i="35"/>
  <c r="I83" i="35" s="1"/>
  <c r="J55" i="35"/>
  <c r="G18" i="35"/>
  <c r="F18" i="35"/>
  <c r="J18" i="35" s="1"/>
  <c r="I18" i="35" s="1"/>
  <c r="G17" i="35"/>
  <c r="F17" i="35"/>
  <c r="J17" i="35" s="1"/>
  <c r="I17" i="35" s="1"/>
  <c r="G16" i="35"/>
  <c r="F16" i="35"/>
  <c r="J16" i="35" s="1"/>
  <c r="I16" i="35" s="1"/>
  <c r="G15" i="35"/>
  <c r="F15" i="35"/>
  <c r="J15" i="35" s="1"/>
  <c r="I15" i="35" s="1"/>
  <c r="E18" i="35"/>
  <c r="E17" i="35"/>
  <c r="E16" i="35"/>
  <c r="E15" i="35"/>
  <c r="F11" i="35"/>
  <c r="E11" i="35"/>
  <c r="F10" i="35"/>
  <c r="E10" i="35"/>
  <c r="A1" i="35"/>
  <c r="C13" i="24" s="1"/>
  <c r="J10" i="35" l="1"/>
  <c r="I10" i="35" s="1"/>
  <c r="J11" i="35"/>
  <c r="I11" i="35" s="1"/>
  <c r="F12" i="1"/>
  <c r="F13" i="1" s="1"/>
  <c r="E12" i="1"/>
  <c r="I4" i="24"/>
  <c r="K10" i="1"/>
  <c r="L10" i="1" s="1"/>
  <c r="M10" i="1" s="1"/>
  <c r="N10" i="1" s="1"/>
  <c r="O10" i="1" s="1"/>
  <c r="P10" i="1" s="1"/>
  <c r="Q10" i="1" s="1"/>
  <c r="R10" i="1" s="1"/>
  <c r="S10" i="1" s="1"/>
  <c r="T10" i="1" s="1"/>
  <c r="U10" i="1" s="1"/>
  <c r="V10" i="1" s="1"/>
  <c r="W10" i="1" s="1"/>
  <c r="X10" i="1" s="1"/>
  <c r="Y10" i="1" s="1"/>
  <c r="Z10" i="1" s="1"/>
  <c r="AA10" i="1" s="1"/>
  <c r="AB10" i="1" s="1"/>
  <c r="AC10" i="1" s="1"/>
  <c r="AD10" i="1" s="1"/>
  <c r="AE10" i="1" s="1"/>
  <c r="AF10" i="1" s="1"/>
  <c r="AG10" i="1" s="1"/>
  <c r="AH10" i="1" s="1"/>
  <c r="AI10" i="1" s="1"/>
  <c r="AJ10" i="1" s="1"/>
  <c r="AK10" i="1" s="1"/>
  <c r="AL10" i="1" s="1"/>
  <c r="AM10" i="1" s="1"/>
  <c r="AN10" i="1" s="1"/>
  <c r="AO10" i="1" s="1"/>
  <c r="AP10" i="1" s="1"/>
  <c r="AQ10" i="1" s="1"/>
  <c r="AR10" i="1" s="1"/>
  <c r="AS10" i="1" s="1"/>
  <c r="AT10" i="1" s="1"/>
  <c r="AU10" i="1" s="1"/>
  <c r="AV10" i="1" s="1"/>
  <c r="AW10" i="1" s="1"/>
  <c r="AX10" i="1" s="1"/>
  <c r="F1" i="24"/>
  <c r="G94" i="35"/>
  <c r="L11" i="34"/>
  <c r="G93" i="35" s="1"/>
  <c r="L10" i="34"/>
  <c r="G92" i="35" s="1"/>
  <c r="L9" i="34"/>
  <c r="G91" i="35" s="1"/>
  <c r="L8" i="34"/>
  <c r="G90" i="35" s="1"/>
  <c r="L7" i="34"/>
  <c r="G89" i="35" s="1"/>
  <c r="L6" i="34"/>
  <c r="G88" i="35" s="1"/>
  <c r="G87" i="35"/>
  <c r="F66" i="1" l="1"/>
  <c r="F541" i="1" s="1"/>
  <c r="E553" i="1" s="1"/>
  <c r="F62" i="1"/>
  <c r="F562" i="1" s="1"/>
  <c r="F65" i="1"/>
  <c r="F575" i="1" s="1"/>
  <c r="F64" i="1"/>
  <c r="F564" i="1" s="1"/>
  <c r="F63" i="1"/>
  <c r="F563" i="1" s="1"/>
  <c r="F30" i="1" a="1"/>
  <c r="F30" i="1" s="1"/>
  <c r="F214" i="1" s="1"/>
  <c r="F28" i="1" a="1"/>
  <c r="F28" i="1" s="1"/>
  <c r="F32" i="1" a="1"/>
  <c r="F32" i="1" s="1"/>
  <c r="F219" i="1" s="1"/>
  <c r="F26" i="1" a="1"/>
  <c r="F26" i="1" s="1"/>
  <c r="F31" i="1" a="1"/>
  <c r="F31" i="1" s="1"/>
  <c r="F224" i="1" s="1"/>
  <c r="F29" i="1" a="1"/>
  <c r="F29" i="1" s="1"/>
  <c r="F236" i="1" s="1"/>
  <c r="F27" i="1" a="1"/>
  <c r="F27" i="1" s="1"/>
  <c r="F191" i="1" s="1"/>
  <c r="F33" i="1" a="1"/>
  <c r="F33" i="1" s="1"/>
  <c r="F184" i="1" s="1"/>
  <c r="F22" i="1" a="1"/>
  <c r="F22" i="1" s="1"/>
  <c r="F157" i="1" s="1"/>
  <c r="E160" i="1" s="1"/>
  <c r="F21" i="1" a="1"/>
  <c r="F21" i="1" s="1"/>
  <c r="F156" i="1" s="1"/>
  <c r="F19" i="1" a="1"/>
  <c r="F19" i="1" s="1"/>
  <c r="F151" i="1" s="1"/>
  <c r="F34" i="1" a="1"/>
  <c r="F34" i="1" s="1"/>
  <c r="F454" i="1" s="1"/>
  <c r="F54" i="1"/>
  <c r="F645" i="1" s="1"/>
  <c r="F24" i="1" a="1"/>
  <c r="F24" i="1" s="1"/>
  <c r="F23" i="1" a="1"/>
  <c r="F23" i="1" s="1"/>
  <c r="F20" i="1" a="1"/>
  <c r="F20" i="1" s="1"/>
  <c r="F53" i="1"/>
  <c r="F699" i="1" s="1"/>
  <c r="F56" i="1"/>
  <c r="F55" i="1"/>
  <c r="F17" i="1"/>
  <c r="F16" i="1"/>
  <c r="F49" i="1"/>
  <c r="F45" i="1"/>
  <c r="F36" i="1"/>
  <c r="F90" i="1" s="1"/>
  <c r="F39" i="1"/>
  <c r="F58" i="1"/>
  <c r="F48" i="1"/>
  <c r="F37" i="1"/>
  <c r="F42" i="1"/>
  <c r="F59" i="1"/>
  <c r="F44" i="1"/>
  <c r="F60" i="1"/>
  <c r="F46" i="1"/>
  <c r="F52" i="1"/>
  <c r="F41" i="1"/>
  <c r="F51" i="1"/>
  <c r="F695" i="1" s="1"/>
  <c r="F40" i="1"/>
  <c r="I15" i="33"/>
  <c r="G81" i="33"/>
  <c r="E81" i="33"/>
  <c r="J49" i="33"/>
  <c r="H49" i="33"/>
  <c r="F49" i="33"/>
  <c r="E49" i="33"/>
  <c r="AX46" i="33"/>
  <c r="AW46" i="33"/>
  <c r="AV46" i="33"/>
  <c r="AU46" i="33"/>
  <c r="AT46" i="33"/>
  <c r="AS46" i="33"/>
  <c r="AR46" i="33"/>
  <c r="AQ46" i="33"/>
  <c r="AP46" i="33"/>
  <c r="AO46" i="33"/>
  <c r="AN46" i="33"/>
  <c r="AM46" i="33"/>
  <c r="AL46" i="33"/>
  <c r="AK46" i="33"/>
  <c r="AJ46" i="33"/>
  <c r="AI46" i="33"/>
  <c r="AH46" i="33"/>
  <c r="AG46" i="33"/>
  <c r="AF46" i="33"/>
  <c r="AE46" i="33"/>
  <c r="AD46" i="33"/>
  <c r="AC46" i="33"/>
  <c r="AB46" i="33"/>
  <c r="AA46" i="33"/>
  <c r="Z46" i="33"/>
  <c r="Y46" i="33"/>
  <c r="X46" i="33"/>
  <c r="W46" i="33"/>
  <c r="V46" i="33"/>
  <c r="U46" i="33"/>
  <c r="T46" i="33"/>
  <c r="S46" i="33"/>
  <c r="R46" i="33"/>
  <c r="Q46" i="33"/>
  <c r="P46" i="33"/>
  <c r="O46" i="33"/>
  <c r="N46" i="33"/>
  <c r="M46" i="33"/>
  <c r="L46" i="33"/>
  <c r="K46" i="33"/>
  <c r="J46" i="33"/>
  <c r="I46" i="33"/>
  <c r="H46" i="33"/>
  <c r="G46" i="33"/>
  <c r="F46" i="33"/>
  <c r="E46" i="33"/>
  <c r="F40" i="33"/>
  <c r="G39" i="33"/>
  <c r="F39" i="33"/>
  <c r="E39" i="33"/>
  <c r="E36" i="33"/>
  <c r="E35" i="33"/>
  <c r="E34" i="33"/>
  <c r="E33" i="33"/>
  <c r="E32" i="33"/>
  <c r="E31" i="33"/>
  <c r="E30" i="33"/>
  <c r="G28" i="33"/>
  <c r="E28" i="33"/>
  <c r="I16" i="33"/>
  <c r="G3" i="33"/>
  <c r="A1" i="33"/>
  <c r="K25" i="24"/>
  <c r="K24" i="24"/>
  <c r="K23" i="24"/>
  <c r="K19" i="24"/>
  <c r="K18" i="24"/>
  <c r="K17" i="24"/>
  <c r="K6" i="24"/>
  <c r="K5" i="24"/>
  <c r="K4" i="24"/>
  <c r="I10" i="24"/>
  <c r="I9" i="24"/>
  <c r="I6" i="24"/>
  <c r="I7" i="24"/>
  <c r="I5" i="24"/>
  <c r="G7" i="24"/>
  <c r="G6" i="24"/>
  <c r="G5" i="24"/>
  <c r="G4" i="24"/>
  <c r="G3" i="24"/>
  <c r="C3" i="24"/>
  <c r="F631" i="1" l="1"/>
  <c r="F696" i="1"/>
  <c r="F700" i="1" s="1"/>
  <c r="F701" i="1" s="1"/>
  <c r="E83" i="33"/>
  <c r="J11" i="34" s="1"/>
  <c r="E93" i="35" s="1"/>
  <c r="G32" i="24"/>
  <c r="A78" i="33"/>
  <c r="E50" i="33"/>
  <c r="F577" i="1"/>
  <c r="F576" i="1"/>
  <c r="F545" i="1"/>
  <c r="F213" i="1"/>
  <c r="F223" i="1"/>
  <c r="F225" i="1" s="1"/>
  <c r="F227" i="1" s="1"/>
  <c r="F197" i="1"/>
  <c r="AO209" i="1" s="1"/>
  <c r="AO244" i="1" s="1"/>
  <c r="E243" i="1"/>
  <c r="F509" i="1"/>
  <c r="F527" i="1"/>
  <c r="F448" i="1"/>
  <c r="F292" i="1"/>
  <c r="F629" i="1"/>
  <c r="F639" i="1"/>
  <c r="F662" i="1"/>
  <c r="F657" i="1"/>
  <c r="F651" i="1"/>
  <c r="F41" i="33"/>
  <c r="F81" i="33" s="1"/>
  <c r="F83" i="33" s="1"/>
  <c r="K11" i="34" s="1"/>
  <c r="F93" i="35" s="1"/>
  <c r="J93" i="35" s="1"/>
  <c r="I93" i="35" s="1"/>
  <c r="M4" i="24"/>
  <c r="F18" i="11"/>
  <c r="F6" i="33"/>
  <c r="J118" i="1"/>
  <c r="H118" i="1"/>
  <c r="G118" i="1"/>
  <c r="F118" i="1"/>
  <c r="J107" i="1"/>
  <c r="H107" i="1"/>
  <c r="G107" i="1"/>
  <c r="G113" i="1" s="1"/>
  <c r="F107" i="1"/>
  <c r="E107" i="1"/>
  <c r="E113" i="1" s="1"/>
  <c r="J102" i="1"/>
  <c r="H102" i="1"/>
  <c r="G102" i="1"/>
  <c r="F102" i="1"/>
  <c r="E102" i="1"/>
  <c r="G101" i="1"/>
  <c r="E101" i="1"/>
  <c r="J100" i="1"/>
  <c r="I100" i="1"/>
  <c r="H100" i="1"/>
  <c r="G100" i="1"/>
  <c r="F100" i="1"/>
  <c r="E100" i="1"/>
  <c r="J108" i="1"/>
  <c r="H108" i="1"/>
  <c r="F108" i="1"/>
  <c r="E108" i="1"/>
  <c r="E112" i="1" s="1"/>
  <c r="J96" i="1"/>
  <c r="I96" i="1"/>
  <c r="H96" i="1"/>
  <c r="G96" i="1"/>
  <c r="G97" i="1" s="1"/>
  <c r="G108" i="1" s="1"/>
  <c r="F96" i="1"/>
  <c r="E96" i="1"/>
  <c r="J490" i="1"/>
  <c r="H490" i="1"/>
  <c r="F490" i="1"/>
  <c r="G297" i="1"/>
  <c r="E297" i="1"/>
  <c r="G288" i="31"/>
  <c r="G287" i="31"/>
  <c r="E287" i="31"/>
  <c r="F39" i="31"/>
  <c r="G38" i="31"/>
  <c r="F38" i="31"/>
  <c r="E38" i="31"/>
  <c r="K45" i="31"/>
  <c r="K580" i="1" s="1"/>
  <c r="E47" i="31"/>
  <c r="F47" i="31"/>
  <c r="G47" i="31"/>
  <c r="E65" i="31"/>
  <c r="G65" i="31"/>
  <c r="E66" i="31"/>
  <c r="G66" i="31"/>
  <c r="E67" i="31"/>
  <c r="G67" i="31"/>
  <c r="G200" i="31" s="1"/>
  <c r="E68" i="31"/>
  <c r="E155" i="31" s="1"/>
  <c r="G68" i="31"/>
  <c r="G94" i="31" s="1"/>
  <c r="E69" i="31"/>
  <c r="G69" i="31"/>
  <c r="G95" i="31" s="1"/>
  <c r="E70" i="31"/>
  <c r="G70" i="31"/>
  <c r="G96" i="31" s="1"/>
  <c r="E183" i="31"/>
  <c r="F183" i="31"/>
  <c r="G183" i="31"/>
  <c r="H183" i="31"/>
  <c r="I183" i="31"/>
  <c r="J183" i="31"/>
  <c r="E199" i="31"/>
  <c r="F199" i="31"/>
  <c r="G199" i="31"/>
  <c r="H199" i="31"/>
  <c r="I199" i="31"/>
  <c r="J199" i="31"/>
  <c r="F200" i="31"/>
  <c r="H200" i="31"/>
  <c r="J200" i="31"/>
  <c r="E204" i="31"/>
  <c r="F204" i="31"/>
  <c r="G204" i="31"/>
  <c r="H204" i="31"/>
  <c r="J204" i="31"/>
  <c r="F84" i="31"/>
  <c r="H84" i="31"/>
  <c r="J84" i="31"/>
  <c r="F85" i="31"/>
  <c r="H85" i="31"/>
  <c r="J85" i="31"/>
  <c r="F88" i="31"/>
  <c r="H88" i="31"/>
  <c r="J88" i="31"/>
  <c r="F92" i="31"/>
  <c r="H92" i="31"/>
  <c r="J92" i="31"/>
  <c r="F93" i="31"/>
  <c r="H93" i="31"/>
  <c r="J93" i="31"/>
  <c r="F94" i="31"/>
  <c r="H94" i="31"/>
  <c r="J94" i="31"/>
  <c r="F95" i="31"/>
  <c r="H95" i="31"/>
  <c r="J95" i="31"/>
  <c r="F96" i="31"/>
  <c r="H96" i="31"/>
  <c r="J96" i="31"/>
  <c r="E211" i="31"/>
  <c r="F211" i="31"/>
  <c r="G211" i="31"/>
  <c r="E212" i="31"/>
  <c r="F212" i="31"/>
  <c r="G212" i="31"/>
  <c r="H212" i="31"/>
  <c r="I212" i="31"/>
  <c r="J212" i="31"/>
  <c r="E216" i="31"/>
  <c r="F216" i="31"/>
  <c r="G216" i="31"/>
  <c r="E220" i="31"/>
  <c r="F220" i="31"/>
  <c r="G220" i="31"/>
  <c r="H220" i="31"/>
  <c r="I220" i="31"/>
  <c r="J220" i="31"/>
  <c r="E224" i="31"/>
  <c r="F224" i="31"/>
  <c r="G224" i="31"/>
  <c r="H224" i="31"/>
  <c r="I224" i="31"/>
  <c r="J224" i="31"/>
  <c r="F147" i="31"/>
  <c r="H147" i="31"/>
  <c r="J147" i="31"/>
  <c r="F149" i="31"/>
  <c r="G149" i="31"/>
  <c r="G165" i="31" s="1"/>
  <c r="H149" i="31"/>
  <c r="J149" i="31"/>
  <c r="F150" i="31"/>
  <c r="H150" i="31"/>
  <c r="J150" i="31"/>
  <c r="F153" i="31"/>
  <c r="H153" i="31"/>
  <c r="J153" i="31"/>
  <c r="E230" i="31"/>
  <c r="F230" i="31"/>
  <c r="G230" i="31"/>
  <c r="H230" i="31"/>
  <c r="I230" i="31"/>
  <c r="J230" i="31"/>
  <c r="F248" i="31"/>
  <c r="G248" i="31"/>
  <c r="H248" i="31"/>
  <c r="J248" i="31"/>
  <c r="F249" i="31"/>
  <c r="G249" i="31"/>
  <c r="H249" i="31"/>
  <c r="J249" i="31"/>
  <c r="F250" i="31"/>
  <c r="G250" i="31"/>
  <c r="H250" i="31"/>
  <c r="J250" i="31"/>
  <c r="F251" i="31"/>
  <c r="G251" i="31"/>
  <c r="H251" i="31"/>
  <c r="J251" i="31"/>
  <c r="G255" i="31"/>
  <c r="G256" i="31"/>
  <c r="G258" i="31"/>
  <c r="G259" i="31"/>
  <c r="G260" i="31"/>
  <c r="G261" i="31"/>
  <c r="G262" i="31"/>
  <c r="E288" i="31"/>
  <c r="G264" i="31"/>
  <c r="G3" i="31"/>
  <c r="E290" i="31" l="1"/>
  <c r="J10" i="34" s="1"/>
  <c r="E92" i="35" s="1"/>
  <c r="A285" i="31"/>
  <c r="K14" i="24" s="1"/>
  <c r="BE581" i="1"/>
  <c r="BB581" i="1"/>
  <c r="BF581" i="1"/>
  <c r="AZ581" i="1"/>
  <c r="BD581" i="1"/>
  <c r="BA581" i="1"/>
  <c r="BC581" i="1"/>
  <c r="BH581" i="1"/>
  <c r="BG581" i="1"/>
  <c r="H157" i="31"/>
  <c r="H124" i="31"/>
  <c r="H108" i="31"/>
  <c r="F156" i="31"/>
  <c r="J154" i="31"/>
  <c r="G157" i="31"/>
  <c r="G125" i="31"/>
  <c r="G134" i="31" s="1"/>
  <c r="G124" i="31"/>
  <c r="G108" i="31"/>
  <c r="G136" i="31"/>
  <c r="G173" i="31" s="1"/>
  <c r="G85" i="7" s="1"/>
  <c r="G126" i="31"/>
  <c r="G135" i="31"/>
  <c r="G155" i="31"/>
  <c r="G171" i="31" s="1"/>
  <c r="G83" i="7" s="1"/>
  <c r="G153" i="31"/>
  <c r="G169" i="31" s="1"/>
  <c r="G81" i="7" s="1"/>
  <c r="F157" i="31"/>
  <c r="F124" i="31"/>
  <c r="F108" i="31"/>
  <c r="J155" i="31"/>
  <c r="H154" i="31"/>
  <c r="H170" i="31"/>
  <c r="H82" i="7" s="1"/>
  <c r="E157" i="31"/>
  <c r="E173" i="31" s="1"/>
  <c r="E124" i="31"/>
  <c r="E108" i="31"/>
  <c r="E171" i="31"/>
  <c r="E92" i="31"/>
  <c r="J156" i="31"/>
  <c r="H155" i="31"/>
  <c r="H171" i="31"/>
  <c r="H83" i="7" s="1"/>
  <c r="F154" i="31"/>
  <c r="G156" i="31"/>
  <c r="G172" i="31" s="1"/>
  <c r="G84" i="7" s="1"/>
  <c r="G88" i="31"/>
  <c r="J157" i="31"/>
  <c r="J124" i="31"/>
  <c r="J108" i="31"/>
  <c r="H156" i="31"/>
  <c r="H172" i="31"/>
  <c r="H84" i="7" s="1"/>
  <c r="F155" i="31"/>
  <c r="E95" i="31"/>
  <c r="E93" i="31"/>
  <c r="AP209" i="1"/>
  <c r="AP244" i="1" s="1"/>
  <c r="AL209" i="1"/>
  <c r="AL244" i="1" s="1"/>
  <c r="AU209" i="1"/>
  <c r="AU244" i="1" s="1"/>
  <c r="K209" i="1"/>
  <c r="K244" i="1" s="1"/>
  <c r="AQ209" i="1"/>
  <c r="AQ244" i="1" s="1"/>
  <c r="T209" i="1"/>
  <c r="T244" i="1" s="1"/>
  <c r="M209" i="1"/>
  <c r="M244" i="1" s="1"/>
  <c r="AS209" i="1"/>
  <c r="AS244" i="1" s="1"/>
  <c r="R209" i="1"/>
  <c r="R244" i="1" s="1"/>
  <c r="S209" i="1"/>
  <c r="S244" i="1" s="1"/>
  <c r="W209" i="1"/>
  <c r="W244" i="1" s="1"/>
  <c r="N209" i="1"/>
  <c r="N244" i="1" s="1"/>
  <c r="AT209" i="1"/>
  <c r="AT244" i="1" s="1"/>
  <c r="X209" i="1"/>
  <c r="X244" i="1" s="1"/>
  <c r="AN209" i="1"/>
  <c r="AN244" i="1" s="1"/>
  <c r="Q209" i="1"/>
  <c r="Q244" i="1" s="1"/>
  <c r="AG209" i="1"/>
  <c r="AG244" i="1" s="1"/>
  <c r="AW209" i="1"/>
  <c r="AW244" i="1" s="1"/>
  <c r="O209" i="1"/>
  <c r="O244" i="1" s="1"/>
  <c r="AH209" i="1"/>
  <c r="AH244" i="1" s="1"/>
  <c r="AA209" i="1"/>
  <c r="AA244" i="1" s="1"/>
  <c r="AM209" i="1"/>
  <c r="AM244" i="1" s="1"/>
  <c r="V209" i="1"/>
  <c r="V244" i="1" s="1"/>
  <c r="L209" i="1"/>
  <c r="L244" i="1" s="1"/>
  <c r="AB209" i="1"/>
  <c r="AB244" i="1" s="1"/>
  <c r="AR209" i="1"/>
  <c r="AR244" i="1" s="1"/>
  <c r="U209" i="1"/>
  <c r="U244" i="1" s="1"/>
  <c r="AK209" i="1"/>
  <c r="AK244" i="1" s="1"/>
  <c r="AJ209" i="1"/>
  <c r="AJ244" i="1" s="1"/>
  <c r="AC209" i="1"/>
  <c r="AC244" i="1" s="1"/>
  <c r="AE209" i="1"/>
  <c r="AE244" i="1" s="1"/>
  <c r="AX209" i="1"/>
  <c r="AX244" i="1" s="1"/>
  <c r="AI209" i="1"/>
  <c r="AI244" i="1" s="1"/>
  <c r="Z209" i="1"/>
  <c r="Z244" i="1" s="1"/>
  <c r="AD209" i="1"/>
  <c r="AD244" i="1" s="1"/>
  <c r="P209" i="1"/>
  <c r="P244" i="1" s="1"/>
  <c r="AF209" i="1"/>
  <c r="AF244" i="1" s="1"/>
  <c r="AV209" i="1"/>
  <c r="AV244" i="1" s="1"/>
  <c r="Y209" i="1"/>
  <c r="Y244" i="1" s="1"/>
  <c r="K3" i="24"/>
  <c r="E88" i="31"/>
  <c r="L45" i="31"/>
  <c r="H119" i="1"/>
  <c r="H123" i="1"/>
  <c r="J119" i="1"/>
  <c r="J123" i="1"/>
  <c r="F119" i="1"/>
  <c r="F123" i="1"/>
  <c r="G119" i="1"/>
  <c r="G123" i="1"/>
  <c r="G112" i="1"/>
  <c r="E119" i="1"/>
  <c r="E123" i="1"/>
  <c r="I19" i="33"/>
  <c r="I17" i="33"/>
  <c r="G150" i="31"/>
  <c r="G166" i="31" s="1"/>
  <c r="G92" i="31"/>
  <c r="F40" i="31"/>
  <c r="F287" i="31" s="1"/>
  <c r="E156" i="31"/>
  <c r="E172" i="31" s="1"/>
  <c r="E154" i="31"/>
  <c r="E170" i="31" s="1"/>
  <c r="E150" i="31"/>
  <c r="E166" i="31" s="1"/>
  <c r="G89" i="31"/>
  <c r="E153" i="31"/>
  <c r="E169" i="31" s="1"/>
  <c r="E96" i="31"/>
  <c r="G93" i="31"/>
  <c r="K48" i="31"/>
  <c r="E94" i="31"/>
  <c r="E200" i="31"/>
  <c r="AA93" i="5" a="1"/>
  <c r="AA93" i="5" s="1"/>
  <c r="AA92" i="5" a="1"/>
  <c r="AA92" i="5" s="1"/>
  <c r="AA91" i="5" a="1"/>
  <c r="AA91" i="5" s="1"/>
  <c r="AA90" i="5" a="1"/>
  <c r="AA90" i="5" s="1"/>
  <c r="AA89" i="5" a="1"/>
  <c r="AA89" i="5" s="1"/>
  <c r="AA87" i="5" a="1"/>
  <c r="AA87" i="5" s="1"/>
  <c r="AA86" i="5" a="1"/>
  <c r="AA86" i="5" s="1"/>
  <c r="AA85" i="5" a="1"/>
  <c r="AA85" i="5" s="1"/>
  <c r="AA84" i="5" a="1"/>
  <c r="AA84" i="5" s="1"/>
  <c r="AA82" i="5" a="1"/>
  <c r="AA82" i="5" s="1"/>
  <c r="AA81" i="5" a="1"/>
  <c r="AA81" i="5" s="1"/>
  <c r="AA79" i="5" a="1"/>
  <c r="AA79" i="5" s="1"/>
  <c r="AA78" i="5" a="1"/>
  <c r="AA78" i="5" s="1"/>
  <c r="AA77" i="5" a="1"/>
  <c r="AA77" i="5" s="1"/>
  <c r="AA75" i="5" a="1"/>
  <c r="AA75" i="5" s="1"/>
  <c r="AA74" i="5" a="1"/>
  <c r="AA74" i="5" s="1"/>
  <c r="AA73" i="5" a="1"/>
  <c r="AA73" i="5" s="1"/>
  <c r="AA72" i="5" a="1"/>
  <c r="AA72" i="5" s="1"/>
  <c r="AA71" i="5" a="1"/>
  <c r="AA71" i="5" s="1"/>
  <c r="AA69" i="5" a="1"/>
  <c r="AA69" i="5" s="1"/>
  <c r="J219" i="12"/>
  <c r="H219" i="12"/>
  <c r="F219" i="12"/>
  <c r="J218" i="12"/>
  <c r="H218" i="12"/>
  <c r="F218" i="12"/>
  <c r="J217" i="12"/>
  <c r="H217" i="12"/>
  <c r="F217" i="12"/>
  <c r="J216" i="12"/>
  <c r="H216" i="12"/>
  <c r="F216" i="12"/>
  <c r="J215" i="12"/>
  <c r="H215" i="12"/>
  <c r="F215" i="12"/>
  <c r="J214" i="12"/>
  <c r="H214" i="12"/>
  <c r="F214" i="12"/>
  <c r="J213" i="12"/>
  <c r="H213" i="12"/>
  <c r="F213" i="12"/>
  <c r="J212" i="12"/>
  <c r="H212" i="12"/>
  <c r="F212" i="12"/>
  <c r="J211" i="12"/>
  <c r="H211" i="12"/>
  <c r="F211" i="12"/>
  <c r="J55" i="12"/>
  <c r="H55" i="12"/>
  <c r="G55" i="12"/>
  <c r="F55" i="12"/>
  <c r="E55" i="12"/>
  <c r="E61" i="12" s="1"/>
  <c r="G50" i="12"/>
  <c r="E41" i="12"/>
  <c r="J27" i="12"/>
  <c r="H27" i="12"/>
  <c r="G27" i="12"/>
  <c r="G49" i="12" s="1"/>
  <c r="F27" i="12"/>
  <c r="E27" i="12"/>
  <c r="E40" i="12" s="1"/>
  <c r="E136" i="31" l="1"/>
  <c r="E125" i="31"/>
  <c r="E134" i="31" s="1"/>
  <c r="K617" i="1"/>
  <c r="K536" i="1"/>
  <c r="M45" i="31"/>
  <c r="M580" i="1" s="1"/>
  <c r="L580" i="1"/>
  <c r="E238" i="31"/>
  <c r="E258" i="31" s="1"/>
  <c r="E81" i="7"/>
  <c r="E241" i="31"/>
  <c r="E261" i="31" s="1"/>
  <c r="E84" i="7"/>
  <c r="E240" i="31"/>
  <c r="E260" i="31" s="1"/>
  <c r="E83" i="7"/>
  <c r="E239" i="31"/>
  <c r="E259" i="31" s="1"/>
  <c r="E82" i="7"/>
  <c r="G109" i="31"/>
  <c r="G110" i="31" s="1"/>
  <c r="G111" i="31"/>
  <c r="G154" i="31"/>
  <c r="G170" i="31" s="1"/>
  <c r="G82" i="7" s="1"/>
  <c r="E235" i="31"/>
  <c r="E256" i="31" s="1"/>
  <c r="K123" i="31"/>
  <c r="K128" i="31"/>
  <c r="K61" i="31"/>
  <c r="K112" i="31"/>
  <c r="K190" i="1"/>
  <c r="K201" i="1"/>
  <c r="K1" i="40"/>
  <c r="K1" i="36"/>
  <c r="G151" i="31"/>
  <c r="G167" i="31" s="1"/>
  <c r="K199" i="31"/>
  <c r="K1" i="33"/>
  <c r="L48" i="31"/>
  <c r="K1" i="31"/>
  <c r="K183" i="31"/>
  <c r="J427" i="1"/>
  <c r="H427" i="1"/>
  <c r="G427" i="1"/>
  <c r="F427" i="1"/>
  <c r="J279" i="1"/>
  <c r="H279" i="1"/>
  <c r="G279" i="1"/>
  <c r="G57" i="11"/>
  <c r="F57" i="11"/>
  <c r="F58" i="11" s="1"/>
  <c r="E57" i="11"/>
  <c r="F76" i="11"/>
  <c r="G323" i="12"/>
  <c r="G322" i="12"/>
  <c r="G321" i="12"/>
  <c r="G320" i="12"/>
  <c r="G319" i="12"/>
  <c r="G318" i="12"/>
  <c r="G317" i="12"/>
  <c r="G316" i="12"/>
  <c r="G314" i="12"/>
  <c r="G313" i="12"/>
  <c r="G312" i="12"/>
  <c r="E314" i="12"/>
  <c r="G804" i="1"/>
  <c r="G803" i="1"/>
  <c r="G800" i="1"/>
  <c r="G799" i="1"/>
  <c r="G798" i="1"/>
  <c r="G797" i="1"/>
  <c r="G796" i="1"/>
  <c r="G795" i="1"/>
  <c r="G794" i="1"/>
  <c r="E804" i="1"/>
  <c r="E803" i="1"/>
  <c r="E799" i="1"/>
  <c r="E798" i="1"/>
  <c r="E797" i="1"/>
  <c r="E796" i="1"/>
  <c r="E795" i="1"/>
  <c r="E794" i="1"/>
  <c r="F59" i="11" l="1"/>
  <c r="R90" i="5" s="1"/>
  <c r="E485" i="1"/>
  <c r="E488" i="1"/>
  <c r="E373" i="1"/>
  <c r="E249" i="31"/>
  <c r="E487" i="1"/>
  <c r="N45" i="31"/>
  <c r="N580" i="1" s="1"/>
  <c r="E486" i="1"/>
  <c r="E557" i="1"/>
  <c r="E567" i="1" s="1"/>
  <c r="E559" i="1"/>
  <c r="E569" i="1" s="1"/>
  <c r="L617" i="1"/>
  <c r="L536" i="1"/>
  <c r="E374" i="1"/>
  <c r="E558" i="1"/>
  <c r="E568" i="1" s="1"/>
  <c r="E354" i="1"/>
  <c r="E556" i="1"/>
  <c r="E566" i="1" s="1"/>
  <c r="G80" i="7"/>
  <c r="G176" i="31"/>
  <c r="E250" i="31"/>
  <c r="E460" i="1"/>
  <c r="E242" i="31"/>
  <c r="E262" i="31" s="1"/>
  <c r="E85" i="7"/>
  <c r="L123" i="31"/>
  <c r="L128" i="31"/>
  <c r="L61" i="31"/>
  <c r="L112" i="31"/>
  <c r="L201" i="1"/>
  <c r="L190" i="1"/>
  <c r="F220" i="1"/>
  <c r="F192" i="1"/>
  <c r="F218" i="1" s="1"/>
  <c r="F47" i="40"/>
  <c r="L1" i="40"/>
  <c r="F281" i="31"/>
  <c r="F274" i="31"/>
  <c r="F28" i="40"/>
  <c r="F103" i="12"/>
  <c r="F122" i="7"/>
  <c r="L1" i="36"/>
  <c r="F27" i="31"/>
  <c r="F47" i="33"/>
  <c r="F47" i="36"/>
  <c r="F28" i="36"/>
  <c r="F86" i="31"/>
  <c r="L183" i="31"/>
  <c r="L1" i="33"/>
  <c r="F28" i="33"/>
  <c r="M48" i="31"/>
  <c r="L199" i="31"/>
  <c r="L1" i="31"/>
  <c r="G206" i="12" l="1"/>
  <c r="G205" i="12"/>
  <c r="G204" i="12"/>
  <c r="R83" i="5"/>
  <c r="R92" i="5"/>
  <c r="B274" i="12"/>
  <c r="E302" i="12" s="1"/>
  <c r="B304" i="12"/>
  <c r="B30" i="35"/>
  <c r="B203" i="12"/>
  <c r="B173" i="12"/>
  <c r="E201" i="12" s="1"/>
  <c r="E360" i="1"/>
  <c r="E361" i="1"/>
  <c r="E560" i="1"/>
  <c r="E570" i="1" s="1"/>
  <c r="O45" i="31"/>
  <c r="O580" i="1" s="1"/>
  <c r="M617" i="1"/>
  <c r="M536" i="1"/>
  <c r="E118" i="1"/>
  <c r="E251" i="31"/>
  <c r="M123" i="31"/>
  <c r="M128" i="31"/>
  <c r="M61" i="31"/>
  <c r="M112" i="31"/>
  <c r="F221" i="1"/>
  <c r="F228" i="1" s="1"/>
  <c r="F229" i="1" s="1"/>
  <c r="K194" i="1"/>
  <c r="K232" i="1" s="1"/>
  <c r="K193" i="1"/>
  <c r="K231" i="1" s="1"/>
  <c r="F205" i="1"/>
  <c r="M190" i="1"/>
  <c r="M201" i="1"/>
  <c r="L194" i="1"/>
  <c r="L193" i="1"/>
  <c r="L231" i="1" s="1"/>
  <c r="AE14" i="33"/>
  <c r="AE18" i="33"/>
  <c r="AE49" i="33" s="1"/>
  <c r="AE50" i="33" s="1"/>
  <c r="AF18" i="33"/>
  <c r="AF49" i="33" s="1"/>
  <c r="AF50" i="33" s="1"/>
  <c r="AF14" i="33"/>
  <c r="R85" i="5"/>
  <c r="R86" i="5"/>
  <c r="M1" i="40"/>
  <c r="M14" i="40"/>
  <c r="AP18" i="40"/>
  <c r="AP49" i="40" s="1"/>
  <c r="AP50" i="40" s="1"/>
  <c r="AD14" i="40"/>
  <c r="Z18" i="40"/>
  <c r="Z49" i="40" s="1"/>
  <c r="Z50" i="40" s="1"/>
  <c r="AT14" i="40"/>
  <c r="N14" i="40"/>
  <c r="R14" i="40"/>
  <c r="AT18" i="40"/>
  <c r="AT49" i="40" s="1"/>
  <c r="AT50" i="40" s="1"/>
  <c r="AH18" i="40"/>
  <c r="AH49" i="40" s="1"/>
  <c r="AH50" i="40" s="1"/>
  <c r="V18" i="40"/>
  <c r="V49" i="40" s="1"/>
  <c r="V50" i="40" s="1"/>
  <c r="AE14" i="40"/>
  <c r="AU14" i="40"/>
  <c r="AA18" i="40"/>
  <c r="AA49" i="40" s="1"/>
  <c r="AA50" i="40" s="1"/>
  <c r="AQ18" i="40"/>
  <c r="AQ49" i="40" s="1"/>
  <c r="AQ50" i="40" s="1"/>
  <c r="O14" i="40"/>
  <c r="X14" i="40"/>
  <c r="AN14" i="40"/>
  <c r="T18" i="40"/>
  <c r="T49" i="40" s="1"/>
  <c r="T50" i="40" s="1"/>
  <c r="AJ18" i="40"/>
  <c r="AJ49" i="40" s="1"/>
  <c r="AJ50" i="40" s="1"/>
  <c r="L18" i="40"/>
  <c r="L49" i="40" s="1"/>
  <c r="L50" i="40" s="1"/>
  <c r="Y14" i="40"/>
  <c r="AO14" i="40"/>
  <c r="U18" i="40"/>
  <c r="U49" i="40" s="1"/>
  <c r="U50" i="40" s="1"/>
  <c r="AK18" i="40"/>
  <c r="AK49" i="40" s="1"/>
  <c r="AK50" i="40" s="1"/>
  <c r="M18" i="40"/>
  <c r="M49" i="40" s="1"/>
  <c r="M50" i="40" s="1"/>
  <c r="T14" i="40"/>
  <c r="U14" i="40"/>
  <c r="AH14" i="40"/>
  <c r="V14" i="40"/>
  <c r="AX18" i="40"/>
  <c r="AX49" i="40" s="1"/>
  <c r="AX50" i="40" s="1"/>
  <c r="AL18" i="40"/>
  <c r="AL49" i="40" s="1"/>
  <c r="AL50" i="40" s="1"/>
  <c r="S14" i="40"/>
  <c r="AI14" i="40"/>
  <c r="O18" i="40"/>
  <c r="O49" i="40" s="1"/>
  <c r="O50" i="40" s="1"/>
  <c r="AE18" i="40"/>
  <c r="AE49" i="40" s="1"/>
  <c r="AE50" i="40" s="1"/>
  <c r="AU18" i="40"/>
  <c r="AU49" i="40" s="1"/>
  <c r="AU50" i="40" s="1"/>
  <c r="AB14" i="40"/>
  <c r="AR14" i="40"/>
  <c r="X18" i="40"/>
  <c r="X49" i="40" s="1"/>
  <c r="X50" i="40" s="1"/>
  <c r="AN18" i="40"/>
  <c r="AN49" i="40" s="1"/>
  <c r="AN50" i="40" s="1"/>
  <c r="L14" i="40"/>
  <c r="AC14" i="40"/>
  <c r="AS14" i="40"/>
  <c r="Y18" i="40"/>
  <c r="Y49" i="40" s="1"/>
  <c r="Y50" i="40" s="1"/>
  <c r="AO18" i="40"/>
  <c r="AO49" i="40" s="1"/>
  <c r="AO50" i="40" s="1"/>
  <c r="AA14" i="40"/>
  <c r="AQ14" i="40"/>
  <c r="W18" i="40"/>
  <c r="W49" i="40" s="1"/>
  <c r="W50" i="40" s="1"/>
  <c r="AM18" i="40"/>
  <c r="AM49" i="40" s="1"/>
  <c r="AM50" i="40" s="1"/>
  <c r="K14" i="40"/>
  <c r="P18" i="40"/>
  <c r="P49" i="40" s="1"/>
  <c r="P50" i="40" s="1"/>
  <c r="AF18" i="40"/>
  <c r="AF49" i="40" s="1"/>
  <c r="AF50" i="40" s="1"/>
  <c r="AK14" i="40"/>
  <c r="AG18" i="40"/>
  <c r="AG49" i="40" s="1"/>
  <c r="AG50" i="40" s="1"/>
  <c r="AX14" i="40"/>
  <c r="AL14" i="40"/>
  <c r="Z14" i="40"/>
  <c r="N18" i="40"/>
  <c r="N49" i="40" s="1"/>
  <c r="N50" i="40" s="1"/>
  <c r="W14" i="40"/>
  <c r="AM14" i="40"/>
  <c r="S18" i="40"/>
  <c r="S49" i="40" s="1"/>
  <c r="S50" i="40" s="1"/>
  <c r="AI18" i="40"/>
  <c r="AI49" i="40" s="1"/>
  <c r="AI50" i="40" s="1"/>
  <c r="K18" i="40"/>
  <c r="P14" i="40"/>
  <c r="AF14" i="40"/>
  <c r="AV14" i="40"/>
  <c r="AB18" i="40"/>
  <c r="AB49" i="40" s="1"/>
  <c r="AB50" i="40" s="1"/>
  <c r="AR18" i="40"/>
  <c r="AR49" i="40" s="1"/>
  <c r="AR50" i="40" s="1"/>
  <c r="Q14" i="40"/>
  <c r="AG14" i="40"/>
  <c r="AG20" i="40" s="1"/>
  <c r="AW14" i="40"/>
  <c r="AC18" i="40"/>
  <c r="AC49" i="40" s="1"/>
  <c r="AC50" i="40" s="1"/>
  <c r="AS18" i="40"/>
  <c r="AS49" i="40" s="1"/>
  <c r="AS50" i="40" s="1"/>
  <c r="AD18" i="40"/>
  <c r="AD49" i="40" s="1"/>
  <c r="AD50" i="40" s="1"/>
  <c r="R18" i="40"/>
  <c r="R49" i="40" s="1"/>
  <c r="R50" i="40" s="1"/>
  <c r="AP14" i="40"/>
  <c r="AJ14" i="40"/>
  <c r="AV18" i="40"/>
  <c r="AV49" i="40" s="1"/>
  <c r="AV50" i="40" s="1"/>
  <c r="Q18" i="40"/>
  <c r="Q49" i="40" s="1"/>
  <c r="Q50" i="40" s="1"/>
  <c r="AW18" i="40"/>
  <c r="AW49" i="40" s="1"/>
  <c r="AW50" i="40" s="1"/>
  <c r="F277" i="12"/>
  <c r="F217" i="31"/>
  <c r="F176" i="12"/>
  <c r="AS18" i="33"/>
  <c r="AS49" i="33" s="1"/>
  <c r="AS50" i="33" s="1"/>
  <c r="AK18" i="33"/>
  <c r="AK49" i="33" s="1"/>
  <c r="AK50" i="33" s="1"/>
  <c r="AC18" i="33"/>
  <c r="AC49" i="33" s="1"/>
  <c r="AC50" i="33" s="1"/>
  <c r="U18" i="33"/>
  <c r="U49" i="33" s="1"/>
  <c r="U50" i="33" s="1"/>
  <c r="L18" i="33"/>
  <c r="L49" i="33" s="1"/>
  <c r="L50" i="33" s="1"/>
  <c r="AB18" i="33"/>
  <c r="AB49" i="33" s="1"/>
  <c r="AB50" i="33" s="1"/>
  <c r="AV18" i="33"/>
  <c r="AV49" i="33" s="1"/>
  <c r="AV50" i="33" s="1"/>
  <c r="AR18" i="33"/>
  <c r="AR49" i="33" s="1"/>
  <c r="AR50" i="33" s="1"/>
  <c r="T18" i="33"/>
  <c r="T49" i="33" s="1"/>
  <c r="T50" i="33" s="1"/>
  <c r="X18" i="33"/>
  <c r="X49" i="33" s="1"/>
  <c r="X50" i="33" s="1"/>
  <c r="AQ18" i="33"/>
  <c r="AQ49" i="33" s="1"/>
  <c r="AQ50" i="33" s="1"/>
  <c r="AI18" i="33"/>
  <c r="AI49" i="33" s="1"/>
  <c r="AI50" i="33" s="1"/>
  <c r="AA18" i="33"/>
  <c r="AA49" i="33" s="1"/>
  <c r="AA50" i="33" s="1"/>
  <c r="S18" i="33"/>
  <c r="S49" i="33" s="1"/>
  <c r="S50" i="33" s="1"/>
  <c r="Q18" i="33"/>
  <c r="Q49" i="33" s="1"/>
  <c r="Q50" i="33" s="1"/>
  <c r="AX18" i="33"/>
  <c r="AX49" i="33" s="1"/>
  <c r="AX50" i="33" s="1"/>
  <c r="AP18" i="33"/>
  <c r="AP49" i="33" s="1"/>
  <c r="AP50" i="33" s="1"/>
  <c r="AH18" i="33"/>
  <c r="AH49" i="33" s="1"/>
  <c r="AH50" i="33" s="1"/>
  <c r="Z18" i="33"/>
  <c r="Z49" i="33" s="1"/>
  <c r="Z50" i="33" s="1"/>
  <c r="R18" i="33"/>
  <c r="R49" i="33" s="1"/>
  <c r="R50" i="33" s="1"/>
  <c r="AN18" i="33"/>
  <c r="AN49" i="33" s="1"/>
  <c r="AN50" i="33" s="1"/>
  <c r="AW18" i="33"/>
  <c r="AW49" i="33" s="1"/>
  <c r="AW50" i="33" s="1"/>
  <c r="AO18" i="33"/>
  <c r="AO49" i="33" s="1"/>
  <c r="AO50" i="33" s="1"/>
  <c r="AG18" i="33"/>
  <c r="AG49" i="33" s="1"/>
  <c r="AG50" i="33" s="1"/>
  <c r="Y18" i="33"/>
  <c r="Y49" i="33" s="1"/>
  <c r="Y50" i="33" s="1"/>
  <c r="P18" i="33"/>
  <c r="P49" i="33" s="1"/>
  <c r="P50" i="33" s="1"/>
  <c r="O18" i="33"/>
  <c r="O49" i="33" s="1"/>
  <c r="O50" i="33" s="1"/>
  <c r="AU18" i="33"/>
  <c r="AU49" i="33" s="1"/>
  <c r="AU50" i="33" s="1"/>
  <c r="AM18" i="33"/>
  <c r="AM49" i="33" s="1"/>
  <c r="AM50" i="33" s="1"/>
  <c r="W18" i="33"/>
  <c r="W49" i="33" s="1"/>
  <c r="W50" i="33" s="1"/>
  <c r="N18" i="33"/>
  <c r="N49" i="33" s="1"/>
  <c r="N50" i="33" s="1"/>
  <c r="K18" i="33"/>
  <c r="AT18" i="33"/>
  <c r="AT49" i="33" s="1"/>
  <c r="AT50" i="33" s="1"/>
  <c r="AL18" i="33"/>
  <c r="AL49" i="33" s="1"/>
  <c r="AL50" i="33" s="1"/>
  <c r="AD18" i="33"/>
  <c r="AD49" i="33" s="1"/>
  <c r="AD50" i="33" s="1"/>
  <c r="V18" i="33"/>
  <c r="V49" i="33" s="1"/>
  <c r="V50" i="33" s="1"/>
  <c r="M18" i="33"/>
  <c r="M49" i="33" s="1"/>
  <c r="M50" i="33" s="1"/>
  <c r="AJ18" i="33"/>
  <c r="AJ49" i="33" s="1"/>
  <c r="AJ50" i="33" s="1"/>
  <c r="M1" i="36"/>
  <c r="AT14" i="33"/>
  <c r="AL14" i="33"/>
  <c r="L14" i="33"/>
  <c r="T14" i="33"/>
  <c r="AB14" i="33"/>
  <c r="AQ14" i="33"/>
  <c r="O14" i="33"/>
  <c r="Z14" i="33"/>
  <c r="AM14" i="33"/>
  <c r="AS14" i="33"/>
  <c r="AK14" i="33"/>
  <c r="M14" i="33"/>
  <c r="U14" i="33"/>
  <c r="AC14" i="33"/>
  <c r="AI14" i="33"/>
  <c r="W14" i="33"/>
  <c r="AA14" i="33"/>
  <c r="AR14" i="33"/>
  <c r="AJ14" i="33"/>
  <c r="N14" i="33"/>
  <c r="V14" i="33"/>
  <c r="AD14" i="33"/>
  <c r="S14" i="33"/>
  <c r="AX14" i="33"/>
  <c r="AP14" i="33"/>
  <c r="AH14" i="33"/>
  <c r="P14" i="33"/>
  <c r="X14" i="33"/>
  <c r="AV14" i="33"/>
  <c r="AN14" i="33"/>
  <c r="R14" i="33"/>
  <c r="AU14" i="33"/>
  <c r="AW14" i="33"/>
  <c r="AO14" i="33"/>
  <c r="AG14" i="33"/>
  <c r="Q14" i="33"/>
  <c r="Y14" i="33"/>
  <c r="K14" i="33"/>
  <c r="N18" i="36"/>
  <c r="N49" i="36" s="1"/>
  <c r="N50" i="36" s="1"/>
  <c r="V18" i="36"/>
  <c r="V49" i="36" s="1"/>
  <c r="V50" i="36" s="1"/>
  <c r="AD18" i="36"/>
  <c r="AD49" i="36" s="1"/>
  <c r="AD50" i="36" s="1"/>
  <c r="AL18" i="36"/>
  <c r="AT18" i="36"/>
  <c r="AT49" i="36" s="1"/>
  <c r="AT50" i="36" s="1"/>
  <c r="X18" i="36"/>
  <c r="X49" i="36" s="1"/>
  <c r="X50" i="36" s="1"/>
  <c r="AN18" i="36"/>
  <c r="AN49" i="36" s="1"/>
  <c r="AN50" i="36" s="1"/>
  <c r="S18" i="36"/>
  <c r="S49" i="36" s="1"/>
  <c r="S50" i="36" s="1"/>
  <c r="AB18" i="36"/>
  <c r="AB49" i="36" s="1"/>
  <c r="AB50" i="36" s="1"/>
  <c r="AC18" i="36"/>
  <c r="AC49" i="36" s="1"/>
  <c r="AC50" i="36" s="1"/>
  <c r="O18" i="36"/>
  <c r="O49" i="36" s="1"/>
  <c r="O50" i="36" s="1"/>
  <c r="W18" i="36"/>
  <c r="W49" i="36" s="1"/>
  <c r="W50" i="36" s="1"/>
  <c r="AE18" i="36"/>
  <c r="AE49" i="36" s="1"/>
  <c r="AE50" i="36" s="1"/>
  <c r="AM18" i="36"/>
  <c r="AM49" i="36" s="1"/>
  <c r="AM50" i="36" s="1"/>
  <c r="AU18" i="36"/>
  <c r="AU49" i="36" s="1"/>
  <c r="AU50" i="36" s="1"/>
  <c r="P18" i="36"/>
  <c r="P49" i="36" s="1"/>
  <c r="P50" i="36" s="1"/>
  <c r="AF18" i="36"/>
  <c r="AF49" i="36" s="1"/>
  <c r="AF50" i="36" s="1"/>
  <c r="AV18" i="36"/>
  <c r="AV49" i="36" s="1"/>
  <c r="AV50" i="36" s="1"/>
  <c r="AA18" i="36"/>
  <c r="AA49" i="36" s="1"/>
  <c r="AA50" i="36" s="1"/>
  <c r="AQ18" i="36"/>
  <c r="AQ49" i="36" s="1"/>
  <c r="AQ50" i="36" s="1"/>
  <c r="T18" i="36"/>
  <c r="T49" i="36" s="1"/>
  <c r="T50" i="36" s="1"/>
  <c r="AJ18" i="36"/>
  <c r="M18" i="36"/>
  <c r="M49" i="36" s="1"/>
  <c r="M50" i="36" s="1"/>
  <c r="AK18" i="36"/>
  <c r="AK49" i="36" s="1"/>
  <c r="AK50" i="36" s="1"/>
  <c r="Q18" i="36"/>
  <c r="Q49" i="36" s="1"/>
  <c r="Q50" i="36" s="1"/>
  <c r="Y18" i="36"/>
  <c r="Y49" i="36" s="1"/>
  <c r="Y50" i="36" s="1"/>
  <c r="AG18" i="36"/>
  <c r="AG49" i="36" s="1"/>
  <c r="AG50" i="36" s="1"/>
  <c r="AO18" i="36"/>
  <c r="AO49" i="36" s="1"/>
  <c r="AO50" i="36" s="1"/>
  <c r="AW18" i="36"/>
  <c r="AW49" i="36" s="1"/>
  <c r="AW50" i="36" s="1"/>
  <c r="R18" i="36"/>
  <c r="R49" i="36" s="1"/>
  <c r="R50" i="36" s="1"/>
  <c r="Z18" i="36"/>
  <c r="Z49" i="36" s="1"/>
  <c r="Z50" i="36" s="1"/>
  <c r="AH18" i="36"/>
  <c r="AH49" i="36" s="1"/>
  <c r="AH50" i="36" s="1"/>
  <c r="AP18" i="36"/>
  <c r="AP49" i="36" s="1"/>
  <c r="AP50" i="36" s="1"/>
  <c r="AX18" i="36"/>
  <c r="AX49" i="36" s="1"/>
  <c r="AX50" i="36" s="1"/>
  <c r="K18" i="36"/>
  <c r="AI18" i="36"/>
  <c r="AI49" i="36" s="1"/>
  <c r="AI50" i="36" s="1"/>
  <c r="L18" i="36"/>
  <c r="L49" i="36" s="1"/>
  <c r="L50" i="36" s="1"/>
  <c r="AR18" i="36"/>
  <c r="AR49" i="36" s="1"/>
  <c r="AR50" i="36" s="1"/>
  <c r="U18" i="36"/>
  <c r="U49" i="36" s="1"/>
  <c r="U50" i="36" s="1"/>
  <c r="AS18" i="36"/>
  <c r="AS49" i="36" s="1"/>
  <c r="AS50" i="36" s="1"/>
  <c r="K14" i="36"/>
  <c r="S14" i="36"/>
  <c r="AA14" i="36"/>
  <c r="AI14" i="36"/>
  <c r="AQ14" i="36"/>
  <c r="W14" i="36"/>
  <c r="AN14" i="36"/>
  <c r="L14" i="36"/>
  <c r="T14" i="36"/>
  <c r="AB14" i="36"/>
  <c r="AJ14" i="36"/>
  <c r="AR14" i="36"/>
  <c r="AE14" i="36"/>
  <c r="AF14" i="36"/>
  <c r="M14" i="36"/>
  <c r="U14" i="36"/>
  <c r="AC14" i="36"/>
  <c r="AK14" i="36"/>
  <c r="AS14" i="36"/>
  <c r="AM14" i="36"/>
  <c r="X14" i="36"/>
  <c r="N14" i="36"/>
  <c r="V14" i="36"/>
  <c r="AD14" i="36"/>
  <c r="AL14" i="36"/>
  <c r="AT14" i="36"/>
  <c r="AU14" i="36"/>
  <c r="P14" i="36"/>
  <c r="AX14" i="36"/>
  <c r="O14" i="36"/>
  <c r="AV14" i="36"/>
  <c r="Q14" i="36"/>
  <c r="Y14" i="36"/>
  <c r="AG14" i="36"/>
  <c r="AO14" i="36"/>
  <c r="AW14" i="36"/>
  <c r="R14" i="36"/>
  <c r="Z14" i="36"/>
  <c r="AH14" i="36"/>
  <c r="AP14" i="36"/>
  <c r="F32" i="36"/>
  <c r="F31" i="36"/>
  <c r="F33" i="36"/>
  <c r="F35" i="36"/>
  <c r="F31" i="33"/>
  <c r="F32" i="33"/>
  <c r="F33" i="33"/>
  <c r="F35" i="33"/>
  <c r="M1" i="31"/>
  <c r="M1" i="33"/>
  <c r="N48" i="31"/>
  <c r="M183" i="31"/>
  <c r="M199" i="31"/>
  <c r="E225" i="31" l="1"/>
  <c r="E221" i="31"/>
  <c r="G307" i="12"/>
  <c r="G306" i="12"/>
  <c r="G305" i="12"/>
  <c r="E289" i="12"/>
  <c r="E188" i="12"/>
  <c r="T20" i="40"/>
  <c r="P20" i="36"/>
  <c r="P45" i="31"/>
  <c r="P580" i="1" s="1"/>
  <c r="N617" i="1"/>
  <c r="N536" i="1"/>
  <c r="AV20" i="33"/>
  <c r="N123" i="31"/>
  <c r="N128" i="31"/>
  <c r="N61" i="31"/>
  <c r="N112" i="31"/>
  <c r="K212" i="1"/>
  <c r="K215" i="1" s="1"/>
  <c r="K240" i="1" s="1"/>
  <c r="K233" i="1"/>
  <c r="K241" i="1" s="1"/>
  <c r="N190" i="1"/>
  <c r="N201" i="1"/>
  <c r="L212" i="1"/>
  <c r="L215" i="1" s="1"/>
  <c r="L240" i="1" s="1"/>
  <c r="L232" i="1"/>
  <c r="L233" i="1" s="1"/>
  <c r="L241" i="1" s="1"/>
  <c r="M193" i="1"/>
  <c r="M231" i="1" s="1"/>
  <c r="M194" i="1"/>
  <c r="AU20" i="36"/>
  <c r="U20" i="40"/>
  <c r="AC20" i="33"/>
  <c r="AQ20" i="33"/>
  <c r="P20" i="40"/>
  <c r="AL20" i="40"/>
  <c r="P20" i="33"/>
  <c r="S20" i="33"/>
  <c r="W20" i="33"/>
  <c r="M20" i="33"/>
  <c r="Z20" i="33"/>
  <c r="AP20" i="40"/>
  <c r="X20" i="40"/>
  <c r="Q20" i="33"/>
  <c r="AT20" i="33"/>
  <c r="AO20" i="33"/>
  <c r="O20" i="33"/>
  <c r="N1" i="40"/>
  <c r="AQ20" i="40"/>
  <c r="V20" i="40"/>
  <c r="AE20" i="33"/>
  <c r="S20" i="40"/>
  <c r="AW20" i="33"/>
  <c r="AM20" i="40"/>
  <c r="AH20" i="40"/>
  <c r="V20" i="33"/>
  <c r="AB20" i="33"/>
  <c r="AA20" i="40"/>
  <c r="Z20" i="36"/>
  <c r="AA20" i="33"/>
  <c r="AM20" i="33"/>
  <c r="AO20" i="40"/>
  <c r="AG20" i="33"/>
  <c r="R20" i="33"/>
  <c r="N20" i="33"/>
  <c r="AJ20" i="40"/>
  <c r="Q20" i="40"/>
  <c r="AW20" i="40"/>
  <c r="K49" i="40"/>
  <c r="K50" i="40" s="1"/>
  <c r="I18" i="40"/>
  <c r="I49" i="40" s="1"/>
  <c r="F34" i="40"/>
  <c r="W20" i="40"/>
  <c r="AX20" i="40"/>
  <c r="AS20" i="40"/>
  <c r="O20" i="40"/>
  <c r="AE20" i="40"/>
  <c r="R20" i="40"/>
  <c r="AD20" i="40"/>
  <c r="AV20" i="40"/>
  <c r="K20" i="40"/>
  <c r="I14" i="40"/>
  <c r="AC20" i="40"/>
  <c r="AR20" i="40"/>
  <c r="N20" i="40"/>
  <c r="AU20" i="40"/>
  <c r="AU20" i="33"/>
  <c r="U20" i="33"/>
  <c r="F30" i="40"/>
  <c r="AF20" i="40"/>
  <c r="Z20" i="40"/>
  <c r="AK20" i="40"/>
  <c r="L20" i="40"/>
  <c r="AB20" i="40"/>
  <c r="AI20" i="40"/>
  <c r="Y20" i="40"/>
  <c r="AN20" i="40"/>
  <c r="AT20" i="40"/>
  <c r="M20" i="40"/>
  <c r="AJ20" i="33"/>
  <c r="AI20" i="33"/>
  <c r="AR20" i="33"/>
  <c r="AL20" i="33"/>
  <c r="T20" i="33"/>
  <c r="AN20" i="33"/>
  <c r="L20" i="33"/>
  <c r="AB20" i="36"/>
  <c r="AD20" i="33"/>
  <c r="AL20" i="36"/>
  <c r="AH20" i="33"/>
  <c r="I18" i="33"/>
  <c r="I49" i="33" s="1"/>
  <c r="K49" i="33"/>
  <c r="K50" i="33" s="1"/>
  <c r="AL49" i="36"/>
  <c r="AL50" i="36" s="1"/>
  <c r="AX20" i="33"/>
  <c r="AK20" i="33"/>
  <c r="F34" i="33"/>
  <c r="AF20" i="33"/>
  <c r="AP20" i="33"/>
  <c r="AJ20" i="36"/>
  <c r="Y20" i="33"/>
  <c r="AS20" i="33"/>
  <c r="X20" i="33"/>
  <c r="N1" i="36"/>
  <c r="K20" i="33"/>
  <c r="I14" i="33"/>
  <c r="F30" i="33"/>
  <c r="AJ49" i="36"/>
  <c r="AJ50" i="36" s="1"/>
  <c r="R20" i="36"/>
  <c r="M20" i="36"/>
  <c r="O20" i="36"/>
  <c r="AI20" i="36"/>
  <c r="AR20" i="36"/>
  <c r="L20" i="36"/>
  <c r="X20" i="36"/>
  <c r="AQ20" i="36"/>
  <c r="AO20" i="36"/>
  <c r="AX20" i="36"/>
  <c r="AF20" i="36"/>
  <c r="AA20" i="36"/>
  <c r="S20" i="36"/>
  <c r="Q20" i="36"/>
  <c r="U20" i="36"/>
  <c r="AT20" i="36"/>
  <c r="T20" i="36"/>
  <c r="AC20" i="36"/>
  <c r="W20" i="36"/>
  <c r="I14" i="36"/>
  <c r="K20" i="36"/>
  <c r="AN20" i="36"/>
  <c r="Y20" i="36"/>
  <c r="AK20" i="36"/>
  <c r="AM20" i="36"/>
  <c r="F30" i="36"/>
  <c r="AV20" i="36"/>
  <c r="AG20" i="36"/>
  <c r="AE20" i="36"/>
  <c r="AS20" i="36"/>
  <c r="AH20" i="36"/>
  <c r="N20" i="36"/>
  <c r="AW20" i="36"/>
  <c r="AP20" i="36"/>
  <c r="V20" i="36"/>
  <c r="K49" i="36"/>
  <c r="K50" i="36" s="1"/>
  <c r="I18" i="36"/>
  <c r="I49" i="36" s="1"/>
  <c r="F34" i="36"/>
  <c r="AD20" i="36"/>
  <c r="N199" i="31"/>
  <c r="N1" i="33"/>
  <c r="N1" i="31"/>
  <c r="O48" i="31"/>
  <c r="N183" i="31"/>
  <c r="Q45" i="31" l="1"/>
  <c r="Q580" i="1" s="1"/>
  <c r="K243" i="1"/>
  <c r="K245" i="1" s="1"/>
  <c r="K248" i="1" s="1"/>
  <c r="O617" i="1"/>
  <c r="O536" i="1"/>
  <c r="O123" i="31"/>
  <c r="O128" i="31"/>
  <c r="O61" i="31"/>
  <c r="O112" i="31"/>
  <c r="L243" i="1"/>
  <c r="L245" i="1" s="1"/>
  <c r="L248" i="1" s="1"/>
  <c r="O201" i="1"/>
  <c r="O190" i="1"/>
  <c r="M232" i="1"/>
  <c r="M233" i="1" s="1"/>
  <c r="M241" i="1" s="1"/>
  <c r="M212" i="1"/>
  <c r="M215" i="1" s="1"/>
  <c r="M240" i="1" s="1"/>
  <c r="N193" i="1"/>
  <c r="N231" i="1" s="1"/>
  <c r="N194" i="1"/>
  <c r="O1" i="40"/>
  <c r="F36" i="33"/>
  <c r="F36" i="40"/>
  <c r="I20" i="40"/>
  <c r="I20" i="33"/>
  <c r="O1" i="36"/>
  <c r="I20" i="36"/>
  <c r="F36" i="36"/>
  <c r="O183" i="31"/>
  <c r="O1" i="33"/>
  <c r="O199" i="31"/>
  <c r="O1" i="31"/>
  <c r="P48" i="31"/>
  <c r="R45" i="31"/>
  <c r="R580" i="1" s="1"/>
  <c r="P617" i="1" l="1"/>
  <c r="P536" i="1"/>
  <c r="P123" i="31"/>
  <c r="P128" i="31"/>
  <c r="P61" i="31"/>
  <c r="P112" i="31"/>
  <c r="M243" i="1"/>
  <c r="M245" i="1" s="1"/>
  <c r="M248" i="1" s="1"/>
  <c r="N232" i="1"/>
  <c r="N233" i="1" s="1"/>
  <c r="N241" i="1" s="1"/>
  <c r="N212" i="1"/>
  <c r="N215" i="1" s="1"/>
  <c r="N240" i="1" s="1"/>
  <c r="O194" i="1"/>
  <c r="O193" i="1"/>
  <c r="O231" i="1" s="1"/>
  <c r="P201" i="1"/>
  <c r="P190" i="1"/>
  <c r="P1" i="40"/>
  <c r="P1" i="36"/>
  <c r="P183" i="31"/>
  <c r="P1" i="33"/>
  <c r="P1" i="31"/>
  <c r="Q48" i="31"/>
  <c r="P199" i="31"/>
  <c r="S45" i="31"/>
  <c r="S580" i="1" s="1"/>
  <c r="N243" i="1" l="1"/>
  <c r="N245" i="1" s="1"/>
  <c r="N248" i="1" s="1"/>
  <c r="Q617" i="1"/>
  <c r="Q536" i="1"/>
  <c r="Q123" i="31"/>
  <c r="Q128" i="31"/>
  <c r="Q61" i="31"/>
  <c r="Q112" i="31"/>
  <c r="P194" i="1"/>
  <c r="P193" i="1"/>
  <c r="O212" i="1"/>
  <c r="O215" i="1" s="1"/>
  <c r="O240" i="1" s="1"/>
  <c r="O232" i="1"/>
  <c r="O233" i="1" s="1"/>
  <c r="O241" i="1" s="1"/>
  <c r="Q201" i="1"/>
  <c r="Q190" i="1"/>
  <c r="Q1" i="40"/>
  <c r="Q1" i="36"/>
  <c r="R48" i="31"/>
  <c r="Q1" i="33"/>
  <c r="Q1" i="31"/>
  <c r="Q199" i="31"/>
  <c r="Q183" i="31"/>
  <c r="T45" i="31"/>
  <c r="T580" i="1" s="1"/>
  <c r="R617" i="1" l="1"/>
  <c r="R536" i="1"/>
  <c r="R123" i="31"/>
  <c r="R128" i="31"/>
  <c r="R61" i="31"/>
  <c r="R112" i="31"/>
  <c r="O243" i="1"/>
  <c r="O245" i="1" s="1"/>
  <c r="O248" i="1" s="1"/>
  <c r="P231" i="1"/>
  <c r="Q194" i="1"/>
  <c r="Q193" i="1"/>
  <c r="Q231" i="1" s="1"/>
  <c r="R190" i="1"/>
  <c r="R201" i="1"/>
  <c r="P232" i="1"/>
  <c r="P212" i="1"/>
  <c r="P215" i="1" s="1"/>
  <c r="P240" i="1" s="1"/>
  <c r="R1" i="40"/>
  <c r="R1" i="33"/>
  <c r="R1" i="36"/>
  <c r="R199" i="31"/>
  <c r="R183" i="31"/>
  <c r="S48" i="31"/>
  <c r="R1" i="31"/>
  <c r="U45" i="31"/>
  <c r="U580" i="1" s="1"/>
  <c r="S617" i="1" l="1"/>
  <c r="S536" i="1"/>
  <c r="S123" i="31"/>
  <c r="S128" i="31"/>
  <c r="P233" i="1"/>
  <c r="P241" i="1" s="1"/>
  <c r="P243" i="1" s="1"/>
  <c r="P245" i="1" s="1"/>
  <c r="P248" i="1" s="1"/>
  <c r="S61" i="31"/>
  <c r="S112" i="31"/>
  <c r="Q232" i="1"/>
  <c r="Q233" i="1" s="1"/>
  <c r="Q241" i="1" s="1"/>
  <c r="Q212" i="1"/>
  <c r="Q215" i="1" s="1"/>
  <c r="Q240" i="1" s="1"/>
  <c r="S190" i="1"/>
  <c r="S201" i="1"/>
  <c r="R193" i="1"/>
  <c r="R231" i="1" s="1"/>
  <c r="R194" i="1"/>
  <c r="S1" i="40"/>
  <c r="S1" i="33"/>
  <c r="S1" i="36"/>
  <c r="S1" i="31"/>
  <c r="S199" i="31"/>
  <c r="S183" i="31"/>
  <c r="T48" i="31"/>
  <c r="V45" i="31"/>
  <c r="V580" i="1" s="1"/>
  <c r="T617" i="1" l="1"/>
  <c r="T536" i="1"/>
  <c r="T123" i="31"/>
  <c r="T128" i="31"/>
  <c r="T61" i="31"/>
  <c r="T112" i="31"/>
  <c r="R232" i="1"/>
  <c r="R233" i="1" s="1"/>
  <c r="R241" i="1" s="1"/>
  <c r="R212" i="1"/>
  <c r="R215" i="1" s="1"/>
  <c r="R240" i="1" s="1"/>
  <c r="Q243" i="1"/>
  <c r="Q245" i="1" s="1"/>
  <c r="Q248" i="1" s="1"/>
  <c r="S193" i="1"/>
  <c r="S231" i="1" s="1"/>
  <c r="S194" i="1"/>
  <c r="T201" i="1"/>
  <c r="T190" i="1"/>
  <c r="T1" i="40"/>
  <c r="T1" i="33"/>
  <c r="T1" i="36"/>
  <c r="U48" i="31"/>
  <c r="T183" i="31"/>
  <c r="T1" i="31"/>
  <c r="T199" i="31"/>
  <c r="W45" i="31"/>
  <c r="W580" i="1" s="1"/>
  <c r="U617" i="1" l="1"/>
  <c r="U536" i="1"/>
  <c r="U123" i="31"/>
  <c r="U128" i="31"/>
  <c r="U61" i="31"/>
  <c r="U112" i="31"/>
  <c r="T193" i="1"/>
  <c r="T231" i="1" s="1"/>
  <c r="T194" i="1"/>
  <c r="U190" i="1"/>
  <c r="U201" i="1"/>
  <c r="S212" i="1"/>
  <c r="S215" i="1" s="1"/>
  <c r="S240" i="1" s="1"/>
  <c r="S232" i="1"/>
  <c r="S233" i="1" s="1"/>
  <c r="S241" i="1" s="1"/>
  <c r="R243" i="1"/>
  <c r="R245" i="1" s="1"/>
  <c r="R248" i="1" s="1"/>
  <c r="U1" i="40"/>
  <c r="U1" i="33"/>
  <c r="U1" i="36"/>
  <c r="V48" i="31"/>
  <c r="U1" i="31"/>
  <c r="U183" i="31"/>
  <c r="U199" i="31"/>
  <c r="X45" i="31"/>
  <c r="X580" i="1" s="1"/>
  <c r="V617" i="1" l="1"/>
  <c r="V536" i="1"/>
  <c r="V123" i="31"/>
  <c r="V128" i="31"/>
  <c r="V61" i="31"/>
  <c r="V112" i="31"/>
  <c r="S243" i="1"/>
  <c r="S245" i="1" s="1"/>
  <c r="S248" i="1" s="1"/>
  <c r="V190" i="1"/>
  <c r="V201" i="1"/>
  <c r="U193" i="1"/>
  <c r="U231" i="1" s="1"/>
  <c r="U194" i="1"/>
  <c r="T232" i="1"/>
  <c r="T233" i="1" s="1"/>
  <c r="T241" i="1" s="1"/>
  <c r="T212" i="1"/>
  <c r="T215" i="1" s="1"/>
  <c r="T240" i="1" s="1"/>
  <c r="V1" i="40"/>
  <c r="V1" i="33"/>
  <c r="V1" i="36"/>
  <c r="V183" i="31"/>
  <c r="V199" i="31"/>
  <c r="V1" i="31"/>
  <c r="W48" i="31"/>
  <c r="Y45" i="31"/>
  <c r="Y580" i="1" s="1"/>
  <c r="W617" i="1" l="1"/>
  <c r="W536" i="1"/>
  <c r="W123" i="31"/>
  <c r="W128" i="31"/>
  <c r="W61" i="31"/>
  <c r="W112" i="31"/>
  <c r="U232" i="1"/>
  <c r="U233" i="1" s="1"/>
  <c r="U241" i="1" s="1"/>
  <c r="U212" i="1"/>
  <c r="U215" i="1" s="1"/>
  <c r="U240" i="1" s="1"/>
  <c r="W190" i="1"/>
  <c r="W201" i="1"/>
  <c r="T243" i="1"/>
  <c r="T245" i="1" s="1"/>
  <c r="T248" i="1" s="1"/>
  <c r="V194" i="1"/>
  <c r="V193" i="1"/>
  <c r="V231" i="1" s="1"/>
  <c r="W1" i="40"/>
  <c r="W1" i="33"/>
  <c r="W1" i="36"/>
  <c r="X48" i="31"/>
  <c r="W1" i="31"/>
  <c r="W199" i="31"/>
  <c r="W183" i="31"/>
  <c r="Z45" i="31"/>
  <c r="Z580" i="1" s="1"/>
  <c r="X617" i="1" l="1"/>
  <c r="X536" i="1"/>
  <c r="X123" i="31"/>
  <c r="X128" i="31"/>
  <c r="X61" i="31"/>
  <c r="X112" i="31"/>
  <c r="X201" i="1"/>
  <c r="X190" i="1"/>
  <c r="W194" i="1"/>
  <c r="W193" i="1"/>
  <c r="W231" i="1" s="1"/>
  <c r="V232" i="1"/>
  <c r="V233" i="1" s="1"/>
  <c r="V241" i="1" s="1"/>
  <c r="V212" i="1"/>
  <c r="V215" i="1" s="1"/>
  <c r="V240" i="1" s="1"/>
  <c r="U243" i="1"/>
  <c r="U245" i="1" s="1"/>
  <c r="U248" i="1" s="1"/>
  <c r="X1" i="40"/>
  <c r="X1" i="31"/>
  <c r="X1" i="33"/>
  <c r="X1" i="36"/>
  <c r="X183" i="31"/>
  <c r="X199" i="31"/>
  <c r="Y48" i="31"/>
  <c r="AA45" i="31"/>
  <c r="AA580" i="1" s="1"/>
  <c r="V243" i="1" l="1"/>
  <c r="V245" i="1" s="1"/>
  <c r="V248" i="1" s="1"/>
  <c r="Y617" i="1"/>
  <c r="Y536" i="1"/>
  <c r="Y123" i="31"/>
  <c r="Y128" i="31"/>
  <c r="Y61" i="31"/>
  <c r="Y112" i="31"/>
  <c r="W232" i="1"/>
  <c r="W233" i="1" s="1"/>
  <c r="W241" i="1" s="1"/>
  <c r="W212" i="1"/>
  <c r="W215" i="1" s="1"/>
  <c r="W240" i="1" s="1"/>
  <c r="X194" i="1"/>
  <c r="X193" i="1"/>
  <c r="X231" i="1" s="1"/>
  <c r="Y201" i="1"/>
  <c r="Y190" i="1"/>
  <c r="Y1" i="40"/>
  <c r="Y1" i="33"/>
  <c r="Y1" i="36"/>
  <c r="Z48" i="31"/>
  <c r="Y199" i="31"/>
  <c r="Y1" i="31"/>
  <c r="Y183" i="31"/>
  <c r="AB45" i="31"/>
  <c r="AB580" i="1" s="1"/>
  <c r="Z617" i="1" l="1"/>
  <c r="Z536" i="1"/>
  <c r="Z123" i="31"/>
  <c r="Z128" i="31"/>
  <c r="Z61" i="31"/>
  <c r="Z112" i="31"/>
  <c r="X232" i="1"/>
  <c r="X233" i="1" s="1"/>
  <c r="X241" i="1" s="1"/>
  <c r="X212" i="1"/>
  <c r="X215" i="1" s="1"/>
  <c r="X240" i="1" s="1"/>
  <c r="Y194" i="1"/>
  <c r="Y193" i="1"/>
  <c r="Y231" i="1" s="1"/>
  <c r="Z190" i="1"/>
  <c r="Z201" i="1"/>
  <c r="W243" i="1"/>
  <c r="W245" i="1" s="1"/>
  <c r="W248" i="1" s="1"/>
  <c r="Z1" i="40"/>
  <c r="Z1" i="31"/>
  <c r="AA48" i="31"/>
  <c r="Z1" i="33"/>
  <c r="Z1" i="36"/>
  <c r="Z183" i="31"/>
  <c r="Z199" i="31"/>
  <c r="AC45" i="31"/>
  <c r="AC580" i="1" s="1"/>
  <c r="AA617" i="1" l="1"/>
  <c r="AA536" i="1"/>
  <c r="AA123" i="31"/>
  <c r="AA128" i="31"/>
  <c r="AA61" i="31"/>
  <c r="AA112" i="31"/>
  <c r="Y232" i="1"/>
  <c r="Y233" i="1" s="1"/>
  <c r="Y241" i="1" s="1"/>
  <c r="Y212" i="1"/>
  <c r="Y215" i="1" s="1"/>
  <c r="Y240" i="1" s="1"/>
  <c r="AA190" i="1"/>
  <c r="AA201" i="1"/>
  <c r="Z194" i="1"/>
  <c r="Z193" i="1"/>
  <c r="Z231" i="1" s="1"/>
  <c r="X243" i="1"/>
  <c r="X245" i="1" s="1"/>
  <c r="X248" i="1" s="1"/>
  <c r="AA1" i="40"/>
  <c r="AA1" i="33"/>
  <c r="AB48" i="31"/>
  <c r="AA183" i="31"/>
  <c r="AA1" i="31"/>
  <c r="AA199" i="31"/>
  <c r="AA1" i="36"/>
  <c r="AD45" i="31"/>
  <c r="AD580" i="1" s="1"/>
  <c r="Y243" i="1" l="1"/>
  <c r="Y245" i="1" s="1"/>
  <c r="Y248" i="1" s="1"/>
  <c r="AB617" i="1"/>
  <c r="AB536" i="1"/>
  <c r="AB123" i="31"/>
  <c r="AB128" i="31"/>
  <c r="AB61" i="31"/>
  <c r="AB112" i="31"/>
  <c r="AA193" i="1"/>
  <c r="AA231" i="1" s="1"/>
  <c r="AA194" i="1"/>
  <c r="AB201" i="1"/>
  <c r="AB190" i="1"/>
  <c r="Z232" i="1"/>
  <c r="Z233" i="1" s="1"/>
  <c r="Z241" i="1" s="1"/>
  <c r="Z212" i="1"/>
  <c r="Z215" i="1" s="1"/>
  <c r="Z240" i="1" s="1"/>
  <c r="AB1" i="40"/>
  <c r="AB1" i="33"/>
  <c r="AC48" i="31"/>
  <c r="AB199" i="31"/>
  <c r="AB183" i="31"/>
  <c r="AB1" i="36"/>
  <c r="AB1" i="31"/>
  <c r="AE45" i="31"/>
  <c r="AE580" i="1" s="1"/>
  <c r="E71" i="11"/>
  <c r="J129" i="7"/>
  <c r="H129" i="7"/>
  <c r="F129" i="7"/>
  <c r="F57" i="5"/>
  <c r="E109" i="1"/>
  <c r="E114" i="1" s="1"/>
  <c r="J109" i="1"/>
  <c r="H109" i="1"/>
  <c r="G109" i="1"/>
  <c r="F109" i="1"/>
  <c r="E84" i="1"/>
  <c r="Z243" i="1" l="1"/>
  <c r="Z245" i="1" s="1"/>
  <c r="Z248" i="1" s="1"/>
  <c r="AC617" i="1"/>
  <c r="AC536" i="1"/>
  <c r="AC123" i="31"/>
  <c r="AC128" i="31"/>
  <c r="AC61" i="31"/>
  <c r="AC112" i="31"/>
  <c r="AA232" i="1"/>
  <c r="AA233" i="1" s="1"/>
  <c r="AA241" i="1" s="1"/>
  <c r="AA212" i="1"/>
  <c r="AA215" i="1" s="1"/>
  <c r="AA240" i="1" s="1"/>
  <c r="AB193" i="1"/>
  <c r="AB231" i="1" s="1"/>
  <c r="AB194" i="1"/>
  <c r="AC190" i="1"/>
  <c r="AC201" i="1"/>
  <c r="F120" i="1"/>
  <c r="F124" i="1"/>
  <c r="E120" i="1"/>
  <c r="E124" i="1"/>
  <c r="G120" i="1"/>
  <c r="G114" i="1"/>
  <c r="G124" i="1"/>
  <c r="H120" i="1"/>
  <c r="H124" i="1"/>
  <c r="J120" i="1"/>
  <c r="J124" i="1"/>
  <c r="AD48" i="31"/>
  <c r="AC1" i="40"/>
  <c r="AC1" i="31"/>
  <c r="AC1" i="33"/>
  <c r="AC183" i="31"/>
  <c r="AC1" i="36"/>
  <c r="AC199" i="31"/>
  <c r="D1" i="34"/>
  <c r="C1" i="3"/>
  <c r="AF45" i="31"/>
  <c r="AF580" i="1" s="1"/>
  <c r="F1" i="5"/>
  <c r="J16" i="7"/>
  <c r="J29" i="7" s="1"/>
  <c r="H16" i="7"/>
  <c r="H29" i="7" s="1"/>
  <c r="F16" i="7"/>
  <c r="F29" i="7" s="1"/>
  <c r="J737" i="1"/>
  <c r="H737" i="1"/>
  <c r="G737" i="1"/>
  <c r="F737" i="1"/>
  <c r="E737" i="1"/>
  <c r="J596" i="1"/>
  <c r="H596" i="1"/>
  <c r="G596" i="1"/>
  <c r="F596" i="1"/>
  <c r="E596" i="1"/>
  <c r="G523" i="1"/>
  <c r="E523" i="1"/>
  <c r="K517" i="1"/>
  <c r="J520" i="1"/>
  <c r="H520" i="1"/>
  <c r="F520" i="1"/>
  <c r="J519" i="1"/>
  <c r="H519" i="1"/>
  <c r="G519" i="1"/>
  <c r="F519" i="1"/>
  <c r="E519" i="1"/>
  <c r="G515" i="1"/>
  <c r="E515" i="1"/>
  <c r="J508" i="1"/>
  <c r="H508" i="1"/>
  <c r="G508" i="1"/>
  <c r="G512" i="1" s="1"/>
  <c r="G520" i="1" s="1"/>
  <c r="F508" i="1"/>
  <c r="E508" i="1"/>
  <c r="E509" i="1"/>
  <c r="E800" i="1"/>
  <c r="J502" i="1"/>
  <c r="H502" i="1"/>
  <c r="G502" i="1"/>
  <c r="F502" i="1"/>
  <c r="E502" i="1"/>
  <c r="J381" i="1"/>
  <c r="H381" i="1"/>
  <c r="G381" i="1"/>
  <c r="F381" i="1"/>
  <c r="J380" i="1"/>
  <c r="H380" i="1"/>
  <c r="G380" i="1"/>
  <c r="F380" i="1"/>
  <c r="E380" i="1"/>
  <c r="J499" i="1"/>
  <c r="H499" i="1"/>
  <c r="G499" i="1"/>
  <c r="F499" i="1"/>
  <c r="E499" i="1"/>
  <c r="J372" i="1"/>
  <c r="H372" i="1"/>
  <c r="F372" i="1"/>
  <c r="E365" i="1"/>
  <c r="J267" i="12"/>
  <c r="I267" i="12"/>
  <c r="H267" i="12"/>
  <c r="G267" i="12"/>
  <c r="F267" i="12"/>
  <c r="E267" i="12"/>
  <c r="J60" i="12"/>
  <c r="I60" i="12"/>
  <c r="H60" i="12"/>
  <c r="G60" i="12"/>
  <c r="F60" i="12"/>
  <c r="E60" i="12"/>
  <c r="J166" i="12"/>
  <c r="I166" i="12"/>
  <c r="H166" i="12"/>
  <c r="G166" i="12"/>
  <c r="F166" i="12"/>
  <c r="E166" i="12"/>
  <c r="J783" i="1"/>
  <c r="H783" i="1"/>
  <c r="G783" i="1"/>
  <c r="F783" i="1"/>
  <c r="J782" i="1"/>
  <c r="H782" i="1"/>
  <c r="G782" i="1"/>
  <c r="F782" i="1"/>
  <c r="J779" i="1"/>
  <c r="H779" i="1"/>
  <c r="G779" i="1"/>
  <c r="F779" i="1"/>
  <c r="J778" i="1"/>
  <c r="H778" i="1"/>
  <c r="G778" i="1"/>
  <c r="F778" i="1"/>
  <c r="J739" i="1"/>
  <c r="H739" i="1"/>
  <c r="G739" i="1"/>
  <c r="F739" i="1"/>
  <c r="J738" i="1"/>
  <c r="H738" i="1"/>
  <c r="G738" i="1"/>
  <c r="F738" i="1"/>
  <c r="J736" i="1"/>
  <c r="H736" i="1"/>
  <c r="G736" i="1"/>
  <c r="F736" i="1"/>
  <c r="J733" i="1"/>
  <c r="H733" i="1"/>
  <c r="G733" i="1"/>
  <c r="F733" i="1"/>
  <c r="J734" i="1"/>
  <c r="H734" i="1"/>
  <c r="G734" i="1"/>
  <c r="F734" i="1"/>
  <c r="J595" i="1"/>
  <c r="H595" i="1"/>
  <c r="G595" i="1"/>
  <c r="F595" i="1"/>
  <c r="J594" i="1"/>
  <c r="H594" i="1"/>
  <c r="G594" i="1"/>
  <c r="F594" i="1"/>
  <c r="J458" i="1"/>
  <c r="H458" i="1"/>
  <c r="F458" i="1"/>
  <c r="J371" i="1"/>
  <c r="H371" i="1"/>
  <c r="F371" i="1"/>
  <c r="E356" i="1"/>
  <c r="J462" i="1"/>
  <c r="J500" i="1" s="1"/>
  <c r="H462" i="1"/>
  <c r="H500" i="1" s="1"/>
  <c r="G462" i="1"/>
  <c r="G500" i="1" s="1"/>
  <c r="F462" i="1"/>
  <c r="F500" i="1" s="1"/>
  <c r="J459" i="1"/>
  <c r="J501" i="1" s="1"/>
  <c r="H459" i="1"/>
  <c r="H501" i="1" s="1"/>
  <c r="G459" i="1"/>
  <c r="G501" i="1" s="1"/>
  <c r="F459" i="1"/>
  <c r="F501" i="1" s="1"/>
  <c r="J433" i="1"/>
  <c r="H433" i="1"/>
  <c r="G433" i="1"/>
  <c r="F433" i="1"/>
  <c r="J432" i="1"/>
  <c r="H432" i="1"/>
  <c r="G432" i="1"/>
  <c r="F432" i="1"/>
  <c r="J420" i="1"/>
  <c r="H420" i="1"/>
  <c r="G420" i="1"/>
  <c r="F420" i="1"/>
  <c r="J408" i="1"/>
  <c r="H408" i="1"/>
  <c r="G408" i="1"/>
  <c r="F408" i="1"/>
  <c r="E389" i="1"/>
  <c r="J375" i="1"/>
  <c r="H375" i="1"/>
  <c r="G375" i="1"/>
  <c r="F375" i="1"/>
  <c r="E512" i="1" l="1"/>
  <c r="E520" i="1" s="1"/>
  <c r="AD617" i="1"/>
  <c r="AD536" i="1"/>
  <c r="AD123" i="31"/>
  <c r="AD128" i="31"/>
  <c r="AD61" i="31"/>
  <c r="AD112" i="31"/>
  <c r="AB232" i="1"/>
  <c r="AB233" i="1" s="1"/>
  <c r="AB241" i="1" s="1"/>
  <c r="AB212" i="1"/>
  <c r="AB215" i="1" s="1"/>
  <c r="AB240" i="1" s="1"/>
  <c r="AD190" i="1"/>
  <c r="AD201" i="1"/>
  <c r="AC193" i="1"/>
  <c r="AC231" i="1" s="1"/>
  <c r="AC194" i="1"/>
  <c r="AA243" i="1"/>
  <c r="AA245" i="1" s="1"/>
  <c r="AA248" i="1" s="1"/>
  <c r="AD1" i="31"/>
  <c r="AD199" i="31"/>
  <c r="AD183" i="31"/>
  <c r="AD1" i="40"/>
  <c r="AD1" i="33"/>
  <c r="AD1" i="36"/>
  <c r="AE48" i="31"/>
  <c r="E753" i="1"/>
  <c r="E766" i="1" s="1"/>
  <c r="AG45" i="31"/>
  <c r="AG580" i="1" s="1"/>
  <c r="J330" i="1"/>
  <c r="I330" i="1"/>
  <c r="H330" i="1"/>
  <c r="G330" i="1"/>
  <c r="F330" i="1"/>
  <c r="J329" i="1"/>
  <c r="H329" i="1"/>
  <c r="G329" i="1"/>
  <c r="G334" i="1" s="1"/>
  <c r="F329" i="1"/>
  <c r="J321" i="1"/>
  <c r="H321" i="1"/>
  <c r="G321" i="1"/>
  <c r="F321" i="1"/>
  <c r="J302" i="1"/>
  <c r="J318" i="1" s="1"/>
  <c r="H302" i="1"/>
  <c r="H318" i="1" s="1"/>
  <c r="G302" i="1"/>
  <c r="G318" i="1" s="1"/>
  <c r="F302" i="1"/>
  <c r="F318" i="1" s="1"/>
  <c r="J291" i="1"/>
  <c r="I291" i="1"/>
  <c r="H291" i="1"/>
  <c r="G291" i="1"/>
  <c r="F291" i="1"/>
  <c r="J285" i="1"/>
  <c r="H285" i="1"/>
  <c r="G285" i="1"/>
  <c r="F285" i="1"/>
  <c r="J275" i="1"/>
  <c r="H275" i="1"/>
  <c r="G275" i="1"/>
  <c r="F275" i="1"/>
  <c r="J264" i="1"/>
  <c r="H264" i="1"/>
  <c r="G264" i="1"/>
  <c r="F264" i="1"/>
  <c r="J263" i="1"/>
  <c r="H263" i="1"/>
  <c r="G263" i="1"/>
  <c r="F263" i="1"/>
  <c r="J262" i="1"/>
  <c r="H262" i="1"/>
  <c r="G262" i="1"/>
  <c r="F262" i="1"/>
  <c r="J261" i="1"/>
  <c r="H261" i="1"/>
  <c r="G261" i="1"/>
  <c r="F261" i="1"/>
  <c r="J260" i="1"/>
  <c r="H260" i="1"/>
  <c r="G260" i="1"/>
  <c r="F260" i="1"/>
  <c r="J259" i="1"/>
  <c r="H259" i="1"/>
  <c r="G259" i="1"/>
  <c r="F259" i="1"/>
  <c r="J142" i="1"/>
  <c r="H142" i="1"/>
  <c r="G142" i="1"/>
  <c r="F142" i="1"/>
  <c r="J141" i="1"/>
  <c r="H141" i="1"/>
  <c r="G141" i="1"/>
  <c r="F141" i="1"/>
  <c r="J128" i="1"/>
  <c r="H128" i="1"/>
  <c r="G128" i="1"/>
  <c r="F128" i="1"/>
  <c r="J81" i="1"/>
  <c r="H81" i="1"/>
  <c r="G81" i="1"/>
  <c r="F81" i="1"/>
  <c r="J77" i="1"/>
  <c r="H77" i="1"/>
  <c r="G77" i="1"/>
  <c r="F77" i="1"/>
  <c r="J135" i="1"/>
  <c r="I135" i="1"/>
  <c r="H135" i="1"/>
  <c r="G135" i="1"/>
  <c r="F135" i="1"/>
  <c r="E135" i="1"/>
  <c r="G134" i="1"/>
  <c r="E134" i="1"/>
  <c r="AB243" i="1" l="1"/>
  <c r="AB245" i="1" s="1"/>
  <c r="AB248" i="1" s="1"/>
  <c r="N24" i="5"/>
  <c r="R73" i="5" s="1"/>
  <c r="AE617" i="1"/>
  <c r="AE536" i="1"/>
  <c r="AE123" i="31"/>
  <c r="AE128" i="31"/>
  <c r="AE61" i="31"/>
  <c r="AE112" i="31"/>
  <c r="AD193" i="1"/>
  <c r="AD231" i="1" s="1"/>
  <c r="AD194" i="1"/>
  <c r="AE190" i="1"/>
  <c r="AE201" i="1"/>
  <c r="AC232" i="1"/>
  <c r="AC233" i="1" s="1"/>
  <c r="AC241" i="1" s="1"/>
  <c r="AC212" i="1"/>
  <c r="AC215" i="1" s="1"/>
  <c r="AC240" i="1" s="1"/>
  <c r="AE1" i="40"/>
  <c r="AF48" i="31"/>
  <c r="AE199" i="31"/>
  <c r="AE1" i="33"/>
  <c r="AE1" i="31"/>
  <c r="AE183" i="31"/>
  <c r="AE1" i="36"/>
  <c r="E16" i="7"/>
  <c r="E64" i="7" s="1"/>
  <c r="AH45" i="31"/>
  <c r="AH580" i="1" s="1"/>
  <c r="G367" i="1"/>
  <c r="G490" i="1" s="1"/>
  <c r="E60" i="35" l="1"/>
  <c r="AF617" i="1"/>
  <c r="AF536" i="1"/>
  <c r="AF123" i="31"/>
  <c r="AF128" i="31"/>
  <c r="AF61" i="31"/>
  <c r="AF112" i="31"/>
  <c r="AF201" i="1"/>
  <c r="AF190" i="1"/>
  <c r="AE193" i="1"/>
  <c r="AE231" i="1" s="1"/>
  <c r="AE194" i="1"/>
  <c r="AD212" i="1"/>
  <c r="AD215" i="1" s="1"/>
  <c r="AD240" i="1" s="1"/>
  <c r="AD232" i="1"/>
  <c r="AD233" i="1" s="1"/>
  <c r="AD241" i="1" s="1"/>
  <c r="AC243" i="1"/>
  <c r="AC245" i="1" s="1"/>
  <c r="AC248" i="1" s="1"/>
  <c r="AF183" i="31"/>
  <c r="AF199" i="31"/>
  <c r="AF1" i="40"/>
  <c r="AG48" i="31"/>
  <c r="AF1" i="36"/>
  <c r="AF1" i="31"/>
  <c r="AF1" i="33"/>
  <c r="E29" i="7"/>
  <c r="AI45" i="31"/>
  <c r="AI580" i="1" s="1"/>
  <c r="G372" i="1"/>
  <c r="AG617" i="1" l="1"/>
  <c r="AG536" i="1"/>
  <c r="AG123" i="31"/>
  <c r="AG128" i="31"/>
  <c r="AG61" i="31"/>
  <c r="AG112" i="31"/>
  <c r="AD243" i="1"/>
  <c r="AD245" i="1" s="1"/>
  <c r="AD248" i="1" s="1"/>
  <c r="AE212" i="1"/>
  <c r="AE215" i="1" s="1"/>
  <c r="AE240" i="1" s="1"/>
  <c r="AE232" i="1"/>
  <c r="AE233" i="1" s="1"/>
  <c r="AE241" i="1" s="1"/>
  <c r="AG201" i="1"/>
  <c r="AG190" i="1"/>
  <c r="AF194" i="1"/>
  <c r="AF193" i="1"/>
  <c r="AF231" i="1" s="1"/>
  <c r="AH48" i="31"/>
  <c r="AH536" i="1" s="1"/>
  <c r="AG1" i="31"/>
  <c r="AG199" i="31"/>
  <c r="AG1" i="40"/>
  <c r="AG183" i="31"/>
  <c r="AG1" i="36"/>
  <c r="AG1" i="33"/>
  <c r="AJ45" i="31"/>
  <c r="AJ580" i="1" s="1"/>
  <c r="G361" i="1"/>
  <c r="G458" i="1" s="1"/>
  <c r="G360" i="1"/>
  <c r="G371" i="1" s="1"/>
  <c r="AI48" i="31" l="1"/>
  <c r="AI1" i="40" s="1"/>
  <c r="AH617" i="1"/>
  <c r="AH123" i="31"/>
  <c r="AH128" i="31"/>
  <c r="AH61" i="31"/>
  <c r="AH112" i="31"/>
  <c r="AE243" i="1"/>
  <c r="AE245" i="1" s="1"/>
  <c r="AE248" i="1" s="1"/>
  <c r="AH1" i="31"/>
  <c r="AG194" i="1"/>
  <c r="AG193" i="1"/>
  <c r="AG231" i="1" s="1"/>
  <c r="AH199" i="31"/>
  <c r="AH190" i="1"/>
  <c r="AH201" i="1"/>
  <c r="AF232" i="1"/>
  <c r="AF233" i="1" s="1"/>
  <c r="AF241" i="1" s="1"/>
  <c r="AF212" i="1"/>
  <c r="AF215" i="1" s="1"/>
  <c r="AF240" i="1" s="1"/>
  <c r="AH1" i="40"/>
  <c r="AH183" i="31"/>
  <c r="AH1" i="36"/>
  <c r="AH1" i="33"/>
  <c r="AK45" i="31"/>
  <c r="AK580" i="1" s="1"/>
  <c r="AI183" i="31" l="1"/>
  <c r="AI1" i="36"/>
  <c r="AI112" i="31"/>
  <c r="AI190" i="1"/>
  <c r="AI193" i="1" s="1"/>
  <c r="AI231" i="1" s="1"/>
  <c r="AI201" i="1"/>
  <c r="AJ48" i="31"/>
  <c r="AJ128" i="31" s="1"/>
  <c r="AI61" i="31"/>
  <c r="AI1" i="31"/>
  <c r="AI199" i="31"/>
  <c r="AI128" i="31"/>
  <c r="AI1" i="33"/>
  <c r="AI123" i="31"/>
  <c r="AI617" i="1"/>
  <c r="AI536" i="1"/>
  <c r="AF243" i="1"/>
  <c r="AF245" i="1" s="1"/>
  <c r="AF248" i="1" s="1"/>
  <c r="AH194" i="1"/>
  <c r="AH193" i="1"/>
  <c r="AH231" i="1" s="1"/>
  <c r="AG212" i="1"/>
  <c r="AG215" i="1" s="1"/>
  <c r="AG240" i="1" s="1"/>
  <c r="AG232" i="1"/>
  <c r="AG233" i="1" s="1"/>
  <c r="AG241" i="1" s="1"/>
  <c r="AL45" i="31"/>
  <c r="AL580" i="1" s="1"/>
  <c r="AJ123" i="31" l="1"/>
  <c r="AJ1" i="36"/>
  <c r="AJ1" i="40"/>
  <c r="AI194" i="1"/>
  <c r="AI232" i="1" s="1"/>
  <c r="AI233" i="1" s="1"/>
  <c r="AI241" i="1" s="1"/>
  <c r="AJ183" i="31"/>
  <c r="AJ1" i="33"/>
  <c r="AJ536" i="1"/>
  <c r="AK48" i="31"/>
  <c r="AK201" i="1" s="1"/>
  <c r="AJ617" i="1"/>
  <c r="AJ112" i="31"/>
  <c r="AJ1" i="31"/>
  <c r="AJ190" i="1"/>
  <c r="AJ193" i="1" s="1"/>
  <c r="AJ231" i="1" s="1"/>
  <c r="AJ61" i="31"/>
  <c r="AJ199" i="31"/>
  <c r="AJ201" i="1"/>
  <c r="AG243" i="1"/>
  <c r="AG245" i="1" s="1"/>
  <c r="AG248" i="1" s="1"/>
  <c r="AH232" i="1"/>
  <c r="AH233" i="1" s="1"/>
  <c r="AH241" i="1" s="1"/>
  <c r="AH212" i="1"/>
  <c r="AH215" i="1" s="1"/>
  <c r="AH240" i="1" s="1"/>
  <c r="AM45" i="31"/>
  <c r="AM580" i="1" s="1"/>
  <c r="AH243" i="1" l="1"/>
  <c r="AH245" i="1" s="1"/>
  <c r="AH248" i="1" s="1"/>
  <c r="AK123" i="31"/>
  <c r="AK190" i="1"/>
  <c r="AK193" i="1" s="1"/>
  <c r="AK231" i="1" s="1"/>
  <c r="AK1" i="33"/>
  <c r="AK112" i="31"/>
  <c r="AK536" i="1"/>
  <c r="AK183" i="31"/>
  <c r="AK61" i="31"/>
  <c r="AK1" i="36"/>
  <c r="AK128" i="31"/>
  <c r="AI212" i="1"/>
  <c r="AI215" i="1" s="1"/>
  <c r="AI240" i="1" s="1"/>
  <c r="AI243" i="1" s="1"/>
  <c r="AI245" i="1" s="1"/>
  <c r="AI248" i="1" s="1"/>
  <c r="AK199" i="31"/>
  <c r="AL48" i="31"/>
  <c r="AL123" i="31" s="1"/>
  <c r="AJ194" i="1"/>
  <c r="AJ212" i="1" s="1"/>
  <c r="AJ215" i="1" s="1"/>
  <c r="AJ240" i="1" s="1"/>
  <c r="AK1" i="40"/>
  <c r="AK617" i="1"/>
  <c r="AK1" i="31"/>
  <c r="AN45" i="31"/>
  <c r="AN580" i="1" s="1"/>
  <c r="AK194" i="1" l="1"/>
  <c r="AK212" i="1" s="1"/>
  <c r="AK215" i="1" s="1"/>
  <c r="AK240" i="1" s="1"/>
  <c r="AL112" i="31"/>
  <c r="AL61" i="31"/>
  <c r="AL536" i="1"/>
  <c r="AL190" i="1"/>
  <c r="AL193" i="1" s="1"/>
  <c r="AL231" i="1" s="1"/>
  <c r="AL1" i="33"/>
  <c r="AL1" i="40"/>
  <c r="AL617" i="1"/>
  <c r="AL201" i="1"/>
  <c r="AL183" i="31"/>
  <c r="AL1" i="36"/>
  <c r="AL1" i="31"/>
  <c r="AL199" i="31"/>
  <c r="AL128" i="31"/>
  <c r="AM48" i="31"/>
  <c r="AM128" i="31" s="1"/>
  <c r="AJ232" i="1"/>
  <c r="AJ233" i="1" s="1"/>
  <c r="AJ241" i="1" s="1"/>
  <c r="AJ243" i="1" s="1"/>
  <c r="AJ245" i="1" s="1"/>
  <c r="AJ248" i="1" s="1"/>
  <c r="AO45" i="31"/>
  <c r="AO580" i="1" s="1"/>
  <c r="AK232" i="1" l="1"/>
  <c r="AK233" i="1" s="1"/>
  <c r="AK241" i="1" s="1"/>
  <c r="AL194" i="1"/>
  <c r="AL232" i="1" s="1"/>
  <c r="AL233" i="1" s="1"/>
  <c r="AL241" i="1" s="1"/>
  <c r="AM617" i="1"/>
  <c r="AM1" i="40"/>
  <c r="AM201" i="1"/>
  <c r="AM536" i="1"/>
  <c r="AM183" i="31"/>
  <c r="AM190" i="1"/>
  <c r="AM194" i="1" s="1"/>
  <c r="AN48" i="31"/>
  <c r="AN1" i="33" s="1"/>
  <c r="AM1" i="36"/>
  <c r="AM1" i="33"/>
  <c r="AM123" i="31"/>
  <c r="AM61" i="31"/>
  <c r="AM112" i="31"/>
  <c r="AM1" i="31"/>
  <c r="AM199" i="31"/>
  <c r="AK243" i="1"/>
  <c r="AK245" i="1" s="1"/>
  <c r="AK248" i="1" s="1"/>
  <c r="AP45" i="31"/>
  <c r="AP580" i="1" s="1"/>
  <c r="BG109" i="5"/>
  <c r="BF109" i="5"/>
  <c r="BE109" i="5"/>
  <c r="BD109" i="5"/>
  <c r="BC109" i="5"/>
  <c r="BB109" i="5"/>
  <c r="BA109" i="5"/>
  <c r="AZ109" i="5"/>
  <c r="AY109" i="5"/>
  <c r="AX109" i="5"/>
  <c r="AW109" i="5"/>
  <c r="AV109" i="5"/>
  <c r="AU109" i="5"/>
  <c r="AT109" i="5"/>
  <c r="AS109" i="5"/>
  <c r="AR109" i="5"/>
  <c r="AQ109" i="5"/>
  <c r="AP109" i="5"/>
  <c r="AO109" i="5"/>
  <c r="AN109" i="5"/>
  <c r="AM109" i="5"/>
  <c r="AL109" i="5"/>
  <c r="AK109" i="5"/>
  <c r="AJ109" i="5"/>
  <c r="AI109" i="5"/>
  <c r="AH109" i="5"/>
  <c r="AG109" i="5"/>
  <c r="AF109" i="5"/>
  <c r="AE109" i="5"/>
  <c r="AD109" i="5"/>
  <c r="AC109" i="5"/>
  <c r="AB109" i="5"/>
  <c r="AA109" i="5"/>
  <c r="Z109" i="5"/>
  <c r="Y109" i="5"/>
  <c r="X109" i="5"/>
  <c r="W109" i="5"/>
  <c r="V109" i="5"/>
  <c r="U109" i="5"/>
  <c r="T109" i="5"/>
  <c r="T110" i="5" s="1"/>
  <c r="AL212" i="1" l="1"/>
  <c r="AL215" i="1" s="1"/>
  <c r="AL240" i="1" s="1"/>
  <c r="AL243" i="1" s="1"/>
  <c r="AL245" i="1" s="1"/>
  <c r="AL248" i="1" s="1"/>
  <c r="AN123" i="31"/>
  <c r="AN128" i="31"/>
  <c r="AN536" i="1"/>
  <c r="AN1" i="31"/>
  <c r="AO48" i="31"/>
  <c r="AO61" i="31" s="1"/>
  <c r="AN190" i="1"/>
  <c r="AN194" i="1" s="1"/>
  <c r="AN201" i="1"/>
  <c r="AN183" i="31"/>
  <c r="AN199" i="31"/>
  <c r="AN112" i="31"/>
  <c r="AN617" i="1"/>
  <c r="AM193" i="1"/>
  <c r="AM231" i="1" s="1"/>
  <c r="AN1" i="36"/>
  <c r="AN1" i="40"/>
  <c r="AN61" i="31"/>
  <c r="AM232" i="1"/>
  <c r="AM212" i="1"/>
  <c r="AM215" i="1" s="1"/>
  <c r="AM240" i="1" s="1"/>
  <c r="AQ45" i="31"/>
  <c r="AQ580" i="1" s="1"/>
  <c r="U110" i="5"/>
  <c r="V110" i="5" s="1"/>
  <c r="W110" i="5" s="1"/>
  <c r="X110" i="5" s="1"/>
  <c r="Y110" i="5" s="1"/>
  <c r="Z110" i="5" s="1"/>
  <c r="AA110" i="5" s="1"/>
  <c r="AB110" i="5" s="1"/>
  <c r="AC110" i="5" s="1"/>
  <c r="AD110" i="5" s="1"/>
  <c r="AE110" i="5" s="1"/>
  <c r="AF110" i="5" s="1"/>
  <c r="AG110" i="5" s="1"/>
  <c r="AH110" i="5" s="1"/>
  <c r="AI110" i="5" s="1"/>
  <c r="AJ110" i="5" s="1"/>
  <c r="AK110" i="5" s="1"/>
  <c r="AL110" i="5" s="1"/>
  <c r="AM110" i="5" s="1"/>
  <c r="AN110" i="5" s="1"/>
  <c r="AO110" i="5" s="1"/>
  <c r="AP110" i="5" s="1"/>
  <c r="AQ110" i="5" s="1"/>
  <c r="AR110" i="5" s="1"/>
  <c r="AS110" i="5" s="1"/>
  <c r="AT110" i="5" s="1"/>
  <c r="AU110" i="5" s="1"/>
  <c r="AV110" i="5" s="1"/>
  <c r="AW110" i="5" s="1"/>
  <c r="AX110" i="5" s="1"/>
  <c r="AY110" i="5" s="1"/>
  <c r="AZ110" i="5" s="1"/>
  <c r="BA110" i="5" s="1"/>
  <c r="BB110" i="5" s="1"/>
  <c r="BC110" i="5" s="1"/>
  <c r="BD110" i="5" s="1"/>
  <c r="BE110" i="5" s="1"/>
  <c r="BF110" i="5" s="1"/>
  <c r="BG110" i="5" s="1"/>
  <c r="AO199" i="31" l="1"/>
  <c r="AO183" i="31"/>
  <c r="AO617" i="1"/>
  <c r="AO190" i="1"/>
  <c r="AO193" i="1" s="1"/>
  <c r="AO231" i="1" s="1"/>
  <c r="AO201" i="1"/>
  <c r="AO1" i="36"/>
  <c r="AP48" i="31"/>
  <c r="AP128" i="31" s="1"/>
  <c r="AN193" i="1"/>
  <c r="AN231" i="1" s="1"/>
  <c r="AO123" i="31"/>
  <c r="AO1" i="33"/>
  <c r="AO112" i="31"/>
  <c r="AO1" i="40"/>
  <c r="AO1" i="31"/>
  <c r="AO536" i="1"/>
  <c r="AO128" i="31"/>
  <c r="AM233" i="1"/>
  <c r="AM241" i="1" s="1"/>
  <c r="AM243" i="1" s="1"/>
  <c r="AM245" i="1" s="1"/>
  <c r="AM248" i="1" s="1"/>
  <c r="AN232" i="1"/>
  <c r="AN212" i="1"/>
  <c r="AN215" i="1" s="1"/>
  <c r="AN240" i="1" s="1"/>
  <c r="AR45" i="31"/>
  <c r="AR580" i="1" s="1"/>
  <c r="A1" i="24"/>
  <c r="R102" i="5"/>
  <c r="AO194" i="1" l="1"/>
  <c r="AO212" i="1" s="1"/>
  <c r="AO215" i="1" s="1"/>
  <c r="AO240" i="1" s="1"/>
  <c r="AP617" i="1"/>
  <c r="AP190" i="1"/>
  <c r="AP193" i="1" s="1"/>
  <c r="AP231" i="1" s="1"/>
  <c r="AP199" i="31"/>
  <c r="AQ48" i="31"/>
  <c r="AQ128" i="31" s="1"/>
  <c r="AP123" i="31"/>
  <c r="AP201" i="1"/>
  <c r="AP183" i="31"/>
  <c r="AP1" i="36"/>
  <c r="AP536" i="1"/>
  <c r="AN233" i="1"/>
  <c r="AN241" i="1" s="1"/>
  <c r="AN243" i="1" s="1"/>
  <c r="AN245" i="1" s="1"/>
  <c r="AN248" i="1" s="1"/>
  <c r="AP1" i="40"/>
  <c r="AP61" i="31"/>
  <c r="AP1" i="33"/>
  <c r="AP112" i="31"/>
  <c r="AP1" i="31"/>
  <c r="C7" i="24"/>
  <c r="AS45" i="31"/>
  <c r="AS580" i="1" s="1"/>
  <c r="F94" i="35"/>
  <c r="J94" i="35" s="1"/>
  <c r="I94" i="35" s="1"/>
  <c r="G37" i="11"/>
  <c r="G57" i="31" s="1"/>
  <c r="F37" i="11"/>
  <c r="F57" i="31" s="1"/>
  <c r="G36" i="11"/>
  <c r="G56" i="31" s="1"/>
  <c r="F36" i="11"/>
  <c r="F56" i="31" s="1"/>
  <c r="G35" i="11"/>
  <c r="G55" i="31" s="1"/>
  <c r="F35" i="11"/>
  <c r="F55" i="31" s="1"/>
  <c r="G34" i="11"/>
  <c r="G54" i="31" s="1"/>
  <c r="F34" i="11"/>
  <c r="E37" i="11"/>
  <c r="E57" i="31" s="1"/>
  <c r="E36" i="11"/>
  <c r="E56" i="31" s="1"/>
  <c r="E35" i="11"/>
  <c r="E55" i="31" s="1"/>
  <c r="E34" i="11"/>
  <c r="E54" i="31" s="1"/>
  <c r="F12" i="11"/>
  <c r="F6" i="31" s="1"/>
  <c r="E12" i="11"/>
  <c r="E6" i="31" s="1"/>
  <c r="F279" i="1"/>
  <c r="E279" i="1"/>
  <c r="E280" i="1" s="1"/>
  <c r="E275" i="1"/>
  <c r="F54" i="31" l="1"/>
  <c r="AO232" i="1"/>
  <c r="AO233" i="1" s="1"/>
  <c r="AO241" i="1" s="1"/>
  <c r="AO243" i="1" s="1"/>
  <c r="AO245" i="1" s="1"/>
  <c r="AO248" i="1" s="1"/>
  <c r="AP194" i="1"/>
  <c r="AP212" i="1" s="1"/>
  <c r="AP215" i="1" s="1"/>
  <c r="AP240" i="1" s="1"/>
  <c r="AQ183" i="31"/>
  <c r="AQ201" i="1"/>
  <c r="AQ199" i="31"/>
  <c r="AQ1" i="36"/>
  <c r="AR48" i="31"/>
  <c r="AR128" i="31" s="1"/>
  <c r="AQ190" i="1"/>
  <c r="AQ194" i="1" s="1"/>
  <c r="AQ1" i="33"/>
  <c r="AQ112" i="31"/>
  <c r="AQ1" i="40"/>
  <c r="AQ617" i="1"/>
  <c r="AQ61" i="31"/>
  <c r="AQ123" i="31"/>
  <c r="AQ1" i="31"/>
  <c r="AQ536" i="1"/>
  <c r="E282" i="1"/>
  <c r="E291" i="1" s="1"/>
  <c r="E94" i="35"/>
  <c r="AT45" i="31"/>
  <c r="AT580" i="1" s="1"/>
  <c r="AR617" i="1" l="1"/>
  <c r="AP232" i="1"/>
  <c r="AP233" i="1" s="1"/>
  <c r="AP241" i="1" s="1"/>
  <c r="AP243" i="1" s="1"/>
  <c r="AP245" i="1" s="1"/>
  <c r="AP248" i="1" s="1"/>
  <c r="AR1" i="40"/>
  <c r="AR1" i="31"/>
  <c r="AS48" i="31"/>
  <c r="AS128" i="31" s="1"/>
  <c r="AR199" i="31"/>
  <c r="AR190" i="1"/>
  <c r="AR194" i="1" s="1"/>
  <c r="AR183" i="31"/>
  <c r="AR536" i="1"/>
  <c r="AR201" i="1"/>
  <c r="AR1" i="36"/>
  <c r="AR1" i="33"/>
  <c r="AR61" i="31"/>
  <c r="AR123" i="31"/>
  <c r="AR112" i="31"/>
  <c r="AQ193" i="1"/>
  <c r="AQ231" i="1" s="1"/>
  <c r="AQ212" i="1"/>
  <c r="AQ215" i="1" s="1"/>
  <c r="AQ240" i="1" s="1"/>
  <c r="AQ232" i="1"/>
  <c r="AU45" i="31"/>
  <c r="AU580" i="1" s="1"/>
  <c r="AS1" i="31" l="1"/>
  <c r="AS617" i="1"/>
  <c r="AS536" i="1"/>
  <c r="AS1" i="36"/>
  <c r="AR193" i="1"/>
  <c r="AR231" i="1" s="1"/>
  <c r="AS199" i="31"/>
  <c r="AT48" i="31"/>
  <c r="AT112" i="31" s="1"/>
  <c r="AS190" i="1"/>
  <c r="AS193" i="1" s="1"/>
  <c r="AS231" i="1" s="1"/>
  <c r="AS201" i="1"/>
  <c r="AS1" i="33"/>
  <c r="AS1" i="40"/>
  <c r="AS112" i="31"/>
  <c r="AS61" i="31"/>
  <c r="AS183" i="31"/>
  <c r="AS123" i="31"/>
  <c r="AQ233" i="1"/>
  <c r="AQ241" i="1" s="1"/>
  <c r="AQ243" i="1" s="1"/>
  <c r="AQ245" i="1" s="1"/>
  <c r="AQ248" i="1" s="1"/>
  <c r="AR212" i="1"/>
  <c r="AR215" i="1" s="1"/>
  <c r="AR240" i="1" s="1"/>
  <c r="AR232" i="1"/>
  <c r="AV45" i="31"/>
  <c r="AV580" i="1" s="1"/>
  <c r="AT123" i="31" l="1"/>
  <c r="AT536" i="1"/>
  <c r="AR233" i="1"/>
  <c r="AR241" i="1" s="1"/>
  <c r="AR243" i="1" s="1"/>
  <c r="AR245" i="1" s="1"/>
  <c r="AR248" i="1" s="1"/>
  <c r="AT183" i="31"/>
  <c r="AT128" i="31"/>
  <c r="AT617" i="1"/>
  <c r="AS194" i="1"/>
  <c r="AS232" i="1" s="1"/>
  <c r="AS233" i="1" s="1"/>
  <c r="AS241" i="1" s="1"/>
  <c r="AU48" i="31"/>
  <c r="AU536" i="1" s="1"/>
  <c r="AT190" i="1"/>
  <c r="AT194" i="1" s="1"/>
  <c r="AT201" i="1"/>
  <c r="AT1" i="31"/>
  <c r="AT199" i="31"/>
  <c r="AT1" i="36"/>
  <c r="AT1" i="33"/>
  <c r="AT61" i="31"/>
  <c r="AT1" i="40"/>
  <c r="AW45" i="31"/>
  <c r="AW580" i="1" s="1"/>
  <c r="AS212" i="1" l="1"/>
  <c r="AS215" i="1" s="1"/>
  <c r="AS240" i="1" s="1"/>
  <c r="AS243" i="1" s="1"/>
  <c r="AS245" i="1" s="1"/>
  <c r="AS248" i="1" s="1"/>
  <c r="AU617" i="1"/>
  <c r="AU199" i="31"/>
  <c r="AT193" i="1"/>
  <c r="AT231" i="1" s="1"/>
  <c r="AU128" i="31"/>
  <c r="AU1" i="36"/>
  <c r="AU1" i="33"/>
  <c r="AU61" i="31"/>
  <c r="AU183" i="31"/>
  <c r="AU201" i="1"/>
  <c r="AU123" i="31"/>
  <c r="AU112" i="31"/>
  <c r="AU1" i="40"/>
  <c r="AU1" i="31"/>
  <c r="AV48" i="31"/>
  <c r="AV536" i="1" s="1"/>
  <c r="AU190" i="1"/>
  <c r="AU194" i="1" s="1"/>
  <c r="AT212" i="1"/>
  <c r="AT215" i="1" s="1"/>
  <c r="AT240" i="1" s="1"/>
  <c r="AT232" i="1"/>
  <c r="AX45" i="31"/>
  <c r="AX580" i="1" s="1"/>
  <c r="AV617" i="1" l="1"/>
  <c r="AT233" i="1"/>
  <c r="AT241" i="1" s="1"/>
  <c r="AT243" i="1" s="1"/>
  <c r="AT245" i="1" s="1"/>
  <c r="AT248" i="1" s="1"/>
  <c r="AV183" i="31"/>
  <c r="AV190" i="1"/>
  <c r="AV193" i="1" s="1"/>
  <c r="AV231" i="1" s="1"/>
  <c r="AV1" i="40"/>
  <c r="AV112" i="31"/>
  <c r="AV1" i="36"/>
  <c r="AV1" i="33"/>
  <c r="AV128" i="31"/>
  <c r="AV61" i="31"/>
  <c r="AW48" i="31"/>
  <c r="AW61" i="31" s="1"/>
  <c r="AV1" i="31"/>
  <c r="AU193" i="1"/>
  <c r="AU231" i="1" s="1"/>
  <c r="AV123" i="31"/>
  <c r="AV201" i="1"/>
  <c r="AV199" i="31"/>
  <c r="AU232" i="1"/>
  <c r="AU212" i="1"/>
  <c r="AU215" i="1" s="1"/>
  <c r="AU240" i="1" s="1"/>
  <c r="AV194" i="1" l="1"/>
  <c r="AV232" i="1" s="1"/>
  <c r="AV233" i="1" s="1"/>
  <c r="AV241" i="1" s="1"/>
  <c r="AU233" i="1"/>
  <c r="AU241" i="1" s="1"/>
  <c r="AU243" i="1" s="1"/>
  <c r="AU245" i="1" s="1"/>
  <c r="AU248" i="1" s="1"/>
  <c r="AW128" i="31"/>
  <c r="AW536" i="1"/>
  <c r="AW123" i="31"/>
  <c r="AW1" i="31"/>
  <c r="AW199" i="31"/>
  <c r="AW190" i="1"/>
  <c r="AW193" i="1" s="1"/>
  <c r="AW231" i="1" s="1"/>
  <c r="AW183" i="31"/>
  <c r="AW617" i="1"/>
  <c r="AW1" i="36"/>
  <c r="AW1" i="40"/>
  <c r="AW112" i="31"/>
  <c r="AX48" i="31"/>
  <c r="AX536" i="1" s="1"/>
  <c r="AW1" i="33"/>
  <c r="AW201" i="1"/>
  <c r="AV212" i="1" l="1"/>
  <c r="AV215" i="1" s="1"/>
  <c r="AV240" i="1" s="1"/>
  <c r="AV243" i="1" s="1"/>
  <c r="AV245" i="1" s="1"/>
  <c r="AV248" i="1" s="1"/>
  <c r="AX617" i="1"/>
  <c r="AX1" i="36"/>
  <c r="AX1" i="40"/>
  <c r="AW194" i="1"/>
  <c r="AW212" i="1" s="1"/>
  <c r="AW215" i="1" s="1"/>
  <c r="AW240" i="1" s="1"/>
  <c r="AX190" i="1"/>
  <c r="AX194" i="1" s="1"/>
  <c r="AX1" i="33"/>
  <c r="AX183" i="31"/>
  <c r="AX112" i="31"/>
  <c r="AX61" i="31"/>
  <c r="AX199" i="31"/>
  <c r="AX123" i="31"/>
  <c r="AX128" i="31"/>
  <c r="AX1" i="31"/>
  <c r="AX201" i="1"/>
  <c r="B158" i="5"/>
  <c r="AX193" i="1" l="1"/>
  <c r="AX231" i="1" s="1"/>
  <c r="AW232" i="1"/>
  <c r="AW233" i="1" s="1"/>
  <c r="AW241" i="1" s="1"/>
  <c r="AW243" i="1" s="1"/>
  <c r="AW245" i="1" s="1"/>
  <c r="AW248" i="1" s="1"/>
  <c r="AX232" i="1"/>
  <c r="AX212" i="1"/>
  <c r="AX215" i="1" s="1"/>
  <c r="AX240" i="1" s="1"/>
  <c r="A1" i="13"/>
  <c r="I193" i="1" l="1"/>
  <c r="I231" i="1" s="1"/>
  <c r="AX233" i="1"/>
  <c r="AX241" i="1" s="1"/>
  <c r="AX243" i="1" s="1"/>
  <c r="AX245" i="1" s="1"/>
  <c r="AX248" i="1" s="1"/>
  <c r="C9" i="24"/>
  <c r="G3" i="6"/>
  <c r="G3" i="7"/>
  <c r="G3" i="12"/>
  <c r="G3" i="1"/>
  <c r="G3" i="11"/>
  <c r="D1" i="5"/>
  <c r="F102" i="11"/>
  <c r="K6" i="34" s="1"/>
  <c r="F88" i="35" s="1"/>
  <c r="J88" i="35" s="1"/>
  <c r="I88" i="35" s="1"/>
  <c r="F55" i="5"/>
  <c r="F54" i="5"/>
  <c r="S167" i="5"/>
  <c r="R167" i="5"/>
  <c r="T162" i="5"/>
  <c r="Y160" i="5"/>
  <c r="X160" i="5"/>
  <c r="W160" i="5"/>
  <c r="V160" i="5"/>
  <c r="U160" i="5"/>
  <c r="S160" i="5" l="1"/>
  <c r="B125" i="5"/>
  <c r="B98" i="5"/>
  <c r="R151" i="5"/>
  <c r="T141" i="5"/>
  <c r="U141" i="5" s="1"/>
  <c r="V141" i="5" s="1"/>
  <c r="W141" i="5" s="1"/>
  <c r="X141" i="5" s="1"/>
  <c r="Y141" i="5" s="1"/>
  <c r="Z141" i="5" s="1"/>
  <c r="AA141" i="5" s="1"/>
  <c r="AB141" i="5" s="1"/>
  <c r="AC141" i="5" s="1"/>
  <c r="AD141" i="5" s="1"/>
  <c r="AE141" i="5" s="1"/>
  <c r="AF141" i="5" s="1"/>
  <c r="AG141" i="5" s="1"/>
  <c r="AH141" i="5" s="1"/>
  <c r="AI141" i="5" s="1"/>
  <c r="AJ141" i="5" s="1"/>
  <c r="AK141" i="5" s="1"/>
  <c r="AL141" i="5" s="1"/>
  <c r="AM141" i="5" s="1"/>
  <c r="AM149" i="5" s="1"/>
  <c r="U149" i="5" l="1"/>
  <c r="AH149" i="5"/>
  <c r="V149" i="5"/>
  <c r="AL149" i="5"/>
  <c r="Z149" i="5"/>
  <c r="T149" i="5"/>
  <c r="AD149" i="5"/>
  <c r="W149" i="5"/>
  <c r="AA149" i="5"/>
  <c r="AE149" i="5"/>
  <c r="AI149" i="5"/>
  <c r="X149" i="5"/>
  <c r="AB149" i="5"/>
  <c r="AF149" i="5"/>
  <c r="AJ149" i="5"/>
  <c r="Y149" i="5"/>
  <c r="AC149" i="5"/>
  <c r="AG149" i="5"/>
  <c r="AK149" i="5"/>
  <c r="R127" i="5" l="1"/>
  <c r="S126" i="5"/>
  <c r="R126" i="5"/>
  <c r="S124" i="5"/>
  <c r="R124" i="5"/>
  <c r="S98" i="5" l="1"/>
  <c r="B101" i="5" s="1"/>
  <c r="R98" i="5"/>
  <c r="S165" i="5"/>
  <c r="T68" i="5"/>
  <c r="B71" i="5" l="1"/>
  <c r="R84" i="5"/>
  <c r="S90" i="5"/>
  <c r="S125" i="5" s="1"/>
  <c r="S92" i="5"/>
  <c r="S127" i="5" s="1"/>
  <c r="R87" i="5"/>
  <c r="S164" i="5"/>
  <c r="J125" i="7"/>
  <c r="I125" i="7"/>
  <c r="H125" i="7"/>
  <c r="G125" i="7"/>
  <c r="F115" i="7" s="1"/>
  <c r="F125" i="7"/>
  <c r="E125" i="7"/>
  <c r="F114" i="7"/>
  <c r="A1" i="11"/>
  <c r="A1" i="7"/>
  <c r="A1" i="6"/>
  <c r="E323" i="12"/>
  <c r="E290" i="12"/>
  <c r="E322" i="12" s="1"/>
  <c r="J276" i="12"/>
  <c r="I276" i="12"/>
  <c r="H276" i="12"/>
  <c r="G276" i="12"/>
  <c r="F276" i="12"/>
  <c r="J263" i="12"/>
  <c r="I263" i="12"/>
  <c r="F263" i="12"/>
  <c r="J262" i="12"/>
  <c r="I262" i="12"/>
  <c r="F262" i="12"/>
  <c r="E321" i="12"/>
  <c r="E235" i="12"/>
  <c r="E320" i="12" s="1"/>
  <c r="H232" i="12"/>
  <c r="H226" i="12"/>
  <c r="H225" i="12"/>
  <c r="H224" i="12"/>
  <c r="H262" i="12" s="1"/>
  <c r="J221" i="12"/>
  <c r="H221" i="12"/>
  <c r="G221" i="12"/>
  <c r="F221" i="12"/>
  <c r="E221" i="12"/>
  <c r="E319" i="12"/>
  <c r="E189" i="12"/>
  <c r="E318" i="12" s="1"/>
  <c r="J175" i="12"/>
  <c r="I175" i="12"/>
  <c r="H175" i="12"/>
  <c r="G175" i="12"/>
  <c r="F175" i="12"/>
  <c r="J162" i="12"/>
  <c r="H162" i="12"/>
  <c r="F162" i="12"/>
  <c r="J161" i="12"/>
  <c r="H161" i="12"/>
  <c r="F161" i="12"/>
  <c r="E317" i="12"/>
  <c r="E134" i="12"/>
  <c r="E316" i="12" s="1"/>
  <c r="E130" i="12"/>
  <c r="E143" i="12" s="1"/>
  <c r="E127" i="12"/>
  <c r="E140" i="12" s="1"/>
  <c r="J56" i="12"/>
  <c r="H56" i="12"/>
  <c r="G56" i="12"/>
  <c r="F56" i="12"/>
  <c r="E56" i="12"/>
  <c r="E62" i="12" s="1"/>
  <c r="E51" i="12"/>
  <c r="E313" i="12"/>
  <c r="G42" i="12"/>
  <c r="E33" i="12"/>
  <c r="J30" i="12"/>
  <c r="H30" i="12"/>
  <c r="G30" i="12"/>
  <c r="G43" i="12" s="1"/>
  <c r="F30" i="12"/>
  <c r="E30" i="12"/>
  <c r="E43" i="12" s="1"/>
  <c r="J24" i="12"/>
  <c r="H24" i="12"/>
  <c r="G24" i="12"/>
  <c r="F24" i="12"/>
  <c r="E24" i="12"/>
  <c r="E37" i="12" s="1"/>
  <c r="J23" i="12"/>
  <c r="H23" i="12"/>
  <c r="G23" i="12"/>
  <c r="G48" i="12" s="1"/>
  <c r="F23" i="12"/>
  <c r="E23" i="12"/>
  <c r="E36" i="12" s="1"/>
  <c r="J22" i="12"/>
  <c r="H22" i="12"/>
  <c r="G22" i="12"/>
  <c r="F22" i="12"/>
  <c r="E22" i="12"/>
  <c r="E35" i="12" s="1"/>
  <c r="J19" i="12"/>
  <c r="H19" i="12"/>
  <c r="G19" i="12"/>
  <c r="F19" i="12"/>
  <c r="E19" i="12"/>
  <c r="E84" i="12" s="1"/>
  <c r="E97" i="12" s="1"/>
  <c r="J17" i="12"/>
  <c r="H17" i="12"/>
  <c r="G17" i="12"/>
  <c r="F17" i="12"/>
  <c r="E17" i="12"/>
  <c r="E82" i="12" s="1"/>
  <c r="E95" i="12" s="1"/>
  <c r="J16" i="12"/>
  <c r="H16" i="12"/>
  <c r="G16" i="12"/>
  <c r="F16" i="12"/>
  <c r="J15" i="12"/>
  <c r="H15" i="12"/>
  <c r="G15" i="12"/>
  <c r="F15" i="12"/>
  <c r="J14" i="12"/>
  <c r="H14" i="12"/>
  <c r="G14" i="12"/>
  <c r="F14" i="12"/>
  <c r="J13" i="12"/>
  <c r="H13" i="12"/>
  <c r="G13" i="12"/>
  <c r="F13" i="12"/>
  <c r="J12" i="12"/>
  <c r="H12" i="12"/>
  <c r="G12" i="12"/>
  <c r="F12" i="12"/>
  <c r="J10" i="12"/>
  <c r="H10" i="12"/>
  <c r="G10" i="12"/>
  <c r="F10" i="12"/>
  <c r="J9" i="12"/>
  <c r="H9" i="12"/>
  <c r="G9" i="12"/>
  <c r="F9" i="12"/>
  <c r="J8" i="12"/>
  <c r="H8" i="12"/>
  <c r="G8" i="12"/>
  <c r="F8" i="12"/>
  <c r="E154" i="7" l="1"/>
  <c r="J9" i="34" s="1"/>
  <c r="E91" i="35" s="1"/>
  <c r="A150" i="7"/>
  <c r="E325" i="12"/>
  <c r="J8" i="34" s="1"/>
  <c r="E90" i="35" s="1"/>
  <c r="A310" i="12"/>
  <c r="E807" i="1"/>
  <c r="J7" i="34" s="1"/>
  <c r="E89" i="35" s="1"/>
  <c r="A791" i="1"/>
  <c r="E102" i="11"/>
  <c r="J6" i="34" s="1"/>
  <c r="E88" i="35" s="1"/>
  <c r="A97" i="11"/>
  <c r="E149" i="31"/>
  <c r="E165" i="31" s="1"/>
  <c r="E234" i="31" s="1"/>
  <c r="E255" i="31" s="1"/>
  <c r="E151" i="31"/>
  <c r="E167" i="31" s="1"/>
  <c r="G31" i="24"/>
  <c r="E65" i="12"/>
  <c r="E131" i="12"/>
  <c r="E144" i="12" s="1"/>
  <c r="E125" i="12"/>
  <c r="E138" i="12" s="1"/>
  <c r="K16" i="24"/>
  <c r="G39" i="24"/>
  <c r="G10" i="24"/>
  <c r="K22" i="24"/>
  <c r="I3" i="24"/>
  <c r="E312" i="12"/>
  <c r="F356" i="1"/>
  <c r="F523" i="1"/>
  <c r="F515" i="1"/>
  <c r="K518" i="1" s="1"/>
  <c r="F134" i="1"/>
  <c r="F389" i="1"/>
  <c r="E393" i="1" s="1"/>
  <c r="E162" i="12"/>
  <c r="E168" i="12" s="1"/>
  <c r="E218" i="12"/>
  <c r="E231" i="12" s="1"/>
  <c r="E244" i="12" s="1"/>
  <c r="E215" i="12"/>
  <c r="E228" i="12" s="1"/>
  <c r="E241" i="12" s="1"/>
  <c r="F365" i="1"/>
  <c r="F297" i="1"/>
  <c r="F80" i="1"/>
  <c r="S168" i="5"/>
  <c r="R168" i="5"/>
  <c r="R125" i="5"/>
  <c r="S130" i="5" s="1"/>
  <c r="O6" i="34" s="1"/>
  <c r="E58" i="12"/>
  <c r="E157" i="12"/>
  <c r="G35" i="12"/>
  <c r="E123" i="12"/>
  <c r="E136" i="12" s="1"/>
  <c r="E48" i="12"/>
  <c r="G37" i="12"/>
  <c r="G57" i="12"/>
  <c r="G36" i="12"/>
  <c r="G32" i="12"/>
  <c r="E118" i="12"/>
  <c r="E116" i="12"/>
  <c r="E124" i="12"/>
  <c r="E137" i="12" s="1"/>
  <c r="E182" i="12"/>
  <c r="E195" i="12" s="1"/>
  <c r="E185" i="12"/>
  <c r="E198" i="12" s="1"/>
  <c r="S129" i="5" l="1"/>
  <c r="E180" i="12"/>
  <c r="E186" i="12"/>
  <c r="R187" i="5"/>
  <c r="R184" i="5"/>
  <c r="E283" i="12"/>
  <c r="E296" i="12" s="1"/>
  <c r="E171" i="12"/>
  <c r="E286" i="12"/>
  <c r="E299" i="12" s="1"/>
  <c r="E213" i="12"/>
  <c r="E226" i="12" s="1"/>
  <c r="E239" i="12" s="1"/>
  <c r="E212" i="12"/>
  <c r="E225" i="12" s="1"/>
  <c r="E238" i="12" s="1"/>
  <c r="E211" i="12"/>
  <c r="E224" i="12" s="1"/>
  <c r="E237" i="12" s="1"/>
  <c r="E219" i="12"/>
  <c r="E232" i="12" s="1"/>
  <c r="E245" i="12" s="1"/>
  <c r="E80" i="7"/>
  <c r="E176" i="31"/>
  <c r="E236" i="31"/>
  <c r="E444" i="1" s="1"/>
  <c r="I22" i="24"/>
  <c r="K26" i="24"/>
  <c r="K20" i="24"/>
  <c r="E258" i="12"/>
  <c r="E263" i="12"/>
  <c r="E269" i="12" s="1"/>
  <c r="G39" i="12"/>
  <c r="E179" i="12"/>
  <c r="E192" i="12" s="1"/>
  <c r="E57" i="12"/>
  <c r="E64" i="12"/>
  <c r="E154" i="12"/>
  <c r="E163" i="12"/>
  <c r="E161" i="12"/>
  <c r="E167" i="12" s="1"/>
  <c r="E178" i="12"/>
  <c r="E191" i="12" s="1"/>
  <c r="E193" i="12" l="1"/>
  <c r="R182" i="5" s="1"/>
  <c r="E199" i="12"/>
  <c r="R188" i="5" s="1"/>
  <c r="R180" i="5"/>
  <c r="E272" i="12"/>
  <c r="E279" i="12"/>
  <c r="E292" i="12" s="1"/>
  <c r="E170" i="12"/>
  <c r="E280" i="12"/>
  <c r="E293" i="12" s="1"/>
  <c r="E281" i="12"/>
  <c r="E294" i="12" s="1"/>
  <c r="E287" i="12"/>
  <c r="E300" i="12" s="1"/>
  <c r="E177" i="1"/>
  <c r="E248" i="31"/>
  <c r="E252" i="1"/>
  <c r="E483" i="1"/>
  <c r="E265" i="12"/>
  <c r="R181" i="5"/>
  <c r="AK16" i="31"/>
  <c r="AV15" i="31"/>
  <c r="AC14" i="31"/>
  <c r="AM16" i="31"/>
  <c r="AN16" i="31"/>
  <c r="N16" i="31"/>
  <c r="AJ19" i="31"/>
  <c r="S12" i="31"/>
  <c r="Z18" i="31"/>
  <c r="W18" i="31"/>
  <c r="K12" i="31"/>
  <c r="M12" i="31"/>
  <c r="Q16" i="31"/>
  <c r="W19" i="31"/>
  <c r="M18" i="31"/>
  <c r="AM18" i="31"/>
  <c r="AF17" i="31"/>
  <c r="AH17" i="31"/>
  <c r="AR19" i="31"/>
  <c r="AX17" i="31"/>
  <c r="U18" i="31"/>
  <c r="AU17" i="31"/>
  <c r="L15" i="31"/>
  <c r="M17" i="31"/>
  <c r="AP19" i="31"/>
  <c r="AX19" i="31"/>
  <c r="O14" i="31"/>
  <c r="V19" i="31"/>
  <c r="AR12" i="31"/>
  <c r="AB16" i="31"/>
  <c r="K15" i="31"/>
  <c r="AA18" i="31"/>
  <c r="AW18" i="31"/>
  <c r="AS19" i="31"/>
  <c r="AF18" i="31"/>
  <c r="AF12" i="31"/>
  <c r="V12" i="31"/>
  <c r="U16" i="31"/>
  <c r="AR18" i="31"/>
  <c r="S17" i="31"/>
  <c r="AF16" i="31"/>
  <c r="Z17" i="31"/>
  <c r="Z14" i="31"/>
  <c r="P16" i="31"/>
  <c r="T15" i="31"/>
  <c r="AP17" i="31"/>
  <c r="AT16" i="31"/>
  <c r="M19" i="31"/>
  <c r="T16" i="31"/>
  <c r="N12" i="31"/>
  <c r="AK14" i="31"/>
  <c r="Y17" i="31"/>
  <c r="AX18" i="31"/>
  <c r="AE15" i="31"/>
  <c r="S18" i="31"/>
  <c r="AL12" i="31"/>
  <c r="W14" i="31"/>
  <c r="AH12" i="31"/>
  <c r="K18" i="31"/>
  <c r="AI18" i="31"/>
  <c r="AU18" i="31"/>
  <c r="AW14" i="31"/>
  <c r="AR16" i="31"/>
  <c r="AQ14" i="31"/>
  <c r="AK15" i="31"/>
  <c r="W15" i="31"/>
  <c r="AV14" i="31"/>
  <c r="R12" i="31"/>
  <c r="AC15" i="31"/>
  <c r="AT14" i="31"/>
  <c r="P12" i="31"/>
  <c r="AG14" i="31"/>
  <c r="V15" i="31"/>
  <c r="AD19" i="31"/>
  <c r="F10" i="31"/>
  <c r="V16" i="31"/>
  <c r="N15" i="31"/>
  <c r="AI12" i="31"/>
  <c r="AV17" i="31"/>
  <c r="N19" i="31"/>
  <c r="AA17" i="31"/>
  <c r="AU15" i="31"/>
  <c r="U14" i="31"/>
  <c r="AA19" i="31"/>
  <c r="AE16" i="31"/>
  <c r="AC16" i="31"/>
  <c r="Z15" i="31"/>
  <c r="T12" i="31"/>
  <c r="AH15" i="31"/>
  <c r="AN12" i="31"/>
  <c r="AL19" i="31"/>
  <c r="O19" i="31"/>
  <c r="Y12" i="31"/>
  <c r="AD14" i="31"/>
  <c r="AN18" i="31"/>
  <c r="AX16" i="31"/>
  <c r="U12" i="31"/>
  <c r="AJ14" i="31"/>
  <c r="AP16" i="31"/>
  <c r="Q19" i="31"/>
  <c r="Q18" i="31"/>
  <c r="V17" i="31"/>
  <c r="L19" i="31"/>
  <c r="AA12" i="31"/>
  <c r="AH14" i="31"/>
  <c r="AW12" i="31"/>
  <c r="AF15" i="31"/>
  <c r="AT17" i="31"/>
  <c r="AV19" i="31"/>
  <c r="P19" i="31"/>
  <c r="AO14" i="31"/>
  <c r="AR14" i="31"/>
  <c r="Y15" i="31"/>
  <c r="AB19" i="31"/>
  <c r="AI19" i="31"/>
  <c r="AM12" i="31"/>
  <c r="Y18" i="31"/>
  <c r="AG15" i="31"/>
  <c r="K14" i="31"/>
  <c r="R18" i="31"/>
  <c r="AM15" i="31"/>
  <c r="AO16" i="31"/>
  <c r="AW19" i="31"/>
  <c r="AT18" i="31"/>
  <c r="M16" i="31"/>
  <c r="R14" i="31"/>
  <c r="AM19" i="31"/>
  <c r="AM17" i="31"/>
  <c r="AD17" i="31"/>
  <c r="AE12" i="31"/>
  <c r="S14" i="31"/>
  <c r="AR15" i="31"/>
  <c r="W16" i="31"/>
  <c r="AU19" i="31"/>
  <c r="AS16" i="31"/>
  <c r="V14" i="31"/>
  <c r="P15" i="31"/>
  <c r="AO12" i="31"/>
  <c r="AI15" i="31"/>
  <c r="AL15" i="31"/>
  <c r="X19" i="31"/>
  <c r="AJ12" i="31"/>
  <c r="AT19" i="31"/>
  <c r="AS14" i="31"/>
  <c r="AD15" i="31"/>
  <c r="AE18" i="31"/>
  <c r="AC12" i="31"/>
  <c r="O17" i="31"/>
  <c r="N14" i="31"/>
  <c r="AQ16" i="31"/>
  <c r="AE14" i="31"/>
  <c r="X14" i="31"/>
  <c r="AO19" i="31"/>
  <c r="W17" i="31"/>
  <c r="X18" i="31"/>
  <c r="AL18" i="31"/>
  <c r="AL14" i="31"/>
  <c r="AV16" i="31"/>
  <c r="K16" i="31"/>
  <c r="AF19" i="31"/>
  <c r="X16" i="31"/>
  <c r="AQ15" i="31"/>
  <c r="AU14" i="31"/>
  <c r="AX12" i="31"/>
  <c r="Q12" i="31"/>
  <c r="AJ18" i="31"/>
  <c r="AS12" i="31"/>
  <c r="R17" i="31"/>
  <c r="AP14" i="31"/>
  <c r="AB12" i="31"/>
  <c r="S16" i="31"/>
  <c r="Y16" i="31"/>
  <c r="AG16" i="31"/>
  <c r="X15" i="31"/>
  <c r="AK19" i="31"/>
  <c r="P14" i="31"/>
  <c r="M15" i="31"/>
  <c r="Z16" i="31"/>
  <c r="S19" i="31"/>
  <c r="Q17" i="31"/>
  <c r="P17" i="31"/>
  <c r="AK17" i="31"/>
  <c r="AV18" i="31"/>
  <c r="AI17" i="31"/>
  <c r="U17" i="31"/>
  <c r="AA15" i="31"/>
  <c r="K19" i="31"/>
  <c r="R15" i="31"/>
  <c r="M14" i="31"/>
  <c r="AQ19" i="31"/>
  <c r="L12" i="31"/>
  <c r="AN15" i="31"/>
  <c r="AM14" i="31"/>
  <c r="AT15" i="31"/>
  <c r="W12" i="31"/>
  <c r="Q14" i="31"/>
  <c r="AI14" i="31"/>
  <c r="AN14" i="31"/>
  <c r="AX14" i="31"/>
  <c r="AP15" i="31"/>
  <c r="F9" i="31"/>
  <c r="AK18" i="31"/>
  <c r="AL16" i="31"/>
  <c r="L16" i="31"/>
  <c r="AT12" i="31"/>
  <c r="AD12" i="31"/>
  <c r="AH16" i="31"/>
  <c r="AG12" i="31"/>
  <c r="AS15" i="31"/>
  <c r="AD16" i="31"/>
  <c r="R19" i="31"/>
  <c r="R16" i="31"/>
  <c r="T18" i="31"/>
  <c r="T19" i="31"/>
  <c r="Z19" i="31"/>
  <c r="P18" i="31"/>
  <c r="AN19" i="31"/>
  <c r="Q15" i="31"/>
  <c r="AB18" i="31"/>
  <c r="AX15" i="31"/>
  <c r="AK12" i="31"/>
  <c r="T17" i="31"/>
  <c r="AB15" i="31"/>
  <c r="L18" i="31"/>
  <c r="AW15" i="31"/>
  <c r="U15" i="31"/>
  <c r="AJ17" i="31"/>
  <c r="U19" i="31"/>
  <c r="K17" i="31"/>
  <c r="X17" i="31"/>
  <c r="AA14" i="31"/>
  <c r="V18" i="31"/>
  <c r="AG17" i="31"/>
  <c r="AG18" i="31"/>
  <c r="AA16" i="31"/>
  <c r="AG19" i="31"/>
  <c r="AH19" i="31"/>
  <c r="AU16" i="31"/>
  <c r="AJ16" i="31"/>
  <c r="AE19" i="31"/>
  <c r="AO15" i="31"/>
  <c r="L14" i="31"/>
  <c r="AC18" i="31"/>
  <c r="Y14" i="31"/>
  <c r="AL17" i="31"/>
  <c r="O15" i="31"/>
  <c r="AN17" i="31"/>
  <c r="AC19" i="31"/>
  <c r="AJ15" i="31"/>
  <c r="N18" i="31"/>
  <c r="AQ12" i="31"/>
  <c r="AH18" i="31"/>
  <c r="AO18" i="31"/>
  <c r="S15" i="31"/>
  <c r="N17" i="31"/>
  <c r="AP12" i="31"/>
  <c r="L17" i="31"/>
  <c r="O12" i="31"/>
  <c r="T14" i="31"/>
  <c r="Y19" i="31"/>
  <c r="AO17" i="31"/>
  <c r="AB17" i="31"/>
  <c r="AQ17" i="31"/>
  <c r="AV12" i="31"/>
  <c r="AS17" i="31"/>
  <c r="AD18" i="31"/>
  <c r="AE17" i="31"/>
  <c r="AW16" i="31"/>
  <c r="AI16" i="31"/>
  <c r="O18" i="31"/>
  <c r="AU12" i="31"/>
  <c r="AW17" i="31"/>
  <c r="AF14" i="31"/>
  <c r="AC17" i="31"/>
  <c r="X12" i="31"/>
  <c r="AR17" i="31"/>
  <c r="O16" i="31"/>
  <c r="AS18" i="31"/>
  <c r="AP18" i="31"/>
  <c r="AB14" i="31"/>
  <c r="Z12" i="31"/>
  <c r="AQ18" i="31"/>
  <c r="W68" i="31" l="1"/>
  <c r="W94" i="31" s="1"/>
  <c r="W155" i="31" s="1"/>
  <c r="AM70" i="31"/>
  <c r="AM96" i="31" s="1"/>
  <c r="AM124" i="31" s="1"/>
  <c r="AS22" i="31"/>
  <c r="AS60" i="31"/>
  <c r="AS84" i="31" s="1"/>
  <c r="AS142" i="31"/>
  <c r="AO60" i="31"/>
  <c r="AO84" i="31" s="1"/>
  <c r="AO142" i="31"/>
  <c r="AO22" i="31"/>
  <c r="M66" i="31"/>
  <c r="M92" i="31" s="1"/>
  <c r="O70" i="31"/>
  <c r="O96" i="31" s="1"/>
  <c r="O108" i="31" s="1"/>
  <c r="Y68" i="31"/>
  <c r="Y94" i="31" s="1"/>
  <c r="Y155" i="31" s="1"/>
  <c r="S66" i="31"/>
  <c r="S92" i="31" s="1"/>
  <c r="AO69" i="31"/>
  <c r="AO95" i="31" s="1"/>
  <c r="AO156" i="31" s="1"/>
  <c r="AU67" i="31"/>
  <c r="AU93" i="31" s="1"/>
  <c r="AU154" i="31" s="1"/>
  <c r="N70" i="31"/>
  <c r="N96" i="31" s="1"/>
  <c r="N108" i="31" s="1"/>
  <c r="AS70" i="31"/>
  <c r="AS96" i="31" s="1"/>
  <c r="AS157" i="31" s="1"/>
  <c r="Z66" i="31"/>
  <c r="Z153" i="31" s="1"/>
  <c r="P69" i="31"/>
  <c r="P95" i="31" s="1"/>
  <c r="P156" i="31" s="1"/>
  <c r="L60" i="31"/>
  <c r="L84" i="31" s="1"/>
  <c r="L142" i="31"/>
  <c r="L22" i="31"/>
  <c r="AN70" i="31"/>
  <c r="AN96" i="31" s="1"/>
  <c r="AN124" i="31" s="1"/>
  <c r="AU68" i="31"/>
  <c r="AU94" i="31" s="1"/>
  <c r="AU155" i="31" s="1"/>
  <c r="Y69" i="31"/>
  <c r="Y95" i="31" s="1"/>
  <c r="Y156" i="31" s="1"/>
  <c r="W20" i="31"/>
  <c r="W65" i="31"/>
  <c r="W88" i="31" s="1"/>
  <c r="AL66" i="31"/>
  <c r="AL92" i="31" s="1"/>
  <c r="AT69" i="31"/>
  <c r="AT95" i="31" s="1"/>
  <c r="AT156" i="31" s="1"/>
  <c r="T66" i="31"/>
  <c r="T92" i="31" s="1"/>
  <c r="AE68" i="31"/>
  <c r="AE94" i="31" s="1"/>
  <c r="AE155" i="31" s="1"/>
  <c r="AP22" i="31"/>
  <c r="AP142" i="31"/>
  <c r="AP60" i="31"/>
  <c r="AP84" i="31" s="1"/>
  <c r="O20" i="31"/>
  <c r="O65" i="31"/>
  <c r="O88" i="31" s="1"/>
  <c r="K22" i="31"/>
  <c r="F26" i="31"/>
  <c r="F33" i="31" s="1"/>
  <c r="K60" i="31"/>
  <c r="K84" i="31" s="1"/>
  <c r="I12" i="31"/>
  <c r="I142" i="31" s="1"/>
  <c r="F23" i="31"/>
  <c r="K142" i="31"/>
  <c r="T69" i="31"/>
  <c r="T95" i="31" s="1"/>
  <c r="T156" i="31" s="1"/>
  <c r="AR142" i="31"/>
  <c r="AR22" i="31"/>
  <c r="AR60" i="31"/>
  <c r="AR84" i="31" s="1"/>
  <c r="X70" i="31"/>
  <c r="X96" i="31" s="1"/>
  <c r="X124" i="31" s="1"/>
  <c r="AH68" i="31"/>
  <c r="AH94" i="31" s="1"/>
  <c r="AH155" i="31" s="1"/>
  <c r="O69" i="31"/>
  <c r="O95" i="31" s="1"/>
  <c r="O156" i="31" s="1"/>
  <c r="T20" i="31"/>
  <c r="T65" i="31"/>
  <c r="T88" i="31" s="1"/>
  <c r="AW142" i="31"/>
  <c r="AW22" i="31"/>
  <c r="AW60" i="31"/>
  <c r="AW84" i="31" s="1"/>
  <c r="U70" i="31"/>
  <c r="U96" i="31" s="1"/>
  <c r="U124" i="31" s="1"/>
  <c r="AK70" i="31"/>
  <c r="AK96" i="31" s="1"/>
  <c r="AK124" i="31" s="1"/>
  <c r="AQ66" i="31"/>
  <c r="AQ92" i="31" s="1"/>
  <c r="AF66" i="31"/>
  <c r="AF153" i="31" s="1"/>
  <c r="AE22" i="31"/>
  <c r="AE60" i="31"/>
  <c r="AE84" i="31" s="1"/>
  <c r="AE142" i="31"/>
  <c r="L68" i="31"/>
  <c r="L94" i="31" s="1"/>
  <c r="L155" i="31" s="1"/>
  <c r="I15" i="31"/>
  <c r="K66" i="31"/>
  <c r="K153" i="31" s="1"/>
  <c r="AN68" i="31"/>
  <c r="AN94" i="31" s="1"/>
  <c r="AN155" i="31" s="1"/>
  <c r="AU70" i="31"/>
  <c r="AU96" i="31" s="1"/>
  <c r="AU108" i="31" s="1"/>
  <c r="V70" i="31"/>
  <c r="V96" i="31" s="1"/>
  <c r="V124" i="31" s="1"/>
  <c r="AR69" i="31"/>
  <c r="AR95" i="31" s="1"/>
  <c r="AR156" i="31" s="1"/>
  <c r="Y20" i="31"/>
  <c r="Y65" i="31"/>
  <c r="Y88" i="31" s="1"/>
  <c r="W67" i="31"/>
  <c r="W200" i="31" s="1"/>
  <c r="AQ70" i="31"/>
  <c r="AQ96" i="31" s="1"/>
  <c r="AQ108" i="31" s="1"/>
  <c r="AM69" i="31"/>
  <c r="AM95" i="31" s="1"/>
  <c r="AM156" i="31" s="1"/>
  <c r="W22" i="31"/>
  <c r="W60" i="31"/>
  <c r="W84" i="31" s="1"/>
  <c r="W142" i="31"/>
  <c r="AF70" i="31"/>
  <c r="AF96" i="31" s="1"/>
  <c r="AF124" i="31" s="1"/>
  <c r="Q66" i="31"/>
  <c r="Q153" i="31" s="1"/>
  <c r="Z20" i="31"/>
  <c r="Z65" i="31"/>
  <c r="Z150" i="31" s="1"/>
  <c r="AX20" i="31"/>
  <c r="AX65" i="31"/>
  <c r="AX88" i="31" s="1"/>
  <c r="AX69" i="31"/>
  <c r="AX95" i="31" s="1"/>
  <c r="AX156" i="31" s="1"/>
  <c r="AM65" i="31"/>
  <c r="AM150" i="31" s="1"/>
  <c r="AM20" i="31"/>
  <c r="AV67" i="31"/>
  <c r="AV200" i="31" s="1"/>
  <c r="Q65" i="31"/>
  <c r="Q88" i="31" s="1"/>
  <c r="Q20" i="31"/>
  <c r="T70" i="31"/>
  <c r="T96" i="31" s="1"/>
  <c r="T108" i="31" s="1"/>
  <c r="AV70" i="31"/>
  <c r="AV96" i="31" s="1"/>
  <c r="AV108" i="31" s="1"/>
  <c r="X67" i="31"/>
  <c r="X200" i="31" s="1"/>
  <c r="AE66" i="31"/>
  <c r="AE153" i="31" s="1"/>
  <c r="P142" i="31"/>
  <c r="P22" i="31"/>
  <c r="P60" i="31"/>
  <c r="P84" i="31" s="1"/>
  <c r="AH67" i="31"/>
  <c r="AH93" i="31" s="1"/>
  <c r="AH154" i="31" s="1"/>
  <c r="AA65" i="31"/>
  <c r="AA150" i="31" s="1"/>
  <c r="AA20" i="31"/>
  <c r="AS68" i="31"/>
  <c r="AS94" i="31" s="1"/>
  <c r="AS155" i="31" s="1"/>
  <c r="L67" i="31"/>
  <c r="L93" i="31" s="1"/>
  <c r="L154" i="31" s="1"/>
  <c r="AL68" i="31"/>
  <c r="AL94" i="31" s="1"/>
  <c r="AL155" i="31" s="1"/>
  <c r="AP68" i="31"/>
  <c r="AP94" i="31" s="1"/>
  <c r="AP155" i="31" s="1"/>
  <c r="X20" i="31"/>
  <c r="X65" i="31"/>
  <c r="X150" i="31" s="1"/>
  <c r="AS65" i="31"/>
  <c r="AS150" i="31" s="1"/>
  <c r="AS20" i="31"/>
  <c r="Q69" i="31"/>
  <c r="Q95" i="31" s="1"/>
  <c r="Q156" i="31" s="1"/>
  <c r="AF67" i="31"/>
  <c r="AF93" i="31" s="1"/>
  <c r="AF154" i="31" s="1"/>
  <c r="T67" i="31"/>
  <c r="T93" i="31" s="1"/>
  <c r="T154" i="31" s="1"/>
  <c r="AJ70" i="31"/>
  <c r="AJ96" i="31" s="1"/>
  <c r="AJ157" i="31" s="1"/>
  <c r="AI66" i="31"/>
  <c r="AI92" i="31" s="1"/>
  <c r="AR70" i="31"/>
  <c r="AR96" i="31" s="1"/>
  <c r="AR108" i="31" s="1"/>
  <c r="AV22" i="31"/>
  <c r="AV60" i="31"/>
  <c r="AV84" i="31" s="1"/>
  <c r="AV142" i="31"/>
  <c r="AV66" i="31"/>
  <c r="AV92" i="31" s="1"/>
  <c r="AI22" i="31"/>
  <c r="AI142" i="31"/>
  <c r="AI60" i="31"/>
  <c r="AI84" i="31" s="1"/>
  <c r="AQ68" i="31"/>
  <c r="AQ94" i="31" s="1"/>
  <c r="AQ155" i="31" s="1"/>
  <c r="AD142" i="31"/>
  <c r="AD22" i="31"/>
  <c r="AD60" i="31"/>
  <c r="AD84" i="31" s="1"/>
  <c r="U22" i="31"/>
  <c r="U142" i="31"/>
  <c r="U60" i="31"/>
  <c r="U84" i="31" s="1"/>
  <c r="V66" i="31"/>
  <c r="V92" i="31" s="1"/>
  <c r="AW66" i="31"/>
  <c r="AW92" i="31" s="1"/>
  <c r="N20" i="31"/>
  <c r="N65" i="31"/>
  <c r="N150" i="31" s="1"/>
  <c r="AB69" i="31"/>
  <c r="AB95" i="31" s="1"/>
  <c r="AB156" i="31" s="1"/>
  <c r="AW20" i="31"/>
  <c r="AW65" i="31"/>
  <c r="AW88" i="31" s="1"/>
  <c r="AT68" i="31"/>
  <c r="AT94" i="31" s="1"/>
  <c r="AT155" i="31" s="1"/>
  <c r="AF68" i="31"/>
  <c r="AF94" i="31" s="1"/>
  <c r="AF155" i="31" s="1"/>
  <c r="U66" i="31"/>
  <c r="U92" i="31" s="1"/>
  <c r="AR20" i="31"/>
  <c r="AR65" i="31"/>
  <c r="AR150" i="31" s="1"/>
  <c r="AA67" i="31"/>
  <c r="AA200" i="31" s="1"/>
  <c r="AU69" i="31"/>
  <c r="AU95" i="31" s="1"/>
  <c r="AU156" i="31" s="1"/>
  <c r="AC67" i="31"/>
  <c r="AC93" i="31" s="1"/>
  <c r="AC154" i="31" s="1"/>
  <c r="N68" i="31"/>
  <c r="N94" i="31" s="1"/>
  <c r="N155" i="31" s="1"/>
  <c r="AA68" i="31"/>
  <c r="AA94" i="31" s="1"/>
  <c r="AA155" i="31" s="1"/>
  <c r="AJ67" i="31"/>
  <c r="AJ200" i="31" s="1"/>
  <c r="Q70" i="31"/>
  <c r="Q96" i="31" s="1"/>
  <c r="Q157" i="31" s="1"/>
  <c r="AX70" i="31"/>
  <c r="AX96" i="31" s="1"/>
  <c r="AX124" i="31" s="1"/>
  <c r="AF20" i="31"/>
  <c r="AF65" i="31"/>
  <c r="AF88" i="31" s="1"/>
  <c r="AD20" i="31"/>
  <c r="AD65" i="31"/>
  <c r="AD150" i="31" s="1"/>
  <c r="AC66" i="31"/>
  <c r="AC92" i="31" s="1"/>
  <c r="S20" i="31"/>
  <c r="S65" i="31"/>
  <c r="S88" i="31" s="1"/>
  <c r="R22" i="31"/>
  <c r="R142" i="31"/>
  <c r="R60" i="31"/>
  <c r="R84" i="31" s="1"/>
  <c r="Q68" i="31"/>
  <c r="Q94" i="31" s="1"/>
  <c r="Q155" i="31" s="1"/>
  <c r="R69" i="31"/>
  <c r="R95" i="31" s="1"/>
  <c r="R156" i="31" s="1"/>
  <c r="L69" i="31"/>
  <c r="L95" i="31" s="1"/>
  <c r="L156" i="31" s="1"/>
  <c r="AJ69" i="31"/>
  <c r="AJ95" i="31" s="1"/>
  <c r="AJ156" i="31" s="1"/>
  <c r="AH65" i="31"/>
  <c r="AH150" i="31" s="1"/>
  <c r="AH20" i="31"/>
  <c r="AE70" i="31"/>
  <c r="AE96" i="31" s="1"/>
  <c r="AE108" i="31" s="1"/>
  <c r="AP66" i="31"/>
  <c r="AP92" i="31" s="1"/>
  <c r="AO67" i="31"/>
  <c r="AO93" i="31" s="1"/>
  <c r="AO154" i="31" s="1"/>
  <c r="O66" i="31"/>
  <c r="O153" i="31" s="1"/>
  <c r="AV69" i="31"/>
  <c r="AV95" i="31" s="1"/>
  <c r="AV156" i="31" s="1"/>
  <c r="AO20" i="31"/>
  <c r="AO65" i="31"/>
  <c r="AO88" i="31" s="1"/>
  <c r="AA69" i="31"/>
  <c r="AA95" i="31" s="1"/>
  <c r="AA156" i="31" s="1"/>
  <c r="AK69" i="31"/>
  <c r="AK95" i="31" s="1"/>
  <c r="AK156" i="31" s="1"/>
  <c r="AS66" i="31"/>
  <c r="AS92" i="31" s="1"/>
  <c r="V20" i="31"/>
  <c r="V65" i="31"/>
  <c r="V88" i="31" s="1"/>
  <c r="AN65" i="31"/>
  <c r="AN88" i="31" s="1"/>
  <c r="AN20" i="31"/>
  <c r="AR68" i="31"/>
  <c r="AR94" i="31" s="1"/>
  <c r="AR155" i="31" s="1"/>
  <c r="AU65" i="31"/>
  <c r="AU150" i="31" s="1"/>
  <c r="AU20" i="31"/>
  <c r="M67" i="31"/>
  <c r="M93" i="31" s="1"/>
  <c r="M154" i="31" s="1"/>
  <c r="AX66" i="31"/>
  <c r="AX153" i="31" s="1"/>
  <c r="AA70" i="31"/>
  <c r="AA96" i="31" s="1"/>
  <c r="AA157" i="31" s="1"/>
  <c r="AK60" i="31"/>
  <c r="AK84" i="31" s="1"/>
  <c r="AK22" i="31"/>
  <c r="AK142" i="31"/>
  <c r="AC142" i="31"/>
  <c r="AC22" i="31"/>
  <c r="AC60" i="31"/>
  <c r="AC84" i="31" s="1"/>
  <c r="W69" i="31"/>
  <c r="W95" i="31" s="1"/>
  <c r="W156" i="31" s="1"/>
  <c r="Q22" i="31"/>
  <c r="Q60" i="31"/>
  <c r="Q84" i="31" s="1"/>
  <c r="Q142" i="31"/>
  <c r="I18" i="31"/>
  <c r="K69" i="31"/>
  <c r="K95" i="31" s="1"/>
  <c r="K156" i="31" s="1"/>
  <c r="N67" i="31"/>
  <c r="N200" i="31" s="1"/>
  <c r="P65" i="31"/>
  <c r="P88" i="31" s="1"/>
  <c r="P20" i="31"/>
  <c r="AM68" i="31"/>
  <c r="AM94" i="31" s="1"/>
  <c r="AM155" i="31" s="1"/>
  <c r="AR66" i="31"/>
  <c r="AR153" i="31" s="1"/>
  <c r="M70" i="31"/>
  <c r="M96" i="31" s="1"/>
  <c r="M108" i="31" s="1"/>
  <c r="AL69" i="31"/>
  <c r="AL95" i="31" s="1"/>
  <c r="AL156" i="31" s="1"/>
  <c r="X142" i="31"/>
  <c r="X22" i="31"/>
  <c r="X60" i="31"/>
  <c r="X84" i="31" s="1"/>
  <c r="AQ60" i="31"/>
  <c r="AQ84" i="31" s="1"/>
  <c r="AQ22" i="31"/>
  <c r="AQ142" i="31"/>
  <c r="AF69" i="31"/>
  <c r="AF95" i="31" s="1"/>
  <c r="AF156" i="31" s="1"/>
  <c r="Q67" i="31"/>
  <c r="Q200" i="31" s="1"/>
  <c r="I19" i="31"/>
  <c r="K70" i="31"/>
  <c r="K96" i="31" s="1"/>
  <c r="K157" i="31" s="1"/>
  <c r="AL65" i="31"/>
  <c r="AL88" i="31" s="1"/>
  <c r="AL20" i="31"/>
  <c r="AJ66" i="31"/>
  <c r="AJ92" i="31" s="1"/>
  <c r="AE67" i="31"/>
  <c r="AE93" i="31" s="1"/>
  <c r="AE154" i="31" s="1"/>
  <c r="L65" i="31"/>
  <c r="L150" i="31" s="1"/>
  <c r="L20" i="31"/>
  <c r="AB22" i="31"/>
  <c r="AB60" i="31"/>
  <c r="AB84" i="31" s="1"/>
  <c r="AB142" i="31"/>
  <c r="AW70" i="31"/>
  <c r="AW96" i="31" s="1"/>
  <c r="AW124" i="31" s="1"/>
  <c r="AM66" i="31"/>
  <c r="AM153" i="31" s="1"/>
  <c r="U69" i="31"/>
  <c r="U95" i="31" s="1"/>
  <c r="U156" i="31" s="1"/>
  <c r="AI70" i="31"/>
  <c r="AI96" i="31" s="1"/>
  <c r="AI157" i="31" s="1"/>
  <c r="S69" i="31"/>
  <c r="S95" i="31" s="1"/>
  <c r="S156" i="31" s="1"/>
  <c r="M69" i="31"/>
  <c r="M95" i="31" s="1"/>
  <c r="M156" i="31" s="1"/>
  <c r="AT70" i="31"/>
  <c r="AT96" i="31" s="1"/>
  <c r="AT124" i="31" s="1"/>
  <c r="AB67" i="31"/>
  <c r="AB200" i="31" s="1"/>
  <c r="AA66" i="31"/>
  <c r="AA153" i="31" s="1"/>
  <c r="V68" i="31"/>
  <c r="V94" i="31" s="1"/>
  <c r="V155" i="31" s="1"/>
  <c r="AW69" i="31"/>
  <c r="AW95" i="31" s="1"/>
  <c r="AW156" i="31" s="1"/>
  <c r="O67" i="31"/>
  <c r="O200" i="31" s="1"/>
  <c r="Y70" i="31"/>
  <c r="Y96" i="31" s="1"/>
  <c r="Y108" i="31" s="1"/>
  <c r="AD70" i="31"/>
  <c r="AD96" i="31" s="1"/>
  <c r="AD108" i="31" s="1"/>
  <c r="R70" i="31"/>
  <c r="R96" i="31" s="1"/>
  <c r="R124" i="31" s="1"/>
  <c r="AK68" i="31"/>
  <c r="AK94" i="31" s="1"/>
  <c r="AK155" i="31" s="1"/>
  <c r="R66" i="31"/>
  <c r="R153" i="31" s="1"/>
  <c r="K67" i="31"/>
  <c r="K200" i="31" s="1"/>
  <c r="K201" i="31" s="1"/>
  <c r="I16" i="31"/>
  <c r="AL22" i="31"/>
  <c r="AL142" i="31"/>
  <c r="AL60" i="31"/>
  <c r="AL84" i="31" s="1"/>
  <c r="U20" i="31"/>
  <c r="U65" i="31"/>
  <c r="U150" i="31" s="1"/>
  <c r="AJ20" i="31"/>
  <c r="AJ65" i="31"/>
  <c r="AJ88" i="31" s="1"/>
  <c r="AK67" i="31"/>
  <c r="AK93" i="31" s="1"/>
  <c r="AK154" i="31" s="1"/>
  <c r="AT60" i="31"/>
  <c r="AT84" i="31" s="1"/>
  <c r="AT22" i="31"/>
  <c r="AT142" i="31"/>
  <c r="X66" i="31"/>
  <c r="X92" i="31" s="1"/>
  <c r="R20" i="31"/>
  <c r="R65" i="31"/>
  <c r="R150" i="31" s="1"/>
  <c r="AX142" i="31"/>
  <c r="AX22" i="31"/>
  <c r="AX60" i="31"/>
  <c r="AX84" i="31" s="1"/>
  <c r="AI67" i="31"/>
  <c r="AI200" i="31" s="1"/>
  <c r="AT65" i="31"/>
  <c r="AT88" i="31" s="1"/>
  <c r="AT20" i="31"/>
  <c r="AD66" i="31"/>
  <c r="AD153" i="31" s="1"/>
  <c r="AU142" i="31"/>
  <c r="AU60" i="31"/>
  <c r="AU84" i="31" s="1"/>
  <c r="AU22" i="31"/>
  <c r="AU66" i="31"/>
  <c r="AU92" i="31" s="1"/>
  <c r="AE69" i="31"/>
  <c r="AE95" i="31" s="1"/>
  <c r="AE156" i="31" s="1"/>
  <c r="AI20" i="31"/>
  <c r="AI65" i="31"/>
  <c r="AI150" i="31" s="1"/>
  <c r="AB20" i="31"/>
  <c r="AB65" i="31"/>
  <c r="AB88" i="31" s="1"/>
  <c r="AI68" i="31"/>
  <c r="AI94" i="31" s="1"/>
  <c r="AI155" i="31" s="1"/>
  <c r="Z69" i="31"/>
  <c r="Z95" i="31" s="1"/>
  <c r="Z156" i="31" s="1"/>
  <c r="K20" i="31"/>
  <c r="K65" i="31"/>
  <c r="K150" i="31" s="1"/>
  <c r="I14" i="31"/>
  <c r="Y66" i="31"/>
  <c r="Y92" i="31" s="1"/>
  <c r="AP69" i="31"/>
  <c r="AP95" i="31" s="1"/>
  <c r="AP156" i="31" s="1"/>
  <c r="AA60" i="31"/>
  <c r="AA84" i="31" s="1"/>
  <c r="AA22" i="31"/>
  <c r="AA142" i="31"/>
  <c r="AM67" i="31"/>
  <c r="AM93" i="31" s="1"/>
  <c r="AM154" i="31" s="1"/>
  <c r="AF22" i="31"/>
  <c r="AF142" i="31"/>
  <c r="AF60" i="31"/>
  <c r="AF84" i="31" s="1"/>
  <c r="AH66" i="31"/>
  <c r="AH153" i="31" s="1"/>
  <c r="AG70" i="31"/>
  <c r="AG96" i="31" s="1"/>
  <c r="AG108" i="31" s="1"/>
  <c r="AQ20" i="31"/>
  <c r="AQ65" i="31"/>
  <c r="AQ88" i="31" s="1"/>
  <c r="P66" i="31"/>
  <c r="P153" i="31" s="1"/>
  <c r="AP20" i="31"/>
  <c r="AP65" i="31"/>
  <c r="AP88" i="31" s="1"/>
  <c r="AP67" i="31"/>
  <c r="AP200" i="31" s="1"/>
  <c r="V67" i="31"/>
  <c r="V93" i="31" s="1"/>
  <c r="V154" i="31" s="1"/>
  <c r="AK20" i="31"/>
  <c r="AK65" i="31"/>
  <c r="AK88" i="31" s="1"/>
  <c r="AL67" i="31"/>
  <c r="AL93" i="31" s="1"/>
  <c r="AL154" i="31" s="1"/>
  <c r="Y67" i="31"/>
  <c r="Y93" i="31" s="1"/>
  <c r="Y154" i="31" s="1"/>
  <c r="W66" i="31"/>
  <c r="W92" i="31" s="1"/>
  <c r="AG69" i="31"/>
  <c r="AG95" i="31" s="1"/>
  <c r="AG156" i="31" s="1"/>
  <c r="AO68" i="31"/>
  <c r="AO94" i="31" s="1"/>
  <c r="AO155" i="31" s="1"/>
  <c r="P70" i="31"/>
  <c r="P96" i="31" s="1"/>
  <c r="P157" i="31" s="1"/>
  <c r="AM142" i="31"/>
  <c r="AM22" i="31"/>
  <c r="AM60" i="31"/>
  <c r="AM84" i="31" s="1"/>
  <c r="AH69" i="31"/>
  <c r="AH95" i="31" s="1"/>
  <c r="AH156" i="31" s="1"/>
  <c r="AK66" i="31"/>
  <c r="AK92" i="31" s="1"/>
  <c r="Z70" i="31"/>
  <c r="Z96" i="31" s="1"/>
  <c r="Z108" i="31" s="1"/>
  <c r="AJ22" i="31"/>
  <c r="AJ60" i="31"/>
  <c r="AJ84" i="31" s="1"/>
  <c r="AJ142" i="31"/>
  <c r="M20" i="31"/>
  <c r="M65" i="31"/>
  <c r="M88" i="31" s="1"/>
  <c r="P68" i="31"/>
  <c r="P94" i="31" s="1"/>
  <c r="P155" i="31" s="1"/>
  <c r="AP70" i="31"/>
  <c r="AP96" i="31" s="1"/>
  <c r="AP157" i="31" s="1"/>
  <c r="AX68" i="31"/>
  <c r="AX94" i="31" s="1"/>
  <c r="AX155" i="31" s="1"/>
  <c r="S134" i="5"/>
  <c r="F105" i="12"/>
  <c r="G108" i="12" s="1"/>
  <c r="G30" i="31"/>
  <c r="G12" i="31"/>
  <c r="G142" i="31" s="1"/>
  <c r="F80" i="31"/>
  <c r="G81" i="31" s="1"/>
  <c r="G147" i="31" s="1"/>
  <c r="G163" i="31" s="1"/>
  <c r="S157" i="5"/>
  <c r="F121" i="7"/>
  <c r="G33" i="31"/>
  <c r="G34" i="31"/>
  <c r="G32" i="31"/>
  <c r="G35" i="31"/>
  <c r="G31" i="31"/>
  <c r="F231" i="31"/>
  <c r="G232" i="31" s="1"/>
  <c r="G162" i="1" s="1"/>
  <c r="G163" i="1" s="1"/>
  <c r="G29" i="31"/>
  <c r="AQ69" i="31"/>
  <c r="AQ95" i="31" s="1"/>
  <c r="AQ156" i="31" s="1"/>
  <c r="AH22" i="31"/>
  <c r="AH60" i="31"/>
  <c r="AH84" i="31" s="1"/>
  <c r="AH142" i="31"/>
  <c r="AG67" i="31"/>
  <c r="AG200" i="31" s="1"/>
  <c r="P67" i="31"/>
  <c r="P93" i="31" s="1"/>
  <c r="P154" i="31" s="1"/>
  <c r="AG66" i="31"/>
  <c r="AG153" i="31" s="1"/>
  <c r="AO66" i="31"/>
  <c r="AO92" i="31" s="1"/>
  <c r="U68" i="31"/>
  <c r="U94" i="31" s="1"/>
  <c r="U155" i="31" s="1"/>
  <c r="AB70" i="31"/>
  <c r="AB96" i="31" s="1"/>
  <c r="AB124" i="31" s="1"/>
  <c r="AD68" i="31"/>
  <c r="AD94" i="31" s="1"/>
  <c r="AD155" i="31" s="1"/>
  <c r="V69" i="31"/>
  <c r="V95" i="31" s="1"/>
  <c r="V156" i="31" s="1"/>
  <c r="AC68" i="31"/>
  <c r="AC94" i="31" s="1"/>
  <c r="AC155" i="31" s="1"/>
  <c r="AS69" i="31"/>
  <c r="AS95" i="31" s="1"/>
  <c r="AS156" i="31" s="1"/>
  <c r="Z68" i="31"/>
  <c r="Z94" i="31" s="1"/>
  <c r="Z155" i="31" s="1"/>
  <c r="AO70" i="31"/>
  <c r="AO96" i="31" s="1"/>
  <c r="AO108" i="31" s="1"/>
  <c r="AB68" i="31"/>
  <c r="AB94" i="31" s="1"/>
  <c r="AB155" i="31" s="1"/>
  <c r="T60" i="31"/>
  <c r="T84" i="31" s="1"/>
  <c r="T22" i="31"/>
  <c r="T142" i="31"/>
  <c r="N142" i="31"/>
  <c r="N60" i="31"/>
  <c r="N84" i="31" s="1"/>
  <c r="N22" i="31"/>
  <c r="M68" i="31"/>
  <c r="M94" i="31" s="1"/>
  <c r="M155" i="31" s="1"/>
  <c r="O22" i="31"/>
  <c r="O60" i="31"/>
  <c r="O84" i="31" s="1"/>
  <c r="O142" i="31"/>
  <c r="AD69" i="31"/>
  <c r="AD95" i="31" s="1"/>
  <c r="AD156" i="31" s="1"/>
  <c r="AV68" i="31"/>
  <c r="AV94" i="31" s="1"/>
  <c r="AV155" i="31" s="1"/>
  <c r="AC70" i="31"/>
  <c r="AC96" i="31" s="1"/>
  <c r="AC108" i="31" s="1"/>
  <c r="N66" i="31"/>
  <c r="N153" i="31" s="1"/>
  <c r="M60" i="31"/>
  <c r="M84" i="31" s="1"/>
  <c r="M142" i="31"/>
  <c r="M22" i="31"/>
  <c r="AN142" i="31"/>
  <c r="AN60" i="31"/>
  <c r="AN84" i="31" s="1"/>
  <c r="AN22" i="31"/>
  <c r="AD67" i="31"/>
  <c r="AD200" i="31" s="1"/>
  <c r="AW67" i="31"/>
  <c r="AW200" i="31" s="1"/>
  <c r="AI69" i="31"/>
  <c r="AI95" i="31" s="1"/>
  <c r="AI156" i="31" s="1"/>
  <c r="AC69" i="31"/>
  <c r="AC95" i="31" s="1"/>
  <c r="AC156" i="31" s="1"/>
  <c r="Y60" i="31"/>
  <c r="Y84" i="31" s="1"/>
  <c r="Y142" i="31"/>
  <c r="Y22" i="31"/>
  <c r="Z142" i="31"/>
  <c r="Z60" i="31"/>
  <c r="Z84" i="31" s="1"/>
  <c r="Z22" i="31"/>
  <c r="AE65" i="31"/>
  <c r="AE150" i="31" s="1"/>
  <c r="AE20" i="31"/>
  <c r="R67" i="31"/>
  <c r="R200" i="31" s="1"/>
  <c r="X69" i="31"/>
  <c r="X95" i="31" s="1"/>
  <c r="X156" i="31" s="1"/>
  <c r="AG20" i="31"/>
  <c r="AG65" i="31"/>
  <c r="AG88" i="31" s="1"/>
  <c r="V60" i="31"/>
  <c r="V84" i="31" s="1"/>
  <c r="V22" i="31"/>
  <c r="V142" i="31"/>
  <c r="AJ68" i="31"/>
  <c r="AJ94" i="31" s="1"/>
  <c r="AJ155" i="31" s="1"/>
  <c r="AN69" i="31"/>
  <c r="AN95" i="31" s="1"/>
  <c r="AN156" i="31" s="1"/>
  <c r="T68" i="31"/>
  <c r="T94" i="31" s="1"/>
  <c r="T155" i="31" s="1"/>
  <c r="AL70" i="31"/>
  <c r="AL96" i="31" s="1"/>
  <c r="AL157" i="31" s="1"/>
  <c r="S60" i="31"/>
  <c r="S84" i="31" s="1"/>
  <c r="S142" i="31"/>
  <c r="S22" i="31"/>
  <c r="S70" i="31"/>
  <c r="S96" i="31" s="1"/>
  <c r="S157" i="31" s="1"/>
  <c r="S67" i="31"/>
  <c r="S200" i="31" s="1"/>
  <c r="AN66" i="31"/>
  <c r="AN92" i="31" s="1"/>
  <c r="W70" i="31"/>
  <c r="W96" i="31" s="1"/>
  <c r="W124" i="31" s="1"/>
  <c r="S68" i="31"/>
  <c r="S94" i="31" s="1"/>
  <c r="S155" i="31" s="1"/>
  <c r="L66" i="31"/>
  <c r="L92" i="31" s="1"/>
  <c r="AX67" i="31"/>
  <c r="AX200" i="31" s="1"/>
  <c r="N69" i="31"/>
  <c r="N95" i="31" s="1"/>
  <c r="N156" i="31" s="1"/>
  <c r="AB66" i="31"/>
  <c r="AB153" i="31" s="1"/>
  <c r="AT67" i="31"/>
  <c r="AT93" i="31" s="1"/>
  <c r="AT154" i="31" s="1"/>
  <c r="AW68" i="31"/>
  <c r="AW94" i="31" s="1"/>
  <c r="AW155" i="31" s="1"/>
  <c r="AG68" i="31"/>
  <c r="AG94" i="31" s="1"/>
  <c r="AG155" i="31" s="1"/>
  <c r="F120" i="7"/>
  <c r="S133" i="5"/>
  <c r="F271" i="31"/>
  <c r="F79" i="31"/>
  <c r="E81" i="31" s="1"/>
  <c r="E147" i="31" s="1"/>
  <c r="E163" i="31" s="1"/>
  <c r="E232" i="31" s="1"/>
  <c r="E162" i="1" s="1"/>
  <c r="E163" i="1" s="1"/>
  <c r="E12" i="31"/>
  <c r="E143" i="31" s="1"/>
  <c r="E144" i="31" s="1"/>
  <c r="E12" i="35" s="1"/>
  <c r="S156" i="5"/>
  <c r="R163" i="5" s="1"/>
  <c r="C9" i="5"/>
  <c r="C17" i="5" s="1"/>
  <c r="T163" i="5" s="1"/>
  <c r="Z67" i="31"/>
  <c r="Z93" i="31" s="1"/>
  <c r="Z154" i="31" s="1"/>
  <c r="AN67" i="31"/>
  <c r="AN200" i="31" s="1"/>
  <c r="AH70" i="31"/>
  <c r="AH96" i="31" s="1"/>
  <c r="AH124" i="31" s="1"/>
  <c r="AC65" i="31"/>
  <c r="AC150" i="31" s="1"/>
  <c r="AC20" i="31"/>
  <c r="L70" i="31"/>
  <c r="L96" i="31" s="1"/>
  <c r="L108" i="31" s="1"/>
  <c r="AT66" i="31"/>
  <c r="AT92" i="31" s="1"/>
  <c r="X68" i="31"/>
  <c r="X94" i="31" s="1"/>
  <c r="X155" i="31" s="1"/>
  <c r="AR67" i="31"/>
  <c r="AR93" i="31" s="1"/>
  <c r="AR154" i="31" s="1"/>
  <c r="O68" i="31"/>
  <c r="O94" i="31" s="1"/>
  <c r="O155" i="31" s="1"/>
  <c r="AG60" i="31"/>
  <c r="AG84" i="31" s="1"/>
  <c r="AG142" i="31"/>
  <c r="AG22" i="31"/>
  <c r="AV65" i="31"/>
  <c r="AV150" i="31" s="1"/>
  <c r="AV20" i="31"/>
  <c r="U67" i="31"/>
  <c r="U93" i="31" s="1"/>
  <c r="U154" i="31" s="1"/>
  <c r="I17" i="31"/>
  <c r="K68" i="31"/>
  <c r="K94" i="31" s="1"/>
  <c r="K155" i="31" s="1"/>
  <c r="AQ67" i="31"/>
  <c r="AQ200" i="31" s="1"/>
  <c r="AS67" i="31"/>
  <c r="AS200" i="31" s="1"/>
  <c r="R68" i="31"/>
  <c r="R94" i="31" s="1"/>
  <c r="R155" i="31" s="1"/>
  <c r="E262" i="12"/>
  <c r="E255" i="12"/>
  <c r="E152" i="7"/>
  <c r="J87" i="7"/>
  <c r="H87" i="7"/>
  <c r="G87" i="7"/>
  <c r="F87" i="7"/>
  <c r="E87" i="7"/>
  <c r="O92" i="31" l="1"/>
  <c r="AM88" i="31"/>
  <c r="AD124" i="31"/>
  <c r="AE92" i="31"/>
  <c r="AE97" i="31" s="1"/>
  <c r="AV153" i="31"/>
  <c r="L200" i="31"/>
  <c r="L201" i="31" s="1"/>
  <c r="AX108" i="31"/>
  <c r="AU88" i="31"/>
  <c r="AS153" i="31"/>
  <c r="AN153" i="31"/>
  <c r="AC200" i="31"/>
  <c r="AG124" i="31"/>
  <c r="L153" i="31"/>
  <c r="T200" i="31"/>
  <c r="AR88" i="31"/>
  <c r="AX150" i="31"/>
  <c r="G112" i="12"/>
  <c r="P108" i="31"/>
  <c r="AW157" i="31"/>
  <c r="AF108" i="31"/>
  <c r="R108" i="31"/>
  <c r="V150" i="31"/>
  <c r="P150" i="31"/>
  <c r="AC88" i="31"/>
  <c r="AA108" i="31"/>
  <c r="AV93" i="31"/>
  <c r="AV154" i="31" s="1"/>
  <c r="AW108" i="31"/>
  <c r="AA92" i="31"/>
  <c r="AX93" i="31"/>
  <c r="AX154" i="31" s="1"/>
  <c r="AL150" i="31"/>
  <c r="AD92" i="31"/>
  <c r="AB93" i="31"/>
  <c r="AB154" i="31" s="1"/>
  <c r="V200" i="31"/>
  <c r="AH157" i="31"/>
  <c r="AH158" i="31" s="1"/>
  <c r="AW150" i="31"/>
  <c r="AX92" i="31"/>
  <c r="AO200" i="31"/>
  <c r="AB150" i="31"/>
  <c r="AF157" i="31"/>
  <c r="AF158" i="31" s="1"/>
  <c r="R88" i="31"/>
  <c r="S153" i="31"/>
  <c r="AG150" i="31"/>
  <c r="AG157" i="31"/>
  <c r="AG93" i="31"/>
  <c r="AG154" i="31" s="1"/>
  <c r="AH108" i="31"/>
  <c r="R92" i="31"/>
  <c r="AF150" i="31"/>
  <c r="AN93" i="31"/>
  <c r="AN154" i="31" s="1"/>
  <c r="AM92" i="31"/>
  <c r="AM97" i="31" s="1"/>
  <c r="G115" i="12"/>
  <c r="AH92" i="31"/>
  <c r="AH97" i="31" s="1"/>
  <c r="P124" i="31"/>
  <c r="M200" i="31"/>
  <c r="G111" i="12"/>
  <c r="G114" i="12"/>
  <c r="F30" i="31"/>
  <c r="G107" i="12"/>
  <c r="AJ124" i="31"/>
  <c r="AM157" i="31"/>
  <c r="AM158" i="31" s="1"/>
  <c r="O150" i="31"/>
  <c r="G118" i="12"/>
  <c r="G113" i="12"/>
  <c r="AP153" i="31"/>
  <c r="P200" i="31"/>
  <c r="AL153" i="31"/>
  <c r="AL158" i="31" s="1"/>
  <c r="AL108" i="31"/>
  <c r="AB157" i="31"/>
  <c r="AF200" i="31"/>
  <c r="U88" i="31"/>
  <c r="G109" i="12"/>
  <c r="G116" i="12"/>
  <c r="AA93" i="31"/>
  <c r="AA154" i="31" s="1"/>
  <c r="AA158" i="31" s="1"/>
  <c r="AD157" i="31"/>
  <c r="AV157" i="31"/>
  <c r="O157" i="31"/>
  <c r="AP150" i="31"/>
  <c r="AT97" i="31"/>
  <c r="AM108" i="31"/>
  <c r="B17" i="5"/>
  <c r="E13" i="35" s="1"/>
  <c r="AT157" i="31"/>
  <c r="M153" i="31"/>
  <c r="AP93" i="31"/>
  <c r="AP154" i="31" s="1"/>
  <c r="K108" i="31"/>
  <c r="AI88" i="31"/>
  <c r="R93" i="31"/>
  <c r="R154" i="31" s="1"/>
  <c r="F32" i="31"/>
  <c r="F31" i="31"/>
  <c r="AU124" i="31"/>
  <c r="K93" i="31"/>
  <c r="K154" i="31" s="1"/>
  <c r="K158" i="31" s="1"/>
  <c r="Z92" i="31"/>
  <c r="Z97" i="31" s="1"/>
  <c r="T153" i="31"/>
  <c r="AV124" i="31"/>
  <c r="K124" i="31"/>
  <c r="Q92" i="31"/>
  <c r="T150" i="31"/>
  <c r="N93" i="31"/>
  <c r="N154" i="31" s="1"/>
  <c r="O124" i="31"/>
  <c r="V157" i="31"/>
  <c r="N88" i="31"/>
  <c r="X153" i="31"/>
  <c r="Z157" i="31"/>
  <c r="Z158" i="31" s="1"/>
  <c r="AE124" i="31"/>
  <c r="V108" i="31"/>
  <c r="Y153" i="31"/>
  <c r="AF92" i="31"/>
  <c r="AF97" i="31" s="1"/>
  <c r="AU157" i="31"/>
  <c r="W157" i="31"/>
  <c r="R157" i="31"/>
  <c r="X93" i="31"/>
  <c r="X154" i="31" s="1"/>
  <c r="AT150" i="31"/>
  <c r="G143" i="31"/>
  <c r="G272" i="31" s="1"/>
  <c r="Z124" i="31"/>
  <c r="W150" i="31"/>
  <c r="AX157" i="31"/>
  <c r="AQ93" i="31"/>
  <c r="AQ154" i="31" s="1"/>
  <c r="AJ93" i="31"/>
  <c r="AJ154" i="31" s="1"/>
  <c r="AL124" i="31"/>
  <c r="AW153" i="31"/>
  <c r="AB92" i="31"/>
  <c r="AT108" i="31"/>
  <c r="AE157" i="31"/>
  <c r="AE158" i="31" s="1"/>
  <c r="W108" i="31"/>
  <c r="AR200" i="31"/>
  <c r="Z200" i="31"/>
  <c r="AO153" i="31"/>
  <c r="S108" i="31"/>
  <c r="I22" i="31"/>
  <c r="AK97" i="31"/>
  <c r="AI153" i="31"/>
  <c r="S158" i="5"/>
  <c r="S163" i="5" s="1"/>
  <c r="B159" i="5" s="1"/>
  <c r="AC124" i="31"/>
  <c r="V97" i="31"/>
  <c r="AS93" i="31"/>
  <c r="AS154" i="31" s="1"/>
  <c r="AK153" i="31"/>
  <c r="AO97" i="31"/>
  <c r="P158" i="31"/>
  <c r="AU97" i="31"/>
  <c r="X157" i="31"/>
  <c r="E85" i="31"/>
  <c r="G85" i="31"/>
  <c r="E60" i="31"/>
  <c r="E84" i="31" s="1"/>
  <c r="I20" i="31"/>
  <c r="U97" i="31"/>
  <c r="N124" i="31"/>
  <c r="AK108" i="31"/>
  <c r="Q124" i="31"/>
  <c r="AH88" i="31"/>
  <c r="AI124" i="31"/>
  <c r="L157" i="31"/>
  <c r="AK200" i="31"/>
  <c r="K88" i="31"/>
  <c r="T157" i="31"/>
  <c r="AV88" i="31"/>
  <c r="I66" i="31"/>
  <c r="I153" i="31" s="1"/>
  <c r="AC153" i="31"/>
  <c r="AN157" i="31"/>
  <c r="AC97" i="31"/>
  <c r="Q150" i="31"/>
  <c r="K92" i="31"/>
  <c r="W93" i="31"/>
  <c r="W154" i="31" s="1"/>
  <c r="V153" i="31"/>
  <c r="T97" i="31"/>
  <c r="W153" i="31"/>
  <c r="U153" i="31"/>
  <c r="E73" i="1"/>
  <c r="E74" i="1" s="1"/>
  <c r="L97" i="31"/>
  <c r="AT200" i="31"/>
  <c r="AU153" i="31"/>
  <c r="X108" i="31"/>
  <c r="AA88" i="31"/>
  <c r="AH200" i="31"/>
  <c r="N157" i="31"/>
  <c r="AO150" i="31"/>
  <c r="AM200" i="31"/>
  <c r="Y97" i="31"/>
  <c r="T124" i="31"/>
  <c r="AQ153" i="31"/>
  <c r="I67" i="31"/>
  <c r="I200" i="31" s="1"/>
  <c r="M97" i="31"/>
  <c r="L124" i="31"/>
  <c r="Y157" i="31"/>
  <c r="Y124" i="31"/>
  <c r="AO124" i="31"/>
  <c r="AK157" i="31"/>
  <c r="U200" i="31"/>
  <c r="Y150" i="31"/>
  <c r="F29" i="31"/>
  <c r="AR157" i="31"/>
  <c r="AR158" i="31" s="1"/>
  <c r="S150" i="31"/>
  <c r="AS124" i="31"/>
  <c r="I68" i="31"/>
  <c r="I94" i="31" s="1"/>
  <c r="I155" i="31" s="1"/>
  <c r="Q93" i="31"/>
  <c r="Q154" i="31" s="1"/>
  <c r="Q158" i="31" s="1"/>
  <c r="AL97" i="31"/>
  <c r="AJ108" i="31"/>
  <c r="M124" i="31"/>
  <c r="AU200" i="31"/>
  <c r="AA124" i="31"/>
  <c r="D17" i="5"/>
  <c r="G30" i="11" s="1"/>
  <c r="G78" i="31" s="1"/>
  <c r="AK150" i="31"/>
  <c r="AG92" i="31"/>
  <c r="AD88" i="31"/>
  <c r="AD93" i="31"/>
  <c r="AD154" i="31" s="1"/>
  <c r="AE200" i="31"/>
  <c r="I69" i="31"/>
  <c r="I95" i="31" s="1"/>
  <c r="I156" i="31" s="1"/>
  <c r="S93" i="31"/>
  <c r="S154" i="31" s="1"/>
  <c r="E127" i="7"/>
  <c r="E128" i="7" s="1"/>
  <c r="AT153" i="31"/>
  <c r="I70" i="31"/>
  <c r="I96" i="31" s="1"/>
  <c r="I108" i="31" s="1"/>
  <c r="F62" i="31"/>
  <c r="F63" i="31" s="1"/>
  <c r="F104" i="31" s="1"/>
  <c r="M150" i="31"/>
  <c r="AP124" i="31"/>
  <c r="S135" i="5"/>
  <c r="B127" i="5" s="1"/>
  <c r="AE88" i="31"/>
  <c r="AS88" i="31"/>
  <c r="F34" i="31"/>
  <c r="AQ150" i="31"/>
  <c r="AW93" i="31"/>
  <c r="AW154" i="31" s="1"/>
  <c r="Y200" i="31"/>
  <c r="G60" i="31"/>
  <c r="G62" i="31" s="1"/>
  <c r="L88" i="31"/>
  <c r="AN108" i="31"/>
  <c r="U157" i="31"/>
  <c r="P92" i="31"/>
  <c r="P97" i="31" s="1"/>
  <c r="AQ124" i="31"/>
  <c r="AO157" i="31"/>
  <c r="X88" i="31"/>
  <c r="F30" i="11"/>
  <c r="F76" i="31" s="1"/>
  <c r="F78" i="31" s="1"/>
  <c r="AL81" i="31" s="1"/>
  <c r="AL147" i="31" s="1"/>
  <c r="AL200" i="31"/>
  <c r="AR124" i="31"/>
  <c r="N92" i="31"/>
  <c r="I65" i="31"/>
  <c r="I150" i="31" s="1"/>
  <c r="F13" i="35"/>
  <c r="J13" i="35" s="1"/>
  <c r="I13" i="35" s="1"/>
  <c r="AQ157" i="31"/>
  <c r="M157" i="31"/>
  <c r="AC157" i="31"/>
  <c r="E142" i="31"/>
  <c r="E272" i="31" s="1"/>
  <c r="E22" i="31"/>
  <c r="E23" i="31" s="1"/>
  <c r="E35" i="31" s="1"/>
  <c r="I60" i="31"/>
  <c r="I84" i="31" s="1"/>
  <c r="AS108" i="31"/>
  <c r="O93" i="31"/>
  <c r="O154" i="31" s="1"/>
  <c r="S124" i="31"/>
  <c r="AJ150" i="31"/>
  <c r="AI108" i="31"/>
  <c r="AP108" i="31"/>
  <c r="AJ153" i="31"/>
  <c r="AN150" i="31"/>
  <c r="G22" i="31"/>
  <c r="G23" i="31" s="1"/>
  <c r="AI93" i="31"/>
  <c r="AI154" i="31" s="1"/>
  <c r="AR92" i="31"/>
  <c r="AR97" i="31" s="1"/>
  <c r="G26" i="31"/>
  <c r="Q108" i="31"/>
  <c r="AB108" i="31"/>
  <c r="Z88" i="31"/>
  <c r="U108" i="31"/>
  <c r="E268" i="12"/>
  <c r="E271" i="12" s="1"/>
  <c r="E264" i="12"/>
  <c r="G152" i="7"/>
  <c r="F6" i="7"/>
  <c r="F73" i="7"/>
  <c r="J78" i="7"/>
  <c r="I78" i="7"/>
  <c r="H78" i="7"/>
  <c r="G78" i="7"/>
  <c r="F74" i="7" s="1"/>
  <c r="F78" i="7"/>
  <c r="E78" i="7"/>
  <c r="J10" i="7"/>
  <c r="I10" i="7"/>
  <c r="H10" i="7"/>
  <c r="G10" i="7"/>
  <c r="F7" i="7" s="1"/>
  <c r="F10" i="7"/>
  <c r="E10" i="7"/>
  <c r="J22" i="7"/>
  <c r="H22" i="7"/>
  <c r="F22" i="7"/>
  <c r="J21" i="7"/>
  <c r="J33" i="7" s="1"/>
  <c r="H21" i="7"/>
  <c r="H33" i="7" s="1"/>
  <c r="F21" i="7"/>
  <c r="F33" i="7" s="1"/>
  <c r="J20" i="7"/>
  <c r="H20" i="7"/>
  <c r="F20" i="7"/>
  <c r="J18" i="7"/>
  <c r="J31" i="7" s="1"/>
  <c r="H18" i="7"/>
  <c r="H31" i="7" s="1"/>
  <c r="F18" i="7"/>
  <c r="F31" i="7" s="1"/>
  <c r="J17" i="7"/>
  <c r="J30" i="7" s="1"/>
  <c r="H17" i="7"/>
  <c r="H30" i="7" s="1"/>
  <c r="F17" i="7"/>
  <c r="F30" i="7" s="1"/>
  <c r="J15" i="7"/>
  <c r="J28" i="7" s="1"/>
  <c r="H15" i="7"/>
  <c r="H28" i="7" s="1"/>
  <c r="F15" i="7"/>
  <c r="F28" i="7" s="1"/>
  <c r="J12" i="7"/>
  <c r="J25" i="7" s="1"/>
  <c r="H12" i="7"/>
  <c r="H25" i="7" s="1"/>
  <c r="F12" i="7"/>
  <c r="F25" i="7" s="1"/>
  <c r="J13" i="7"/>
  <c r="J26" i="7" s="1"/>
  <c r="H13" i="7"/>
  <c r="H26" i="7" s="1"/>
  <c r="F13" i="7"/>
  <c r="F26" i="7" s="1"/>
  <c r="D29" i="5"/>
  <c r="E759" i="1"/>
  <c r="E772" i="1" s="1"/>
  <c r="E758" i="1"/>
  <c r="E771" i="1" s="1"/>
  <c r="F47" i="11"/>
  <c r="F298" i="1" s="1"/>
  <c r="F299" i="1" s="1"/>
  <c r="A1" i="5"/>
  <c r="AB97" i="31" l="1"/>
  <c r="AS158" i="31"/>
  <c r="L158" i="31"/>
  <c r="AG158" i="31"/>
  <c r="AV97" i="31"/>
  <c r="N97" i="31"/>
  <c r="R97" i="31"/>
  <c r="AV158" i="31"/>
  <c r="AX158" i="31"/>
  <c r="AX97" i="31"/>
  <c r="AN158" i="31"/>
  <c r="M201" i="31"/>
  <c r="N201" i="31" s="1"/>
  <c r="AB158" i="31"/>
  <c r="AJ97" i="31"/>
  <c r="V158" i="31"/>
  <c r="AP158" i="31"/>
  <c r="T158" i="31"/>
  <c r="AD158" i="31"/>
  <c r="AG97" i="31"/>
  <c r="M158" i="31"/>
  <c r="S158" i="31"/>
  <c r="K97" i="31"/>
  <c r="X97" i="31"/>
  <c r="AN97" i="31"/>
  <c r="AP97" i="31"/>
  <c r="AQ97" i="31"/>
  <c r="O158" i="31"/>
  <c r="AK158" i="31"/>
  <c r="N158" i="31"/>
  <c r="AT158" i="31"/>
  <c r="AU158" i="31"/>
  <c r="X158" i="31"/>
  <c r="R158" i="31"/>
  <c r="AA97" i="31"/>
  <c r="Y158" i="31"/>
  <c r="G127" i="7"/>
  <c r="F117" i="7" s="1"/>
  <c r="AW158" i="31"/>
  <c r="G73" i="1"/>
  <c r="G144" i="31"/>
  <c r="AJ158" i="31"/>
  <c r="E30" i="11"/>
  <c r="E76" i="31" s="1"/>
  <c r="E78" i="31" s="1"/>
  <c r="R150" i="5" s="1"/>
  <c r="AO158" i="31"/>
  <c r="U158" i="31"/>
  <c r="Q97" i="31"/>
  <c r="I93" i="31"/>
  <c r="I154" i="31" s="1"/>
  <c r="G13" i="35"/>
  <c r="P3" i="5"/>
  <c r="AI158" i="31"/>
  <c r="W158" i="31"/>
  <c r="T81" i="31"/>
  <c r="T147" i="31" s="1"/>
  <c r="AQ158" i="31"/>
  <c r="AS97" i="31"/>
  <c r="Y81" i="31"/>
  <c r="Y85" i="31" s="1"/>
  <c r="Y87" i="31" s="1"/>
  <c r="Y149" i="31" s="1"/>
  <c r="S97" i="31"/>
  <c r="M81" i="31"/>
  <c r="M85" i="31" s="1"/>
  <c r="M87" i="31" s="1"/>
  <c r="M89" i="31" s="1"/>
  <c r="M151" i="31" s="1"/>
  <c r="AM81" i="31"/>
  <c r="AM85" i="31" s="1"/>
  <c r="AM87" i="31" s="1"/>
  <c r="AM149" i="31" s="1"/>
  <c r="G76" i="31"/>
  <c r="AF81" i="31"/>
  <c r="AF147" i="31" s="1"/>
  <c r="P81" i="31"/>
  <c r="P85" i="31" s="1"/>
  <c r="P87" i="31" s="1"/>
  <c r="P89" i="31" s="1"/>
  <c r="P151" i="31" s="1"/>
  <c r="F35" i="31"/>
  <c r="AW81" i="31"/>
  <c r="AW147" i="31" s="1"/>
  <c r="AJ81" i="31"/>
  <c r="AJ85" i="31" s="1"/>
  <c r="AJ87" i="31" s="1"/>
  <c r="AJ89" i="31" s="1"/>
  <c r="AJ99" i="31" s="1"/>
  <c r="AJ107" i="31" s="1"/>
  <c r="AH81" i="31"/>
  <c r="AH85" i="31" s="1"/>
  <c r="AH87" i="31" s="1"/>
  <c r="AH149" i="31" s="1"/>
  <c r="AA81" i="31"/>
  <c r="AA147" i="31" s="1"/>
  <c r="AD97" i="31"/>
  <c r="AO81" i="31"/>
  <c r="AO85" i="31" s="1"/>
  <c r="AO87" i="31" s="1"/>
  <c r="AO149" i="31" s="1"/>
  <c r="AQ81" i="31"/>
  <c r="AQ147" i="31" s="1"/>
  <c r="U81" i="31"/>
  <c r="U85" i="31" s="1"/>
  <c r="U87" i="31" s="1"/>
  <c r="U149" i="31" s="1"/>
  <c r="AP81" i="31"/>
  <c r="AP85" i="31" s="1"/>
  <c r="AP87" i="31" s="1"/>
  <c r="AP89" i="31" s="1"/>
  <c r="AP151" i="31" s="1"/>
  <c r="AB81" i="31"/>
  <c r="AB147" i="31" s="1"/>
  <c r="I92" i="31"/>
  <c r="AR81" i="31"/>
  <c r="AR85" i="31" s="1"/>
  <c r="AR87" i="31" s="1"/>
  <c r="AR149" i="31" s="1"/>
  <c r="AC158" i="31"/>
  <c r="AI97" i="31"/>
  <c r="AV81" i="31"/>
  <c r="AV85" i="31" s="1"/>
  <c r="AV87" i="31" s="1"/>
  <c r="AV149" i="31" s="1"/>
  <c r="S81" i="31"/>
  <c r="S85" i="31" s="1"/>
  <c r="S87" i="31" s="1"/>
  <c r="S89" i="31" s="1"/>
  <c r="S151" i="31" s="1"/>
  <c r="V81" i="31"/>
  <c r="V147" i="31" s="1"/>
  <c r="G84" i="31"/>
  <c r="R81" i="31"/>
  <c r="R147" i="31" s="1"/>
  <c r="AI81" i="31"/>
  <c r="AI147" i="31" s="1"/>
  <c r="S150" i="5"/>
  <c r="AT81" i="31"/>
  <c r="AT147" i="31" s="1"/>
  <c r="O97" i="31"/>
  <c r="W97" i="31"/>
  <c r="W81" i="31"/>
  <c r="W147" i="31" s="1"/>
  <c r="AK81" i="31"/>
  <c r="AK147" i="31" s="1"/>
  <c r="AX81" i="31"/>
  <c r="AX147" i="31" s="1"/>
  <c r="AW97" i="31"/>
  <c r="K81" i="31"/>
  <c r="K147" i="31" s="1"/>
  <c r="AL85" i="31"/>
  <c r="AL87" i="31" s="1"/>
  <c r="AL89" i="31" s="1"/>
  <c r="AL151" i="31" s="1"/>
  <c r="AE81" i="31"/>
  <c r="AE147" i="31" s="1"/>
  <c r="Q81" i="31"/>
  <c r="Q147" i="31" s="1"/>
  <c r="I88" i="31"/>
  <c r="I124" i="31"/>
  <c r="AD81" i="31"/>
  <c r="AD85" i="31" s="1"/>
  <c r="AD87" i="31" s="1"/>
  <c r="AD89" i="31" s="1"/>
  <c r="AD151" i="31" s="1"/>
  <c r="O81" i="31"/>
  <c r="O85" i="31" s="1"/>
  <c r="O87" i="31" s="1"/>
  <c r="O149" i="31" s="1"/>
  <c r="AN81" i="31"/>
  <c r="AN85" i="31" s="1"/>
  <c r="AN87" i="31" s="1"/>
  <c r="AN89" i="31" s="1"/>
  <c r="AN151" i="31" s="1"/>
  <c r="AU81" i="31"/>
  <c r="AU147" i="31" s="1"/>
  <c r="L81" i="31"/>
  <c r="L85" i="31" s="1"/>
  <c r="L87" i="31" s="1"/>
  <c r="L149" i="31" s="1"/>
  <c r="G21" i="1"/>
  <c r="G156" i="1" s="1"/>
  <c r="G160" i="1" s="1"/>
  <c r="N81" i="31"/>
  <c r="N85" i="31" s="1"/>
  <c r="N87" i="31" s="1"/>
  <c r="N89" i="31" s="1"/>
  <c r="N151" i="31" s="1"/>
  <c r="I157" i="31"/>
  <c r="AS81" i="31"/>
  <c r="AS85" i="31" s="1"/>
  <c r="AS87" i="31" s="1"/>
  <c r="AS149" i="31" s="1"/>
  <c r="AG81" i="31"/>
  <c r="AG85" i="31" s="1"/>
  <c r="AG87" i="31" s="1"/>
  <c r="AG89" i="31" s="1"/>
  <c r="AG151" i="31" s="1"/>
  <c r="X81" i="31"/>
  <c r="X147" i="31" s="1"/>
  <c r="Z81" i="31"/>
  <c r="Z147" i="31" s="1"/>
  <c r="AC81" i="31"/>
  <c r="AC85" i="31" s="1"/>
  <c r="AC87" i="31" s="1"/>
  <c r="AC89" i="31" s="1"/>
  <c r="AC151" i="31" s="1"/>
  <c r="G38" i="24"/>
  <c r="G36" i="24"/>
  <c r="G37" i="24"/>
  <c r="F52" i="5"/>
  <c r="G35" i="24"/>
  <c r="F176" i="5"/>
  <c r="F121" i="5"/>
  <c r="F153" i="5"/>
  <c r="F95" i="5"/>
  <c r="F60" i="5"/>
  <c r="J5" i="34" s="1"/>
  <c r="E87" i="35" s="1"/>
  <c r="F65" i="5"/>
  <c r="F101" i="1"/>
  <c r="F656" i="1"/>
  <c r="F658" i="1" s="1"/>
  <c r="E3" i="24"/>
  <c r="B29" i="5"/>
  <c r="R99" i="5"/>
  <c r="K3" i="5"/>
  <c r="S87" i="5"/>
  <c r="S86" i="5"/>
  <c r="S85" i="5"/>
  <c r="S84" i="5"/>
  <c r="B78" i="5" s="1"/>
  <c r="N29" i="5"/>
  <c r="E21" i="7"/>
  <c r="E22" i="7"/>
  <c r="E69" i="7" s="1"/>
  <c r="N30" i="5"/>
  <c r="N14" i="5"/>
  <c r="E49" i="35" s="1"/>
  <c r="N16" i="5"/>
  <c r="E51" i="35" s="1"/>
  <c r="AP149" i="31" l="1"/>
  <c r="U89" i="31"/>
  <c r="U99" i="31" s="1"/>
  <c r="U107" i="31" s="1"/>
  <c r="O201" i="31"/>
  <c r="P201" i="31" s="1"/>
  <c r="Q201" i="31" s="1"/>
  <c r="R201" i="31" s="1"/>
  <c r="S201" i="31" s="1"/>
  <c r="T201" i="31" s="1"/>
  <c r="U201" i="31" s="1"/>
  <c r="V201" i="31" s="1"/>
  <c r="W201" i="31" s="1"/>
  <c r="X201" i="31" s="1"/>
  <c r="Y201" i="31" s="1"/>
  <c r="Z201" i="31" s="1"/>
  <c r="AA201" i="31" s="1"/>
  <c r="AB201" i="31" s="1"/>
  <c r="AC201" i="31" s="1"/>
  <c r="AD201" i="31" s="1"/>
  <c r="AE201" i="31" s="1"/>
  <c r="AF201" i="31" s="1"/>
  <c r="AG201" i="31" s="1"/>
  <c r="AH201" i="31" s="1"/>
  <c r="AI201" i="31" s="1"/>
  <c r="AJ201" i="31" s="1"/>
  <c r="AK201" i="31" s="1"/>
  <c r="AL201" i="31" s="1"/>
  <c r="AM201" i="31" s="1"/>
  <c r="AN201" i="31" s="1"/>
  <c r="AO201" i="31" s="1"/>
  <c r="AP201" i="31" s="1"/>
  <c r="AQ201" i="31" s="1"/>
  <c r="AR201" i="31" s="1"/>
  <c r="AS201" i="31" s="1"/>
  <c r="AT201" i="31" s="1"/>
  <c r="AU201" i="31" s="1"/>
  <c r="AV201" i="31" s="1"/>
  <c r="AW201" i="31" s="1"/>
  <c r="AX201" i="31" s="1"/>
  <c r="F202" i="31" s="1"/>
  <c r="AW206" i="31" s="1"/>
  <c r="M147" i="31"/>
  <c r="U147" i="31"/>
  <c r="P149" i="31"/>
  <c r="P147" i="31"/>
  <c r="N147" i="31"/>
  <c r="M149" i="31"/>
  <c r="AM89" i="31"/>
  <c r="AM99" i="31" s="1"/>
  <c r="AM107" i="31" s="1"/>
  <c r="M99" i="31"/>
  <c r="M107" i="31" s="1"/>
  <c r="M109" i="31" s="1"/>
  <c r="T85" i="31"/>
  <c r="T87" i="31" s="1"/>
  <c r="T89" i="31" s="1"/>
  <c r="T99" i="31" s="1"/>
  <c r="T107" i="31" s="1"/>
  <c r="AF85" i="31"/>
  <c r="AF87" i="31" s="1"/>
  <c r="AF149" i="31" s="1"/>
  <c r="P99" i="31"/>
  <c r="P107" i="31" s="1"/>
  <c r="P109" i="31" s="1"/>
  <c r="W85" i="31"/>
  <c r="W87" i="31" s="1"/>
  <c r="W89" i="31" s="1"/>
  <c r="W99" i="31" s="1"/>
  <c r="W107" i="31" s="1"/>
  <c r="Y147" i="31"/>
  <c r="I158" i="31"/>
  <c r="Y89" i="31"/>
  <c r="Y99" i="31" s="1"/>
  <c r="Y107" i="31" s="1"/>
  <c r="AJ151" i="31"/>
  <c r="AM147" i="31"/>
  <c r="AJ149" i="31"/>
  <c r="AW85" i="31"/>
  <c r="AW87" i="31" s="1"/>
  <c r="AW149" i="31" s="1"/>
  <c r="AH147" i="31"/>
  <c r="AP99" i="31"/>
  <c r="AP107" i="31" s="1"/>
  <c r="AB85" i="31"/>
  <c r="AB87" i="31" s="1"/>
  <c r="AB89" i="31" s="1"/>
  <c r="AB99" i="31" s="1"/>
  <c r="AB107" i="31" s="1"/>
  <c r="AX85" i="31"/>
  <c r="AX87" i="31" s="1"/>
  <c r="AX89" i="31" s="1"/>
  <c r="AX99" i="31" s="1"/>
  <c r="AX107" i="31" s="1"/>
  <c r="N99" i="31"/>
  <c r="N107" i="31" s="1"/>
  <c r="N109" i="31" s="1"/>
  <c r="AJ147" i="31"/>
  <c r="AP147" i="31"/>
  <c r="AD149" i="31"/>
  <c r="AR147" i="31"/>
  <c r="AR89" i="31"/>
  <c r="AR99" i="31" s="1"/>
  <c r="AR107" i="31" s="1"/>
  <c r="AA85" i="31"/>
  <c r="AA87" i="31" s="1"/>
  <c r="AA89" i="31" s="1"/>
  <c r="AA151" i="31" s="1"/>
  <c r="AO89" i="31"/>
  <c r="AO99" i="31" s="1"/>
  <c r="AO107" i="31" s="1"/>
  <c r="AL149" i="31"/>
  <c r="AG147" i="31"/>
  <c r="AN147" i="31"/>
  <c r="AI85" i="31"/>
  <c r="AI87" i="31" s="1"/>
  <c r="AI149" i="31" s="1"/>
  <c r="AQ85" i="31"/>
  <c r="AQ87" i="31" s="1"/>
  <c r="AQ89" i="31" s="1"/>
  <c r="AQ151" i="31" s="1"/>
  <c r="AL99" i="31"/>
  <c r="AL107" i="31" s="1"/>
  <c r="AV89" i="31"/>
  <c r="AV99" i="31" s="1"/>
  <c r="AV107" i="31" s="1"/>
  <c r="AO147" i="31"/>
  <c r="AH89" i="31"/>
  <c r="AH99" i="31" s="1"/>
  <c r="AH107" i="31" s="1"/>
  <c r="AV147" i="31"/>
  <c r="O89" i="31"/>
  <c r="O99" i="31" s="1"/>
  <c r="O107" i="31" s="1"/>
  <c r="O109" i="31" s="1"/>
  <c r="AE85" i="31"/>
  <c r="AE87" i="31" s="1"/>
  <c r="AE89" i="31" s="1"/>
  <c r="AE99" i="31" s="1"/>
  <c r="AE107" i="31" s="1"/>
  <c r="S99" i="31"/>
  <c r="S107" i="31" s="1"/>
  <c r="X85" i="31"/>
  <c r="X87" i="31" s="1"/>
  <c r="X149" i="31" s="1"/>
  <c r="AT85" i="31"/>
  <c r="AT87" i="31" s="1"/>
  <c r="AT149" i="31" s="1"/>
  <c r="L147" i="31"/>
  <c r="S147" i="31"/>
  <c r="L89" i="31"/>
  <c r="L99" i="31" s="1"/>
  <c r="L107" i="31" s="1"/>
  <c r="L109" i="31" s="1"/>
  <c r="Q85" i="31"/>
  <c r="Q87" i="31" s="1"/>
  <c r="Q89" i="31" s="1"/>
  <c r="Q99" i="31" s="1"/>
  <c r="Q107" i="31" s="1"/>
  <c r="Q109" i="31" s="1"/>
  <c r="S149" i="31"/>
  <c r="V85" i="31"/>
  <c r="V87" i="31" s="1"/>
  <c r="V149" i="31" s="1"/>
  <c r="AC149" i="31"/>
  <c r="AN149" i="31"/>
  <c r="I97" i="31"/>
  <c r="O147" i="31"/>
  <c r="AC99" i="31"/>
  <c r="AC107" i="31" s="1"/>
  <c r="AD147" i="31"/>
  <c r="AS89" i="31"/>
  <c r="AS99" i="31" s="1"/>
  <c r="AS107" i="31" s="1"/>
  <c r="K85" i="31"/>
  <c r="K87" i="31" s="1"/>
  <c r="K149" i="31" s="1"/>
  <c r="AS147" i="31"/>
  <c r="AD99" i="31"/>
  <c r="AD107" i="31" s="1"/>
  <c r="N149" i="31"/>
  <c r="R85" i="31"/>
  <c r="R87" i="31" s="1"/>
  <c r="R149" i="31" s="1"/>
  <c r="AC147" i="31"/>
  <c r="AK85" i="31"/>
  <c r="AK87" i="31" s="1"/>
  <c r="AK89" i="31" s="1"/>
  <c r="AK99" i="31" s="1"/>
  <c r="AK107" i="31" s="1"/>
  <c r="I81" i="31"/>
  <c r="I147" i="31" s="1"/>
  <c r="Z85" i="31"/>
  <c r="Z87" i="31" s="1"/>
  <c r="Z89" i="31" s="1"/>
  <c r="Z99" i="31" s="1"/>
  <c r="Z107" i="31" s="1"/>
  <c r="AG99" i="31"/>
  <c r="AG107" i="31" s="1"/>
  <c r="AN99" i="31"/>
  <c r="AN107" i="31" s="1"/>
  <c r="AG149" i="31"/>
  <c r="AU85" i="31"/>
  <c r="AU87" i="31" s="1"/>
  <c r="AU149" i="31" s="1"/>
  <c r="G38" i="35"/>
  <c r="G32" i="35"/>
  <c r="G37" i="35"/>
  <c r="G31" i="35"/>
  <c r="G35" i="35"/>
  <c r="G36" i="35"/>
  <c r="G34" i="35"/>
  <c r="G33" i="35"/>
  <c r="R78" i="5"/>
  <c r="E65" i="35"/>
  <c r="R79" i="5"/>
  <c r="B71" i="35" s="1"/>
  <c r="E66" i="35"/>
  <c r="E68" i="7"/>
  <c r="E33" i="7"/>
  <c r="T149" i="31" l="1"/>
  <c r="U151" i="31"/>
  <c r="AF89" i="31"/>
  <c r="AF151" i="31" s="1"/>
  <c r="T151" i="31"/>
  <c r="AM151" i="31"/>
  <c r="Y151" i="31"/>
  <c r="AB151" i="31"/>
  <c r="W151" i="31"/>
  <c r="W149" i="31"/>
  <c r="AI89" i="31"/>
  <c r="AI99" i="31" s="1"/>
  <c r="AI107" i="31" s="1"/>
  <c r="AE149" i="31"/>
  <c r="AW89" i="31"/>
  <c r="AW151" i="31" s="1"/>
  <c r="AA149" i="31"/>
  <c r="AB149" i="31"/>
  <c r="AE151" i="31"/>
  <c r="AX151" i="31"/>
  <c r="AA99" i="31"/>
  <c r="AA107" i="31" s="1"/>
  <c r="AO151" i="31"/>
  <c r="AX149" i="31"/>
  <c r="AR151" i="31"/>
  <c r="AS151" i="31"/>
  <c r="AT89" i="31"/>
  <c r="AT99" i="31" s="1"/>
  <c r="AT107" i="31" s="1"/>
  <c r="Q151" i="31"/>
  <c r="O151" i="31"/>
  <c r="AQ149" i="31"/>
  <c r="AV151" i="31"/>
  <c r="AQ99" i="31"/>
  <c r="AQ107" i="31" s="1"/>
  <c r="AH151" i="31"/>
  <c r="L151" i="31"/>
  <c r="Z149" i="31"/>
  <c r="X89" i="31"/>
  <c r="X99" i="31" s="1"/>
  <c r="X107" i="31" s="1"/>
  <c r="V89" i="31"/>
  <c r="V99" i="31" s="1"/>
  <c r="V107" i="31" s="1"/>
  <c r="R89" i="31"/>
  <c r="R99" i="31" s="1"/>
  <c r="R107" i="31" s="1"/>
  <c r="R109" i="31" s="1"/>
  <c r="I85" i="31"/>
  <c r="Q149" i="31"/>
  <c r="AK151" i="31"/>
  <c r="I87" i="31"/>
  <c r="I149" i="31" s="1"/>
  <c r="AK149" i="31"/>
  <c r="K89" i="31"/>
  <c r="K99" i="31" s="1"/>
  <c r="K107" i="31" s="1"/>
  <c r="K109" i="31" s="1"/>
  <c r="K110" i="31" s="1"/>
  <c r="L110" i="31" s="1"/>
  <c r="M110" i="31" s="1"/>
  <c r="N110" i="31" s="1"/>
  <c r="O110" i="31" s="1"/>
  <c r="P110" i="31" s="1"/>
  <c r="Q110" i="31" s="1"/>
  <c r="AU89" i="31"/>
  <c r="AU99" i="31" s="1"/>
  <c r="AU107" i="31" s="1"/>
  <c r="Z151" i="31"/>
  <c r="L206" i="31"/>
  <c r="N206" i="31"/>
  <c r="K206" i="31"/>
  <c r="AH206" i="31"/>
  <c r="AR206" i="31"/>
  <c r="AF206" i="31"/>
  <c r="AI206" i="31"/>
  <c r="O206" i="31"/>
  <c r="AN206" i="31"/>
  <c r="R206" i="31"/>
  <c r="P206" i="31"/>
  <c r="W206" i="31"/>
  <c r="AU206" i="31"/>
  <c r="S206" i="31"/>
  <c r="V206" i="31"/>
  <c r="AC206" i="31"/>
  <c r="Z206" i="31"/>
  <c r="AP206" i="31"/>
  <c r="AG206" i="31"/>
  <c r="AO206" i="31"/>
  <c r="AB206" i="31"/>
  <c r="AA206" i="31"/>
  <c r="Q206" i="31"/>
  <c r="M206" i="31"/>
  <c r="AV206" i="31"/>
  <c r="AE206" i="31"/>
  <c r="AJ206" i="31"/>
  <c r="AT206" i="31"/>
  <c r="AD206" i="31"/>
  <c r="AM206" i="31"/>
  <c r="U206" i="31"/>
  <c r="X206" i="31"/>
  <c r="AX206" i="31"/>
  <c r="AL206" i="31"/>
  <c r="AK206" i="31"/>
  <c r="Y206" i="31"/>
  <c r="T206" i="31"/>
  <c r="AS206" i="31"/>
  <c r="AQ206" i="31"/>
  <c r="T98" i="5"/>
  <c r="K1" i="12"/>
  <c r="K125" i="7"/>
  <c r="K78" i="7"/>
  <c r="K10" i="7"/>
  <c r="K1" i="11"/>
  <c r="AF99" i="31" l="1"/>
  <c r="AF107" i="31" s="1"/>
  <c r="AI151" i="31"/>
  <c r="AW99" i="31"/>
  <c r="AW107" i="31" s="1"/>
  <c r="AT151" i="31"/>
  <c r="I89" i="31"/>
  <c r="I151" i="31" s="1"/>
  <c r="K151" i="31"/>
  <c r="X151" i="31"/>
  <c r="R151" i="31"/>
  <c r="V151" i="31"/>
  <c r="AU151" i="31"/>
  <c r="I206" i="31"/>
  <c r="I221" i="12" s="1"/>
  <c r="R110" i="31"/>
  <c r="S109" i="31"/>
  <c r="D28" i="5"/>
  <c r="G12" i="35" s="1"/>
  <c r="G102" i="12"/>
  <c r="B28" i="5"/>
  <c r="E102" i="12"/>
  <c r="L1" i="12"/>
  <c r="L1" i="1"/>
  <c r="L1" i="7"/>
  <c r="L1" i="11"/>
  <c r="U98" i="5"/>
  <c r="L125" i="7"/>
  <c r="L10" i="7"/>
  <c r="L78" i="7"/>
  <c r="K1" i="7"/>
  <c r="E757" i="1"/>
  <c r="E770" i="1" s="1"/>
  <c r="I99" i="31" l="1"/>
  <c r="I107" i="31" s="1"/>
  <c r="E20" i="7"/>
  <c r="S110" i="31"/>
  <c r="T109" i="31"/>
  <c r="M1" i="12"/>
  <c r="M1" i="1"/>
  <c r="M1" i="7"/>
  <c r="M1" i="11"/>
  <c r="V98" i="5"/>
  <c r="M125" i="7"/>
  <c r="H227" i="12"/>
  <c r="M10" i="7"/>
  <c r="M78" i="7"/>
  <c r="N28" i="5"/>
  <c r="T110" i="31" l="1"/>
  <c r="U109" i="31"/>
  <c r="R77" i="5"/>
  <c r="E64" i="35"/>
  <c r="E276" i="12"/>
  <c r="E175" i="12"/>
  <c r="N1" i="12"/>
  <c r="N1" i="1"/>
  <c r="N1" i="7"/>
  <c r="N1" i="11"/>
  <c r="W98" i="5"/>
  <c r="N125" i="7"/>
  <c r="E126" i="12"/>
  <c r="E139" i="12" s="1"/>
  <c r="E52" i="12"/>
  <c r="G38" i="12"/>
  <c r="N10" i="7"/>
  <c r="N78" i="7"/>
  <c r="E214" i="12" l="1"/>
  <c r="E227" i="12" s="1"/>
  <c r="E240" i="12" s="1"/>
  <c r="U110" i="31"/>
  <c r="V109" i="31"/>
  <c r="O1" i="12"/>
  <c r="O1" i="1"/>
  <c r="O1" i="11"/>
  <c r="O1" i="7"/>
  <c r="X98" i="5"/>
  <c r="O125" i="7"/>
  <c r="E181" i="12"/>
  <c r="E194" i="12" s="1"/>
  <c r="E158" i="12"/>
  <c r="O78" i="7"/>
  <c r="O10" i="7"/>
  <c r="R183" i="5" l="1"/>
  <c r="E282" i="12"/>
  <c r="E295" i="12" s="1"/>
  <c r="V110" i="31"/>
  <c r="W109" i="31"/>
  <c r="P1" i="12"/>
  <c r="P1" i="1"/>
  <c r="P1" i="11"/>
  <c r="P1" i="7"/>
  <c r="Y98" i="5"/>
  <c r="P125" i="7"/>
  <c r="P10" i="7"/>
  <c r="P78" i="7"/>
  <c r="E733" i="1"/>
  <c r="E259" i="12" l="1"/>
  <c r="W110" i="31"/>
  <c r="X109" i="31"/>
  <c r="E749" i="1"/>
  <c r="E762" i="1" s="1"/>
  <c r="Q1" i="12"/>
  <c r="Q1" i="1"/>
  <c r="Q1" i="7"/>
  <c r="Q1" i="11"/>
  <c r="Z98" i="5"/>
  <c r="Q125" i="7"/>
  <c r="Q10" i="7"/>
  <c r="Q78" i="7"/>
  <c r="F474" i="1"/>
  <c r="E782" i="1"/>
  <c r="E783" i="1"/>
  <c r="E779" i="1"/>
  <c r="E778" i="1"/>
  <c r="E739" i="1"/>
  <c r="E755" i="1" s="1"/>
  <c r="E768" i="1" s="1"/>
  <c r="E738" i="1"/>
  <c r="E736" i="1"/>
  <c r="E734" i="1"/>
  <c r="G724" i="1"/>
  <c r="E724" i="1"/>
  <c r="E595" i="1"/>
  <c r="G474" i="1"/>
  <c r="E474" i="1"/>
  <c r="E459" i="1"/>
  <c r="E501" i="1" s="1"/>
  <c r="G437" i="1"/>
  <c r="E433" i="1"/>
  <c r="E432" i="1"/>
  <c r="K425" i="1"/>
  <c r="E427" i="1"/>
  <c r="K407" i="1"/>
  <c r="G414" i="1"/>
  <c r="E414" i="1"/>
  <c r="G418" i="1"/>
  <c r="E418" i="1"/>
  <c r="E18" i="7" l="1"/>
  <c r="E66" i="7" s="1"/>
  <c r="X110" i="31"/>
  <c r="Y109" i="31"/>
  <c r="AX475" i="1"/>
  <c r="AT475" i="1"/>
  <c r="AP475" i="1"/>
  <c r="AL475" i="1"/>
  <c r="AH475" i="1"/>
  <c r="AD475" i="1"/>
  <c r="Z475" i="1"/>
  <c r="V475" i="1"/>
  <c r="R475" i="1"/>
  <c r="N475" i="1"/>
  <c r="AR475" i="1"/>
  <c r="AN475" i="1"/>
  <c r="AF475" i="1"/>
  <c r="X475" i="1"/>
  <c r="P475" i="1"/>
  <c r="AU475" i="1"/>
  <c r="AI475" i="1"/>
  <c r="AA475" i="1"/>
  <c r="S475" i="1"/>
  <c r="K475" i="1"/>
  <c r="AW475" i="1"/>
  <c r="AS475" i="1"/>
  <c r="AO475" i="1"/>
  <c r="AK475" i="1"/>
  <c r="AG475" i="1"/>
  <c r="AC475" i="1"/>
  <c r="Y475" i="1"/>
  <c r="U475" i="1"/>
  <c r="Q475" i="1"/>
  <c r="M475" i="1"/>
  <c r="AV475" i="1"/>
  <c r="AJ475" i="1"/>
  <c r="AB475" i="1"/>
  <c r="T475" i="1"/>
  <c r="L475" i="1"/>
  <c r="AQ475" i="1"/>
  <c r="AM475" i="1"/>
  <c r="AE475" i="1"/>
  <c r="W475" i="1"/>
  <c r="O475" i="1"/>
  <c r="E12" i="7"/>
  <c r="E60" i="7" s="1"/>
  <c r="N20" i="5"/>
  <c r="R71" i="5" s="1"/>
  <c r="E750" i="1"/>
  <c r="E763" i="1" s="1"/>
  <c r="E752" i="1"/>
  <c r="E765" i="1" s="1"/>
  <c r="E754" i="1"/>
  <c r="E767" i="1" s="1"/>
  <c r="R1" i="12"/>
  <c r="R1" i="1"/>
  <c r="R1" i="7"/>
  <c r="R1" i="11"/>
  <c r="AA98" i="5"/>
  <c r="R125" i="7"/>
  <c r="H230" i="12"/>
  <c r="H231" i="12"/>
  <c r="H263" i="12" s="1"/>
  <c r="H229" i="12"/>
  <c r="R10" i="7"/>
  <c r="R78" i="7"/>
  <c r="N26" i="5"/>
  <c r="G377" i="1"/>
  <c r="E377" i="1"/>
  <c r="E462" i="1"/>
  <c r="E500" i="1" s="1"/>
  <c r="E594" i="1"/>
  <c r="E330" i="1"/>
  <c r="E329" i="1"/>
  <c r="E334" i="1" s="1"/>
  <c r="G322" i="1"/>
  <c r="E322" i="1"/>
  <c r="E321" i="1"/>
  <c r="G311" i="1"/>
  <c r="G312" i="1"/>
  <c r="G309" i="1"/>
  <c r="K301" i="1"/>
  <c r="G310" i="1"/>
  <c r="E302" i="1"/>
  <c r="E310" i="1" s="1"/>
  <c r="G287" i="1"/>
  <c r="E287" i="1"/>
  <c r="E31" i="7" l="1"/>
  <c r="E318" i="1"/>
  <c r="E13" i="7"/>
  <c r="E61" i="7" s="1"/>
  <c r="E17" i="7"/>
  <c r="E30" i="7" s="1"/>
  <c r="Y110" i="31"/>
  <c r="Z109" i="31"/>
  <c r="E25" i="7"/>
  <c r="N23" i="5"/>
  <c r="R72" i="5" s="1"/>
  <c r="E58" i="35"/>
  <c r="R75" i="5"/>
  <c r="E62" i="35"/>
  <c r="N25" i="5"/>
  <c r="N21" i="5"/>
  <c r="E15" i="7"/>
  <c r="E375" i="1"/>
  <c r="E381" i="1"/>
  <c r="S1" i="12"/>
  <c r="S1" i="1"/>
  <c r="S1" i="11"/>
  <c r="S1" i="7"/>
  <c r="AB98" i="5"/>
  <c r="S125" i="7"/>
  <c r="E129" i="12"/>
  <c r="E142" i="12" s="1"/>
  <c r="E50" i="12"/>
  <c r="E128" i="12"/>
  <c r="E141" i="12" s="1"/>
  <c r="E49" i="12"/>
  <c r="G41" i="12"/>
  <c r="G58" i="12"/>
  <c r="G40" i="12"/>
  <c r="S78" i="7"/>
  <c r="S10" i="7"/>
  <c r="E408" i="1"/>
  <c r="E420" i="1"/>
  <c r="F322" i="1"/>
  <c r="F724" i="1"/>
  <c r="E216" i="12" l="1"/>
  <c r="E229" i="12" s="1"/>
  <c r="E242" i="12" s="1"/>
  <c r="E217" i="12"/>
  <c r="E230" i="12" s="1"/>
  <c r="E243" i="12" s="1"/>
  <c r="E65" i="7"/>
  <c r="E26" i="7"/>
  <c r="Z110" i="31"/>
  <c r="AA109" i="31"/>
  <c r="E59" i="35"/>
  <c r="R74" i="5"/>
  <c r="E61" i="35"/>
  <c r="R69" i="5"/>
  <c r="E57" i="35"/>
  <c r="E28" i="7"/>
  <c r="E63" i="7"/>
  <c r="T1" i="12"/>
  <c r="T1" i="1"/>
  <c r="T1" i="11"/>
  <c r="T1" i="7"/>
  <c r="AC98" i="5"/>
  <c r="T125" i="7"/>
  <c r="E155" i="12"/>
  <c r="E183" i="12"/>
  <c r="E196" i="12" s="1"/>
  <c r="E164" i="12"/>
  <c r="E184" i="12"/>
  <c r="E197" i="12" s="1"/>
  <c r="E156" i="12"/>
  <c r="T10" i="7"/>
  <c r="T78" i="7"/>
  <c r="R185" i="5" l="1"/>
  <c r="R186" i="5"/>
  <c r="E285" i="12"/>
  <c r="E298" i="12" s="1"/>
  <c r="E256" i="12"/>
  <c r="AA110" i="31"/>
  <c r="AB109" i="31"/>
  <c r="U1" i="12"/>
  <c r="U1" i="1"/>
  <c r="U1" i="7"/>
  <c r="U1" i="11"/>
  <c r="AD98" i="5"/>
  <c r="U125" i="7"/>
  <c r="U10" i="7"/>
  <c r="U78" i="7"/>
  <c r="E257" i="12" l="1"/>
  <c r="E284" i="12"/>
  <c r="E297" i="12" s="1"/>
  <c r="AB110" i="31"/>
  <c r="AC109" i="31"/>
  <c r="V1" i="12"/>
  <c r="V1" i="1"/>
  <c r="V1" i="7"/>
  <c r="V1" i="11"/>
  <c r="AE98" i="5"/>
  <c r="V125" i="7"/>
  <c r="V10" i="7"/>
  <c r="V78" i="7"/>
  <c r="E264" i="1"/>
  <c r="E263" i="1"/>
  <c r="G166" i="1"/>
  <c r="E166" i="1"/>
  <c r="E144" i="1"/>
  <c r="G179" i="1"/>
  <c r="G257" i="1" s="1"/>
  <c r="E128" i="1"/>
  <c r="G90" i="1"/>
  <c r="E90" i="1"/>
  <c r="K106" i="1"/>
  <c r="F88" i="1"/>
  <c r="G88" i="1"/>
  <c r="E88" i="1"/>
  <c r="E81" i="1"/>
  <c r="G80" i="1"/>
  <c r="E80" i="1"/>
  <c r="G74" i="1"/>
  <c r="AC110" i="31" l="1"/>
  <c r="AD109" i="31"/>
  <c r="K96" i="1"/>
  <c r="K100" i="1"/>
  <c r="W1" i="12"/>
  <c r="W1" i="1"/>
  <c r="W1" i="11"/>
  <c r="W1" i="7"/>
  <c r="AF98" i="5"/>
  <c r="W125" i="7"/>
  <c r="W78" i="7"/>
  <c r="W10" i="7"/>
  <c r="F287" i="1"/>
  <c r="F166" i="1"/>
  <c r="AD110" i="31" l="1"/>
  <c r="AE109" i="31"/>
  <c r="E490" i="1"/>
  <c r="E372" i="1"/>
  <c r="X1" i="12"/>
  <c r="X1" i="1"/>
  <c r="X1" i="7"/>
  <c r="X1" i="11"/>
  <c r="AG98" i="5"/>
  <c r="X125" i="7"/>
  <c r="X10" i="7"/>
  <c r="X78" i="7"/>
  <c r="F418" i="1"/>
  <c r="F414" i="1"/>
  <c r="G78" i="1"/>
  <c r="AF109" i="31" l="1"/>
  <c r="AE110" i="31"/>
  <c r="AE164" i="1"/>
  <c r="AE167" i="1" s="1"/>
  <c r="AE171" i="1" s="1"/>
  <c r="AF164" i="1"/>
  <c r="AF167" i="1" s="1"/>
  <c r="AF171" i="1" s="1"/>
  <c r="Y1" i="12"/>
  <c r="Y1" i="1"/>
  <c r="Y1" i="7"/>
  <c r="Y1" i="11"/>
  <c r="AH98" i="5"/>
  <c r="Y125" i="7"/>
  <c r="Y10" i="7"/>
  <c r="Y78" i="7"/>
  <c r="E8" i="12"/>
  <c r="E73" i="12" s="1"/>
  <c r="E86" i="12" s="1"/>
  <c r="AF110" i="31" l="1"/>
  <c r="AG109" i="31"/>
  <c r="Z1" i="12"/>
  <c r="Z1" i="1"/>
  <c r="Z1" i="7"/>
  <c r="Z1" i="11"/>
  <c r="AI98" i="5"/>
  <c r="Z125" i="7"/>
  <c r="E107" i="12"/>
  <c r="Z10" i="7"/>
  <c r="Z78" i="7"/>
  <c r="N5" i="5"/>
  <c r="E41" i="35" s="1"/>
  <c r="E141" i="1"/>
  <c r="E10" i="12"/>
  <c r="E75" i="12" s="1"/>
  <c r="E88" i="12" s="1"/>
  <c r="AG110" i="31" l="1"/>
  <c r="AH109" i="31"/>
  <c r="AG164" i="1"/>
  <c r="AG167" i="1" s="1"/>
  <c r="AG171" i="1" s="1"/>
  <c r="F75" i="7"/>
  <c r="AA1" i="12"/>
  <c r="AA1" i="1"/>
  <c r="AA1" i="11"/>
  <c r="AA1" i="7"/>
  <c r="AJ98" i="5"/>
  <c r="AA125" i="7"/>
  <c r="E109" i="12"/>
  <c r="AA78" i="7"/>
  <c r="AA10" i="7"/>
  <c r="N7" i="5"/>
  <c r="E43" i="35" s="1"/>
  <c r="E16" i="12"/>
  <c r="E81" i="12" s="1"/>
  <c r="E94" i="12" s="1"/>
  <c r="E142" i="1"/>
  <c r="E179" i="1" s="1"/>
  <c r="E9" i="12"/>
  <c r="E74" i="12" s="1"/>
  <c r="E87" i="12" s="1"/>
  <c r="K1" i="6"/>
  <c r="K1" i="1"/>
  <c r="AH110" i="31" l="1"/>
  <c r="AI109" i="31"/>
  <c r="AH164" i="1"/>
  <c r="AH167" i="1" s="1"/>
  <c r="AH171" i="1" s="1"/>
  <c r="E257" i="1"/>
  <c r="E12" i="12"/>
  <c r="E77" i="12" s="1"/>
  <c r="E90" i="12" s="1"/>
  <c r="E15" i="12"/>
  <c r="E80" i="12" s="1"/>
  <c r="E93" i="12" s="1"/>
  <c r="E14" i="12"/>
  <c r="E79" i="12" s="1"/>
  <c r="E92" i="12" s="1"/>
  <c r="E13" i="12"/>
  <c r="E78" i="12" s="1"/>
  <c r="E91" i="12" s="1"/>
  <c r="AB1" i="12"/>
  <c r="AB1" i="1"/>
  <c r="AB1" i="11"/>
  <c r="AB1" i="7"/>
  <c r="AK98" i="5"/>
  <c r="AB125" i="7"/>
  <c r="E108" i="12"/>
  <c r="E115" i="12"/>
  <c r="AB10" i="7"/>
  <c r="AB78" i="7"/>
  <c r="N6" i="5"/>
  <c r="E42" i="35" s="1"/>
  <c r="N13" i="5"/>
  <c r="E48" i="35" s="1"/>
  <c r="E259" i="1"/>
  <c r="E285" i="1"/>
  <c r="E286" i="1" s="1"/>
  <c r="E260" i="1"/>
  <c r="E261" i="1"/>
  <c r="E77" i="1"/>
  <c r="E78" i="1" s="1"/>
  <c r="E262" i="1"/>
  <c r="L1" i="6"/>
  <c r="N11" i="5" l="1"/>
  <c r="E46" i="35" s="1"/>
  <c r="E112" i="12"/>
  <c r="E129" i="7"/>
  <c r="E111" i="12"/>
  <c r="AI110" i="31"/>
  <c r="AJ109" i="31"/>
  <c r="AI164" i="1"/>
  <c r="AI167" i="1" s="1"/>
  <c r="AI171" i="1" s="1"/>
  <c r="N9" i="5"/>
  <c r="E44" i="35" s="1"/>
  <c r="N12" i="5"/>
  <c r="E47" i="35" s="1"/>
  <c r="E114" i="12"/>
  <c r="E113" i="12"/>
  <c r="N10" i="5"/>
  <c r="E45" i="35" s="1"/>
  <c r="AC1" i="12"/>
  <c r="AC1" i="1"/>
  <c r="AC1" i="7"/>
  <c r="AC1" i="11"/>
  <c r="AL98" i="5"/>
  <c r="AC125" i="7"/>
  <c r="AC10" i="7"/>
  <c r="AC78" i="7"/>
  <c r="M1" i="6"/>
  <c r="AJ110" i="31" l="1"/>
  <c r="AK109" i="31"/>
  <c r="AJ164" i="1"/>
  <c r="AJ167" i="1" s="1"/>
  <c r="AJ171" i="1" s="1"/>
  <c r="AM98" i="5"/>
  <c r="AD1" i="12"/>
  <c r="AD1" i="1"/>
  <c r="AD1" i="7"/>
  <c r="AD78" i="7"/>
  <c r="AD10" i="7"/>
  <c r="AD1" i="11"/>
  <c r="AD1" i="6"/>
  <c r="AD125" i="7"/>
  <c r="N1" i="6"/>
  <c r="AK110" i="31" l="1"/>
  <c r="AL109" i="31"/>
  <c r="AK164" i="1"/>
  <c r="AK167" i="1" s="1"/>
  <c r="AK171" i="1" s="1"/>
  <c r="E371" i="1"/>
  <c r="E458" i="1"/>
  <c r="AN98" i="5"/>
  <c r="AE1" i="12"/>
  <c r="AE1" i="1"/>
  <c r="AE10" i="7"/>
  <c r="AE1" i="11"/>
  <c r="AE1" i="7"/>
  <c r="AE78" i="7"/>
  <c r="AE1" i="6"/>
  <c r="AE125" i="7"/>
  <c r="O1" i="6"/>
  <c r="AM109" i="31" l="1"/>
  <c r="AL110" i="31"/>
  <c r="AL164" i="1"/>
  <c r="AL167" i="1" s="1"/>
  <c r="AL171" i="1" s="1"/>
  <c r="AO98" i="5"/>
  <c r="AF1" i="12"/>
  <c r="AF1" i="1"/>
  <c r="AF10" i="7"/>
  <c r="AF1" i="6"/>
  <c r="AF125" i="7"/>
  <c r="AF1" i="11"/>
  <c r="AF1" i="7"/>
  <c r="AF78" i="7"/>
  <c r="P1" i="6"/>
  <c r="AM110" i="31" l="1"/>
  <c r="AN109" i="31"/>
  <c r="AM164" i="1"/>
  <c r="AM167" i="1" s="1"/>
  <c r="AM171" i="1" s="1"/>
  <c r="AG1" i="12"/>
  <c r="AP98" i="5"/>
  <c r="AG1" i="1"/>
  <c r="AG1" i="6"/>
  <c r="AG125" i="7"/>
  <c r="AG1" i="7"/>
  <c r="AG78" i="7"/>
  <c r="AG10" i="7"/>
  <c r="AG1" i="11"/>
  <c r="Q1" i="6"/>
  <c r="AN110" i="31" l="1"/>
  <c r="AO109" i="31"/>
  <c r="AN164" i="1"/>
  <c r="AN167" i="1" s="1"/>
  <c r="AN171" i="1" s="1"/>
  <c r="AO164" i="1"/>
  <c r="AO167" i="1" s="1"/>
  <c r="AO171" i="1" s="1"/>
  <c r="AH1" i="12"/>
  <c r="AQ98" i="5"/>
  <c r="AH1" i="1"/>
  <c r="AH1" i="7"/>
  <c r="AH78" i="7"/>
  <c r="AH1" i="6"/>
  <c r="AH10" i="7"/>
  <c r="AH1" i="11"/>
  <c r="AH125" i="7"/>
  <c r="R1" i="6"/>
  <c r="AO110" i="31" l="1"/>
  <c r="AP109" i="31"/>
  <c r="AQ109" i="31"/>
  <c r="AR98" i="5"/>
  <c r="AI1" i="12"/>
  <c r="AI1" i="1"/>
  <c r="AI10" i="7"/>
  <c r="AI1" i="11"/>
  <c r="AI1" i="7"/>
  <c r="AI78" i="7"/>
  <c r="AI1" i="6"/>
  <c r="AI125" i="7"/>
  <c r="S1" i="6"/>
  <c r="AP110" i="31" l="1"/>
  <c r="AQ110" i="31" s="1"/>
  <c r="AQ164" i="1"/>
  <c r="AQ167" i="1" s="1"/>
  <c r="AQ171" i="1" s="1"/>
  <c r="AP164" i="1"/>
  <c r="AP167" i="1" s="1"/>
  <c r="AP171" i="1" s="1"/>
  <c r="AS98" i="5"/>
  <c r="AJ1" i="12"/>
  <c r="AJ1" i="1"/>
  <c r="AJ1" i="6"/>
  <c r="AJ125" i="7"/>
  <c r="AJ10" i="7"/>
  <c r="AJ1" i="11"/>
  <c r="AJ1" i="7"/>
  <c r="AJ78" i="7"/>
  <c r="T1" i="6"/>
  <c r="AR109" i="31" l="1"/>
  <c r="AR110" i="31" s="1"/>
  <c r="AR164" i="1"/>
  <c r="AR167" i="1" s="1"/>
  <c r="AR171" i="1" s="1"/>
  <c r="AK1" i="12"/>
  <c r="AT98" i="5"/>
  <c r="AK1" i="1"/>
  <c r="AK1" i="6"/>
  <c r="AK125" i="7"/>
  <c r="AK1" i="7"/>
  <c r="AK78" i="7"/>
  <c r="AK10" i="7"/>
  <c r="AK1" i="11"/>
  <c r="U1" i="6"/>
  <c r="AS109" i="31" l="1"/>
  <c r="AS110" i="31" s="1"/>
  <c r="AS164" i="1"/>
  <c r="AS167" i="1" s="1"/>
  <c r="AS171" i="1" s="1"/>
  <c r="AU98" i="5"/>
  <c r="AL1" i="12"/>
  <c r="AL1" i="1"/>
  <c r="AL1" i="7"/>
  <c r="AL78" i="7"/>
  <c r="AL10" i="7"/>
  <c r="AL1" i="11"/>
  <c r="AL125" i="7"/>
  <c r="AL1" i="6"/>
  <c r="V1" i="6"/>
  <c r="AT109" i="31" l="1"/>
  <c r="AT110" i="31" s="1"/>
  <c r="AT164" i="1"/>
  <c r="AT167" i="1" s="1"/>
  <c r="AT171" i="1" s="1"/>
  <c r="AV98" i="5"/>
  <c r="AM1" i="12"/>
  <c r="AM1" i="1"/>
  <c r="AM10" i="7"/>
  <c r="AM1" i="11"/>
  <c r="AM1" i="6"/>
  <c r="AM125" i="7"/>
  <c r="AM1" i="7"/>
  <c r="AM78" i="7"/>
  <c r="W1" i="6"/>
  <c r="AU109" i="31" l="1"/>
  <c r="AU110" i="31" s="1"/>
  <c r="AU164" i="1"/>
  <c r="AU167" i="1" s="1"/>
  <c r="AU171" i="1" s="1"/>
  <c r="AW98" i="5"/>
  <c r="AN1" i="12"/>
  <c r="AN1" i="1"/>
  <c r="AN1" i="6"/>
  <c r="AN125" i="7"/>
  <c r="AN1" i="7"/>
  <c r="AN78" i="7"/>
  <c r="AN10" i="7"/>
  <c r="AN1" i="11"/>
  <c r="X1" i="6"/>
  <c r="AV109" i="31" l="1"/>
  <c r="AV110" i="31" s="1"/>
  <c r="AW109" i="31"/>
  <c r="AV164" i="1"/>
  <c r="AV167" i="1" s="1"/>
  <c r="AV171" i="1" s="1"/>
  <c r="AO1" i="12"/>
  <c r="AX98" i="5"/>
  <c r="AO1" i="1"/>
  <c r="AO1" i="6"/>
  <c r="AO125" i="7"/>
  <c r="AO1" i="7"/>
  <c r="AO78" i="7"/>
  <c r="AO10" i="7"/>
  <c r="AO1" i="11"/>
  <c r="Y1" i="6"/>
  <c r="AW110" i="31" l="1"/>
  <c r="AW164" i="1"/>
  <c r="AW167" i="1" s="1"/>
  <c r="AW171" i="1" s="1"/>
  <c r="AP1" i="12"/>
  <c r="AY98" i="5"/>
  <c r="AP1" i="1"/>
  <c r="AP1" i="7"/>
  <c r="AP78" i="7"/>
  <c r="AP10" i="7"/>
  <c r="AP1" i="11"/>
  <c r="AP1" i="6"/>
  <c r="AP125" i="7"/>
  <c r="Z1" i="6"/>
  <c r="AX109" i="31" l="1"/>
  <c r="I109" i="31" s="1"/>
  <c r="AX164" i="1"/>
  <c r="AX167" i="1" s="1"/>
  <c r="AX171" i="1" s="1"/>
  <c r="AZ98" i="5"/>
  <c r="AQ1" i="12"/>
  <c r="AQ1" i="1"/>
  <c r="AQ10" i="7"/>
  <c r="AQ1" i="11"/>
  <c r="AQ1" i="7"/>
  <c r="AQ78" i="7"/>
  <c r="AQ1" i="6"/>
  <c r="AQ125" i="7"/>
  <c r="AA1" i="6"/>
  <c r="AX110" i="31" l="1"/>
  <c r="F111" i="31" s="1"/>
  <c r="BA98" i="5"/>
  <c r="AR1" i="12"/>
  <c r="AR1" i="1"/>
  <c r="AR10" i="7"/>
  <c r="AR1" i="11"/>
  <c r="AR1" i="6"/>
  <c r="AR125" i="7"/>
  <c r="AR1" i="7"/>
  <c r="AR78" i="7"/>
  <c r="AB1" i="6"/>
  <c r="K113" i="31" l="1"/>
  <c r="AX113" i="31"/>
  <c r="AT113" i="31"/>
  <c r="AP113" i="31"/>
  <c r="AL113" i="31"/>
  <c r="AH113" i="31"/>
  <c r="AD113" i="31"/>
  <c r="Z113" i="31"/>
  <c r="V113" i="31"/>
  <c r="R113" i="31"/>
  <c r="N113" i="31"/>
  <c r="AW113" i="31"/>
  <c r="AS113" i="31"/>
  <c r="AO113" i="31"/>
  <c r="AK113" i="31"/>
  <c r="AG113" i="31"/>
  <c r="AC113" i="31"/>
  <c r="Y113" i="31"/>
  <c r="U113" i="31"/>
  <c r="Q113" i="31"/>
  <c r="M113" i="31"/>
  <c r="AV113" i="31"/>
  <c r="AR113" i="31"/>
  <c r="AN113" i="31"/>
  <c r="AJ113" i="31"/>
  <c r="AF113" i="31"/>
  <c r="AB113" i="31"/>
  <c r="X113" i="31"/>
  <c r="T113" i="31"/>
  <c r="P113" i="31"/>
  <c r="L113" i="31"/>
  <c r="AU113" i="31"/>
  <c r="AQ113" i="31"/>
  <c r="AM113" i="31"/>
  <c r="AI113" i="31"/>
  <c r="AE113" i="31"/>
  <c r="AA113" i="31"/>
  <c r="W113" i="31"/>
  <c r="S113" i="31"/>
  <c r="O113" i="31"/>
  <c r="AS1" i="12"/>
  <c r="BB98" i="5"/>
  <c r="AS1" i="1"/>
  <c r="AS1" i="6"/>
  <c r="AS125" i="7"/>
  <c r="AS1" i="7"/>
  <c r="AS78" i="7"/>
  <c r="AS10" i="7"/>
  <c r="AS1" i="11"/>
  <c r="AC1" i="6"/>
  <c r="F115" i="31" l="1"/>
  <c r="F116" i="31" s="1"/>
  <c r="BC98" i="5"/>
  <c r="AT1" i="12"/>
  <c r="AT1" i="1"/>
  <c r="AT1" i="7"/>
  <c r="AT78" i="7"/>
  <c r="AT125" i="7"/>
  <c r="AT10" i="7"/>
  <c r="AT1" i="11"/>
  <c r="AT1" i="6"/>
  <c r="F132" i="31" l="1"/>
  <c r="F614" i="1"/>
  <c r="K120" i="31"/>
  <c r="AX120" i="31"/>
  <c r="AT120" i="31"/>
  <c r="AP120" i="31"/>
  <c r="AL120" i="31"/>
  <c r="AH120" i="31"/>
  <c r="AD120" i="31"/>
  <c r="Z120" i="31"/>
  <c r="V120" i="31"/>
  <c r="R120" i="31"/>
  <c r="N120" i="31"/>
  <c r="AM120" i="31"/>
  <c r="AA120" i="31"/>
  <c r="AW120" i="31"/>
  <c r="AS120" i="31"/>
  <c r="AO120" i="31"/>
  <c r="AK120" i="31"/>
  <c r="AG120" i="31"/>
  <c r="AC120" i="31"/>
  <c r="Y120" i="31"/>
  <c r="U120" i="31"/>
  <c r="Q120" i="31"/>
  <c r="M120" i="31"/>
  <c r="AQ120" i="31"/>
  <c r="AI120" i="31"/>
  <c r="S120" i="31"/>
  <c r="AV120" i="31"/>
  <c r="AR120" i="31"/>
  <c r="AN120" i="31"/>
  <c r="AJ120" i="31"/>
  <c r="AF120" i="31"/>
  <c r="AB120" i="31"/>
  <c r="X120" i="31"/>
  <c r="T120" i="31"/>
  <c r="P120" i="31"/>
  <c r="L120" i="31"/>
  <c r="AU120" i="31"/>
  <c r="AE120" i="31"/>
  <c r="W120" i="31"/>
  <c r="O120" i="31"/>
  <c r="BD98" i="5"/>
  <c r="AU1" i="12"/>
  <c r="AU1" i="1"/>
  <c r="AU10" i="7"/>
  <c r="AU1" i="11"/>
  <c r="AU78" i="7"/>
  <c r="AU1" i="7"/>
  <c r="AU1" i="6"/>
  <c r="AU125" i="7"/>
  <c r="AB140" i="31" l="1"/>
  <c r="AB143" i="31" s="1"/>
  <c r="AB161" i="31"/>
  <c r="AQ140" i="31"/>
  <c r="AQ143" i="31" s="1"/>
  <c r="AQ161" i="31"/>
  <c r="Y140" i="31"/>
  <c r="Y143" i="31" s="1"/>
  <c r="Y161" i="31"/>
  <c r="AO140" i="31"/>
  <c r="AO143" i="31" s="1"/>
  <c r="AO161" i="31"/>
  <c r="AM140" i="31"/>
  <c r="AM143" i="31" s="1"/>
  <c r="AM161" i="31"/>
  <c r="Z140" i="31"/>
  <c r="Z143" i="31" s="1"/>
  <c r="Z161" i="31"/>
  <c r="AP140" i="31"/>
  <c r="AP143" i="31" s="1"/>
  <c r="AP161" i="31"/>
  <c r="O140" i="31"/>
  <c r="O143" i="31" s="1"/>
  <c r="O161" i="31"/>
  <c r="AR140" i="31"/>
  <c r="AR143" i="31" s="1"/>
  <c r="AR161" i="31"/>
  <c r="W140" i="31"/>
  <c r="W143" i="31" s="1"/>
  <c r="W161" i="31"/>
  <c r="P140" i="31"/>
  <c r="P143" i="31" s="1"/>
  <c r="P161" i="31"/>
  <c r="AF140" i="31"/>
  <c r="AF143" i="31" s="1"/>
  <c r="AF161" i="31"/>
  <c r="AV140" i="31"/>
  <c r="AV143" i="31" s="1"/>
  <c r="AV161" i="31"/>
  <c r="M140" i="31"/>
  <c r="M143" i="31" s="1"/>
  <c r="M161" i="31"/>
  <c r="AC140" i="31"/>
  <c r="AC143" i="31" s="1"/>
  <c r="AC161" i="31"/>
  <c r="AS140" i="31"/>
  <c r="AS143" i="31" s="1"/>
  <c r="AS161" i="31"/>
  <c r="N140" i="31"/>
  <c r="N143" i="31" s="1"/>
  <c r="N161" i="31"/>
  <c r="AD140" i="31"/>
  <c r="AD143" i="31" s="1"/>
  <c r="AD161" i="31"/>
  <c r="AT140" i="31"/>
  <c r="AT143" i="31" s="1"/>
  <c r="AT161" i="31"/>
  <c r="T140" i="31"/>
  <c r="T143" i="31" s="1"/>
  <c r="T161" i="31"/>
  <c r="S140" i="31"/>
  <c r="S143" i="31" s="1"/>
  <c r="S161" i="31"/>
  <c r="Q140" i="31"/>
  <c r="Q143" i="31" s="1"/>
  <c r="Q161" i="31"/>
  <c r="AG140" i="31"/>
  <c r="AG143" i="31" s="1"/>
  <c r="AG161" i="31"/>
  <c r="AW140" i="31"/>
  <c r="AW143" i="31" s="1"/>
  <c r="AW161" i="31"/>
  <c r="R140" i="31"/>
  <c r="R143" i="31" s="1"/>
  <c r="R161" i="31"/>
  <c r="AH140" i="31"/>
  <c r="AH143" i="31" s="1"/>
  <c r="AH161" i="31"/>
  <c r="AX140" i="31"/>
  <c r="AX143" i="31" s="1"/>
  <c r="AX161" i="31"/>
  <c r="L140" i="31"/>
  <c r="L143" i="31" s="1"/>
  <c r="L161" i="31"/>
  <c r="AE140" i="31"/>
  <c r="AE143" i="31" s="1"/>
  <c r="AE161" i="31"/>
  <c r="AJ140" i="31"/>
  <c r="AJ143" i="31" s="1"/>
  <c r="AJ161" i="31"/>
  <c r="AU140" i="31"/>
  <c r="AU143" i="31" s="1"/>
  <c r="AU161" i="31"/>
  <c r="X140" i="31"/>
  <c r="X143" i="31" s="1"/>
  <c r="X161" i="31"/>
  <c r="AN140" i="31"/>
  <c r="AN143" i="31" s="1"/>
  <c r="AN161" i="31"/>
  <c r="AI140" i="31"/>
  <c r="AI143" i="31" s="1"/>
  <c r="AI161" i="31"/>
  <c r="U140" i="31"/>
  <c r="U143" i="31" s="1"/>
  <c r="U161" i="31"/>
  <c r="AK140" i="31"/>
  <c r="AK143" i="31" s="1"/>
  <c r="AK161" i="31"/>
  <c r="AA140" i="31"/>
  <c r="AA143" i="31" s="1"/>
  <c r="AA161" i="31"/>
  <c r="V140" i="31"/>
  <c r="V143" i="31" s="1"/>
  <c r="V161" i="31"/>
  <c r="AL140" i="31"/>
  <c r="AL143" i="31" s="1"/>
  <c r="AL161" i="31"/>
  <c r="K140" i="31"/>
  <c r="K143" i="31" s="1"/>
  <c r="K161" i="31"/>
  <c r="O125" i="31"/>
  <c r="O134" i="31" s="1"/>
  <c r="O126" i="31"/>
  <c r="L125" i="31"/>
  <c r="L134" i="31" s="1"/>
  <c r="L126" i="31"/>
  <c r="AB125" i="31"/>
  <c r="AB134" i="31" s="1"/>
  <c r="AB126" i="31"/>
  <c r="AR125" i="31"/>
  <c r="AR134" i="31" s="1"/>
  <c r="AR126" i="31"/>
  <c r="AQ125" i="31"/>
  <c r="AQ134" i="31" s="1"/>
  <c r="AQ126" i="31"/>
  <c r="Y125" i="31"/>
  <c r="Y134" i="31" s="1"/>
  <c r="Y126" i="31"/>
  <c r="AO125" i="31"/>
  <c r="AO134" i="31" s="1"/>
  <c r="AO126" i="31"/>
  <c r="AM125" i="31"/>
  <c r="AM134" i="31" s="1"/>
  <c r="AM126" i="31"/>
  <c r="Z125" i="31"/>
  <c r="Z134" i="31" s="1"/>
  <c r="Z126" i="31"/>
  <c r="AP125" i="31"/>
  <c r="AP134" i="31" s="1"/>
  <c r="AP126" i="31"/>
  <c r="W125" i="31"/>
  <c r="W134" i="31" s="1"/>
  <c r="W126" i="31"/>
  <c r="P125" i="31"/>
  <c r="P134" i="31" s="1"/>
  <c r="P126" i="31"/>
  <c r="AF125" i="31"/>
  <c r="AF134" i="31" s="1"/>
  <c r="AF126" i="31"/>
  <c r="AV125" i="31"/>
  <c r="AV134" i="31" s="1"/>
  <c r="AV126" i="31"/>
  <c r="M125" i="31"/>
  <c r="M134" i="31" s="1"/>
  <c r="M126" i="31"/>
  <c r="AC125" i="31"/>
  <c r="AC134" i="31" s="1"/>
  <c r="AC126" i="31"/>
  <c r="AS125" i="31"/>
  <c r="AS134" i="31" s="1"/>
  <c r="AS126" i="31"/>
  <c r="N125" i="31"/>
  <c r="N134" i="31" s="1"/>
  <c r="N126" i="31"/>
  <c r="AD125" i="31"/>
  <c r="AD134" i="31" s="1"/>
  <c r="AD126" i="31"/>
  <c r="AT125" i="31"/>
  <c r="AT134" i="31" s="1"/>
  <c r="AT126" i="31"/>
  <c r="AE125" i="31"/>
  <c r="AE134" i="31" s="1"/>
  <c r="AE126" i="31"/>
  <c r="T125" i="31"/>
  <c r="T134" i="31" s="1"/>
  <c r="T126" i="31"/>
  <c r="AJ125" i="31"/>
  <c r="AJ134" i="31" s="1"/>
  <c r="AJ126" i="31"/>
  <c r="S125" i="31"/>
  <c r="S134" i="31" s="1"/>
  <c r="S126" i="31"/>
  <c r="Q125" i="31"/>
  <c r="Q134" i="31" s="1"/>
  <c r="Q126" i="31"/>
  <c r="AG125" i="31"/>
  <c r="AG134" i="31" s="1"/>
  <c r="AG126" i="31"/>
  <c r="AW125" i="31"/>
  <c r="AW134" i="31" s="1"/>
  <c r="AW126" i="31"/>
  <c r="R125" i="31"/>
  <c r="R134" i="31" s="1"/>
  <c r="R126" i="31"/>
  <c r="AH125" i="31"/>
  <c r="AH134" i="31" s="1"/>
  <c r="AH126" i="31"/>
  <c r="AX125" i="31"/>
  <c r="AX134" i="31" s="1"/>
  <c r="AX126" i="31"/>
  <c r="AU125" i="31"/>
  <c r="AU134" i="31" s="1"/>
  <c r="AU126" i="31"/>
  <c r="X125" i="31"/>
  <c r="X134" i="31" s="1"/>
  <c r="X126" i="31"/>
  <c r="AN125" i="31"/>
  <c r="AN134" i="31" s="1"/>
  <c r="AN126" i="31"/>
  <c r="AI125" i="31"/>
  <c r="AI134" i="31" s="1"/>
  <c r="AI126" i="31"/>
  <c r="U125" i="31"/>
  <c r="U134" i="31" s="1"/>
  <c r="U126" i="31"/>
  <c r="AK125" i="31"/>
  <c r="AK134" i="31" s="1"/>
  <c r="AK126" i="31"/>
  <c r="AA125" i="31"/>
  <c r="AA134" i="31" s="1"/>
  <c r="AA126" i="31"/>
  <c r="V125" i="31"/>
  <c r="V134" i="31" s="1"/>
  <c r="V126" i="31"/>
  <c r="AL125" i="31"/>
  <c r="AL134" i="31" s="1"/>
  <c r="AL126" i="31"/>
  <c r="K126" i="31"/>
  <c r="K125" i="31"/>
  <c r="I120" i="31"/>
  <c r="BE98" i="5"/>
  <c r="AV1" i="12"/>
  <c r="AV1" i="1"/>
  <c r="AV1" i="6"/>
  <c r="AV125" i="7"/>
  <c r="AV1" i="11"/>
  <c r="AV1" i="7"/>
  <c r="AV78" i="7"/>
  <c r="AV10" i="7"/>
  <c r="K127" i="7" l="1"/>
  <c r="AK272" i="31"/>
  <c r="AK276" i="31" s="1"/>
  <c r="AK278" i="31" s="1"/>
  <c r="AK282" i="31" s="1"/>
  <c r="AK186" i="1" s="1"/>
  <c r="AK187" i="1" s="1"/>
  <c r="AK247" i="1" s="1"/>
  <c r="AK249" i="1" s="1"/>
  <c r="AK251" i="1" s="1"/>
  <c r="AK127" i="7"/>
  <c r="X272" i="31"/>
  <c r="X276" i="31" s="1"/>
  <c r="X278" i="31" s="1"/>
  <c r="X282" i="31" s="1"/>
  <c r="X186" i="1" s="1"/>
  <c r="X187" i="1" s="1"/>
  <c r="X247" i="1" s="1"/>
  <c r="X249" i="1" s="1"/>
  <c r="X251" i="1" s="1"/>
  <c r="X127" i="7"/>
  <c r="R272" i="31"/>
  <c r="R276" i="31" s="1"/>
  <c r="R278" i="31" s="1"/>
  <c r="R282" i="31" s="1"/>
  <c r="R186" i="1" s="1"/>
  <c r="R187" i="1" s="1"/>
  <c r="R247" i="1" s="1"/>
  <c r="R249" i="1" s="1"/>
  <c r="R453" i="1" s="1"/>
  <c r="R455" i="1" s="1"/>
  <c r="R127" i="7"/>
  <c r="S272" i="31"/>
  <c r="S276" i="31" s="1"/>
  <c r="S278" i="31" s="1"/>
  <c r="S282" i="31" s="1"/>
  <c r="S186" i="1" s="1"/>
  <c r="S187" i="1" s="1"/>
  <c r="S247" i="1" s="1"/>
  <c r="S249" i="1" s="1"/>
  <c r="S735" i="1" s="1"/>
  <c r="S127" i="7"/>
  <c r="AT272" i="31"/>
  <c r="AT276" i="31" s="1"/>
  <c r="AT278" i="31" s="1"/>
  <c r="AT282" i="31" s="1"/>
  <c r="AT186" i="1" s="1"/>
  <c r="AT187" i="1" s="1"/>
  <c r="AT247" i="1" s="1"/>
  <c r="AT249" i="1" s="1"/>
  <c r="AT265" i="1" s="1"/>
  <c r="AT127" i="7"/>
  <c r="AC272" i="31"/>
  <c r="AC276" i="31" s="1"/>
  <c r="AC278" i="31" s="1"/>
  <c r="AC282" i="31" s="1"/>
  <c r="AC186" i="1" s="1"/>
  <c r="AC187" i="1" s="1"/>
  <c r="AC247" i="1" s="1"/>
  <c r="AC249" i="1" s="1"/>
  <c r="AC735" i="1" s="1"/>
  <c r="AC127" i="7"/>
  <c r="P272" i="31"/>
  <c r="P276" i="31" s="1"/>
  <c r="P278" i="31" s="1"/>
  <c r="P282" i="31" s="1"/>
  <c r="P186" i="1" s="1"/>
  <c r="P187" i="1" s="1"/>
  <c r="P247" i="1" s="1"/>
  <c r="P249" i="1" s="1"/>
  <c r="P735" i="1" s="1"/>
  <c r="P127" i="7"/>
  <c r="AM272" i="31"/>
  <c r="AM276" i="31" s="1"/>
  <c r="AM278" i="31" s="1"/>
  <c r="AM282" i="31" s="1"/>
  <c r="AM186" i="1" s="1"/>
  <c r="AM187" i="1" s="1"/>
  <c r="AM247" i="1" s="1"/>
  <c r="AM249" i="1" s="1"/>
  <c r="AM265" i="1" s="1"/>
  <c r="AM127" i="7"/>
  <c r="AR272" i="31"/>
  <c r="AR276" i="31" s="1"/>
  <c r="AR278" i="31" s="1"/>
  <c r="AR282" i="31" s="1"/>
  <c r="AR186" i="1" s="1"/>
  <c r="AR187" i="1" s="1"/>
  <c r="AR247" i="1" s="1"/>
  <c r="AR249" i="1" s="1"/>
  <c r="AR735" i="1" s="1"/>
  <c r="AR127" i="7"/>
  <c r="AL272" i="31"/>
  <c r="AL276" i="31" s="1"/>
  <c r="AL278" i="31" s="1"/>
  <c r="AL282" i="31" s="1"/>
  <c r="AL186" i="1" s="1"/>
  <c r="AL187" i="1" s="1"/>
  <c r="AL247" i="1" s="1"/>
  <c r="AL249" i="1" s="1"/>
  <c r="AL735" i="1" s="1"/>
  <c r="AL127" i="7"/>
  <c r="U272" i="31"/>
  <c r="U276" i="31" s="1"/>
  <c r="U278" i="31" s="1"/>
  <c r="U282" i="31" s="1"/>
  <c r="U186" i="1" s="1"/>
  <c r="U187" i="1" s="1"/>
  <c r="U247" i="1" s="1"/>
  <c r="U249" i="1" s="1"/>
  <c r="U453" i="1" s="1"/>
  <c r="U455" i="1" s="1"/>
  <c r="U127" i="7"/>
  <c r="AU272" i="31"/>
  <c r="AU276" i="31" s="1"/>
  <c r="AU278" i="31" s="1"/>
  <c r="AU282" i="31" s="1"/>
  <c r="AU186" i="1" s="1"/>
  <c r="AU187" i="1" s="1"/>
  <c r="AU247" i="1" s="1"/>
  <c r="AU249" i="1" s="1"/>
  <c r="AU251" i="1" s="1"/>
  <c r="AU127" i="7"/>
  <c r="AW272" i="31"/>
  <c r="AW276" i="31" s="1"/>
  <c r="AW278" i="31" s="1"/>
  <c r="AW282" i="31" s="1"/>
  <c r="AW186" i="1" s="1"/>
  <c r="AW187" i="1" s="1"/>
  <c r="AW247" i="1" s="1"/>
  <c r="AW249" i="1" s="1"/>
  <c r="AW735" i="1" s="1"/>
  <c r="AW127" i="7"/>
  <c r="AJ272" i="31"/>
  <c r="AJ276" i="31" s="1"/>
  <c r="AJ278" i="31" s="1"/>
  <c r="AJ282" i="31" s="1"/>
  <c r="AJ186" i="1" s="1"/>
  <c r="AJ187" i="1" s="1"/>
  <c r="AJ247" i="1" s="1"/>
  <c r="AJ249" i="1" s="1"/>
  <c r="AJ735" i="1" s="1"/>
  <c r="AJ127" i="7"/>
  <c r="AD272" i="31"/>
  <c r="AD276" i="31" s="1"/>
  <c r="AD278" i="31" s="1"/>
  <c r="AD282" i="31" s="1"/>
  <c r="AD186" i="1" s="1"/>
  <c r="AD187" i="1" s="1"/>
  <c r="AD247" i="1" s="1"/>
  <c r="AD249" i="1" s="1"/>
  <c r="AD251" i="1" s="1"/>
  <c r="AD127" i="7"/>
  <c r="M272" i="31"/>
  <c r="M276" i="31" s="1"/>
  <c r="M278" i="31" s="1"/>
  <c r="M282" i="31" s="1"/>
  <c r="M186" i="1" s="1"/>
  <c r="M187" i="1" s="1"/>
  <c r="M247" i="1" s="1"/>
  <c r="M249" i="1" s="1"/>
  <c r="M735" i="1" s="1"/>
  <c r="M127" i="7"/>
  <c r="W272" i="31"/>
  <c r="W276" i="31" s="1"/>
  <c r="W278" i="31" s="1"/>
  <c r="W282" i="31" s="1"/>
  <c r="W186" i="1" s="1"/>
  <c r="W187" i="1" s="1"/>
  <c r="W247" i="1" s="1"/>
  <c r="W249" i="1" s="1"/>
  <c r="W251" i="1" s="1"/>
  <c r="W127" i="7"/>
  <c r="AO272" i="31"/>
  <c r="AO276" i="31" s="1"/>
  <c r="AO278" i="31" s="1"/>
  <c r="AO282" i="31" s="1"/>
  <c r="AO186" i="1" s="1"/>
  <c r="AO187" i="1" s="1"/>
  <c r="AO247" i="1" s="1"/>
  <c r="AO249" i="1" s="1"/>
  <c r="AO735" i="1" s="1"/>
  <c r="AO127" i="7"/>
  <c r="AB272" i="31"/>
  <c r="AB276" i="31" s="1"/>
  <c r="AB278" i="31" s="1"/>
  <c r="AB282" i="31" s="1"/>
  <c r="AB186" i="1" s="1"/>
  <c r="AB187" i="1" s="1"/>
  <c r="AB247" i="1" s="1"/>
  <c r="AB249" i="1" s="1"/>
  <c r="AB453" i="1" s="1"/>
  <c r="AB455" i="1" s="1"/>
  <c r="AB127" i="7"/>
  <c r="V272" i="31"/>
  <c r="V276" i="31" s="1"/>
  <c r="V278" i="31" s="1"/>
  <c r="V282" i="31" s="1"/>
  <c r="V186" i="1" s="1"/>
  <c r="V187" i="1" s="1"/>
  <c r="V247" i="1" s="1"/>
  <c r="V249" i="1" s="1"/>
  <c r="V251" i="1" s="1"/>
  <c r="V127" i="7"/>
  <c r="AI272" i="31"/>
  <c r="AI276" i="31" s="1"/>
  <c r="AI278" i="31" s="1"/>
  <c r="AI282" i="31" s="1"/>
  <c r="AI186" i="1" s="1"/>
  <c r="AI187" i="1" s="1"/>
  <c r="AI247" i="1" s="1"/>
  <c r="AI249" i="1" s="1"/>
  <c r="AI251" i="1" s="1"/>
  <c r="AI127" i="7"/>
  <c r="AX272" i="31"/>
  <c r="AX276" i="31" s="1"/>
  <c r="AX278" i="31" s="1"/>
  <c r="AX282" i="31" s="1"/>
  <c r="AX186" i="1" s="1"/>
  <c r="AX187" i="1" s="1"/>
  <c r="AX247" i="1" s="1"/>
  <c r="AX249" i="1" s="1"/>
  <c r="AX735" i="1" s="1"/>
  <c r="AX127" i="7"/>
  <c r="AG272" i="31"/>
  <c r="AG276" i="31" s="1"/>
  <c r="AG278" i="31" s="1"/>
  <c r="AG282" i="31" s="1"/>
  <c r="AG186" i="1" s="1"/>
  <c r="AG187" i="1" s="1"/>
  <c r="AG247" i="1" s="1"/>
  <c r="AG249" i="1" s="1"/>
  <c r="AG453" i="1" s="1"/>
  <c r="AG455" i="1" s="1"/>
  <c r="AG127" i="7"/>
  <c r="T272" i="31"/>
  <c r="T276" i="31" s="1"/>
  <c r="T278" i="31" s="1"/>
  <c r="T282" i="31" s="1"/>
  <c r="T186" i="1" s="1"/>
  <c r="T187" i="1" s="1"/>
  <c r="T247" i="1" s="1"/>
  <c r="T249" i="1" s="1"/>
  <c r="T251" i="1" s="1"/>
  <c r="T127" i="7"/>
  <c r="N272" i="31"/>
  <c r="N276" i="31" s="1"/>
  <c r="N278" i="31" s="1"/>
  <c r="N282" i="31" s="1"/>
  <c r="N186" i="1" s="1"/>
  <c r="N187" i="1" s="1"/>
  <c r="N247" i="1" s="1"/>
  <c r="N249" i="1" s="1"/>
  <c r="N453" i="1" s="1"/>
  <c r="N455" i="1" s="1"/>
  <c r="N127" i="7"/>
  <c r="AV272" i="31"/>
  <c r="AV276" i="31" s="1"/>
  <c r="AV278" i="31" s="1"/>
  <c r="AV282" i="31" s="1"/>
  <c r="AV186" i="1" s="1"/>
  <c r="AV187" i="1" s="1"/>
  <c r="AV247" i="1" s="1"/>
  <c r="AV249" i="1" s="1"/>
  <c r="AV251" i="1" s="1"/>
  <c r="AV127" i="7"/>
  <c r="AP272" i="31"/>
  <c r="AP276" i="31" s="1"/>
  <c r="AP278" i="31" s="1"/>
  <c r="AP282" i="31" s="1"/>
  <c r="AP186" i="1" s="1"/>
  <c r="AP187" i="1" s="1"/>
  <c r="AP247" i="1" s="1"/>
  <c r="AP249" i="1" s="1"/>
  <c r="AP265" i="1" s="1"/>
  <c r="AP127" i="7"/>
  <c r="Y272" i="31"/>
  <c r="Y276" i="31" s="1"/>
  <c r="Y278" i="31" s="1"/>
  <c r="Y282" i="31" s="1"/>
  <c r="Y186" i="1" s="1"/>
  <c r="Y187" i="1" s="1"/>
  <c r="Y247" i="1" s="1"/>
  <c r="Y249" i="1" s="1"/>
  <c r="Y265" i="1" s="1"/>
  <c r="Y127" i="7"/>
  <c r="L272" i="31"/>
  <c r="L276" i="31" s="1"/>
  <c r="L278" i="31" s="1"/>
  <c r="L282" i="31" s="1"/>
  <c r="L186" i="1" s="1"/>
  <c r="L187" i="1" s="1"/>
  <c r="L247" i="1" s="1"/>
  <c r="L249" i="1" s="1"/>
  <c r="L453" i="1" s="1"/>
  <c r="L455" i="1" s="1"/>
  <c r="L127" i="7"/>
  <c r="AA272" i="31"/>
  <c r="AA276" i="31" s="1"/>
  <c r="AA278" i="31" s="1"/>
  <c r="AA282" i="31" s="1"/>
  <c r="AA186" i="1" s="1"/>
  <c r="AA187" i="1" s="1"/>
  <c r="AA247" i="1" s="1"/>
  <c r="AA249" i="1" s="1"/>
  <c r="AA265" i="1" s="1"/>
  <c r="AA127" i="7"/>
  <c r="AN272" i="31"/>
  <c r="AN276" i="31" s="1"/>
  <c r="AN278" i="31" s="1"/>
  <c r="AN282" i="31" s="1"/>
  <c r="AN186" i="1" s="1"/>
  <c r="AN187" i="1" s="1"/>
  <c r="AN247" i="1" s="1"/>
  <c r="AN249" i="1" s="1"/>
  <c r="AN251" i="1" s="1"/>
  <c r="AN127" i="7"/>
  <c r="AH272" i="31"/>
  <c r="AH276" i="31" s="1"/>
  <c r="AH278" i="31" s="1"/>
  <c r="AH282" i="31" s="1"/>
  <c r="AH186" i="1" s="1"/>
  <c r="AH187" i="1" s="1"/>
  <c r="AH247" i="1" s="1"/>
  <c r="AH249" i="1" s="1"/>
  <c r="AH265" i="1" s="1"/>
  <c r="AH127" i="7"/>
  <c r="Q272" i="31"/>
  <c r="Q276" i="31" s="1"/>
  <c r="Q278" i="31" s="1"/>
  <c r="Q282" i="31" s="1"/>
  <c r="Q186" i="1" s="1"/>
  <c r="Q187" i="1" s="1"/>
  <c r="Q247" i="1" s="1"/>
  <c r="Q249" i="1" s="1"/>
  <c r="Q265" i="1" s="1"/>
  <c r="Q127" i="7"/>
  <c r="AE272" i="31"/>
  <c r="AE276" i="31" s="1"/>
  <c r="AE278" i="31" s="1"/>
  <c r="AE282" i="31" s="1"/>
  <c r="AE186" i="1" s="1"/>
  <c r="AE187" i="1" s="1"/>
  <c r="AE247" i="1" s="1"/>
  <c r="AE249" i="1" s="1"/>
  <c r="AE453" i="1" s="1"/>
  <c r="AE455" i="1" s="1"/>
  <c r="AE127" i="7"/>
  <c r="AS272" i="31"/>
  <c r="AS276" i="31" s="1"/>
  <c r="AS278" i="31" s="1"/>
  <c r="AS282" i="31" s="1"/>
  <c r="AS186" i="1" s="1"/>
  <c r="AS187" i="1" s="1"/>
  <c r="AS247" i="1" s="1"/>
  <c r="AS249" i="1" s="1"/>
  <c r="AS251" i="1" s="1"/>
  <c r="AS127" i="7"/>
  <c r="AF272" i="31"/>
  <c r="AF276" i="31" s="1"/>
  <c r="AF278" i="31" s="1"/>
  <c r="AF282" i="31" s="1"/>
  <c r="AF186" i="1" s="1"/>
  <c r="AF187" i="1" s="1"/>
  <c r="AF247" i="1" s="1"/>
  <c r="AF249" i="1" s="1"/>
  <c r="AF251" i="1" s="1"/>
  <c r="AF127" i="7"/>
  <c r="Z272" i="31"/>
  <c r="Z276" i="31" s="1"/>
  <c r="Z278" i="31" s="1"/>
  <c r="Z282" i="31" s="1"/>
  <c r="Z186" i="1" s="1"/>
  <c r="Z187" i="1" s="1"/>
  <c r="Z247" i="1" s="1"/>
  <c r="Z249" i="1" s="1"/>
  <c r="Z265" i="1" s="1"/>
  <c r="Z127" i="7"/>
  <c r="AQ272" i="31"/>
  <c r="AQ276" i="31" s="1"/>
  <c r="AQ278" i="31" s="1"/>
  <c r="AQ282" i="31" s="1"/>
  <c r="AQ186" i="1" s="1"/>
  <c r="AQ187" i="1" s="1"/>
  <c r="AQ247" i="1" s="1"/>
  <c r="AQ249" i="1" s="1"/>
  <c r="AQ265" i="1" s="1"/>
  <c r="AQ127" i="7"/>
  <c r="O272" i="31"/>
  <c r="O276" i="31" s="1"/>
  <c r="O278" i="31" s="1"/>
  <c r="O282" i="31" s="1"/>
  <c r="O186" i="1" s="1"/>
  <c r="O187" i="1" s="1"/>
  <c r="O247" i="1" s="1"/>
  <c r="O249" i="1" s="1"/>
  <c r="O127" i="7"/>
  <c r="K272" i="31"/>
  <c r="K276" i="31" s="1"/>
  <c r="K278" i="31" s="1"/>
  <c r="K282" i="31" s="1"/>
  <c r="F144" i="31"/>
  <c r="K73" i="1"/>
  <c r="AK73" i="1"/>
  <c r="X73" i="1"/>
  <c r="R73" i="1"/>
  <c r="S73" i="1"/>
  <c r="AT73" i="1"/>
  <c r="AC73" i="1"/>
  <c r="P73" i="1"/>
  <c r="AM73" i="1"/>
  <c r="AR73" i="1"/>
  <c r="AL73" i="1"/>
  <c r="U73" i="1"/>
  <c r="AU73" i="1"/>
  <c r="AW73" i="1"/>
  <c r="AJ73" i="1"/>
  <c r="AD73" i="1"/>
  <c r="M73" i="1"/>
  <c r="W73" i="1"/>
  <c r="AO73" i="1"/>
  <c r="AB73" i="1"/>
  <c r="V73" i="1"/>
  <c r="AI73" i="1"/>
  <c r="AX73" i="1"/>
  <c r="AG73" i="1"/>
  <c r="T73" i="1"/>
  <c r="N73" i="1"/>
  <c r="AV73" i="1"/>
  <c r="AP73" i="1"/>
  <c r="Y73" i="1"/>
  <c r="L73" i="1"/>
  <c r="AA73" i="1"/>
  <c r="AN73" i="1"/>
  <c r="AH73" i="1"/>
  <c r="Q73" i="1"/>
  <c r="AE73" i="1"/>
  <c r="AS73" i="1"/>
  <c r="AF73" i="1"/>
  <c r="Z73" i="1"/>
  <c r="AQ73" i="1"/>
  <c r="O73" i="1"/>
  <c r="I143" i="31"/>
  <c r="I127" i="7" s="1"/>
  <c r="K169" i="31"/>
  <c r="K171" i="31"/>
  <c r="K172" i="31"/>
  <c r="K170" i="31"/>
  <c r="V172" i="31"/>
  <c r="V169" i="31"/>
  <c r="V171" i="31"/>
  <c r="V170" i="31"/>
  <c r="AK171" i="31"/>
  <c r="AK169" i="31"/>
  <c r="AK172" i="31"/>
  <c r="AK170" i="31"/>
  <c r="AI171" i="31"/>
  <c r="AI169" i="31"/>
  <c r="AI172" i="31"/>
  <c r="AI170" i="31"/>
  <c r="X172" i="31"/>
  <c r="X169" i="31"/>
  <c r="X171" i="31"/>
  <c r="X170" i="31"/>
  <c r="AJ171" i="31"/>
  <c r="AJ172" i="31"/>
  <c r="AJ169" i="31"/>
  <c r="AJ170" i="31"/>
  <c r="L171" i="31"/>
  <c r="L172" i="31"/>
  <c r="L169" i="31"/>
  <c r="L170" i="31"/>
  <c r="AH171" i="31"/>
  <c r="AH169" i="31"/>
  <c r="AH172" i="31"/>
  <c r="AH170" i="31"/>
  <c r="AW169" i="31"/>
  <c r="AW170" i="31"/>
  <c r="AW171" i="31"/>
  <c r="AW172" i="31"/>
  <c r="Q172" i="31"/>
  <c r="Q171" i="31"/>
  <c r="Q169" i="31"/>
  <c r="Q170" i="31"/>
  <c r="T171" i="31"/>
  <c r="T172" i="31"/>
  <c r="T169" i="31"/>
  <c r="T170" i="31"/>
  <c r="AD172" i="31"/>
  <c r="AD171" i="31"/>
  <c r="AD169" i="31"/>
  <c r="AD170" i="31"/>
  <c r="AS171" i="31"/>
  <c r="AS172" i="31"/>
  <c r="AS169" i="31"/>
  <c r="AS170" i="31"/>
  <c r="M169" i="31"/>
  <c r="M170" i="31"/>
  <c r="M172" i="31"/>
  <c r="M171" i="31"/>
  <c r="AF172" i="31"/>
  <c r="AF171" i="31"/>
  <c r="AF169" i="31"/>
  <c r="AF170" i="31"/>
  <c r="W172" i="31"/>
  <c r="W171" i="31"/>
  <c r="W169" i="31"/>
  <c r="W170" i="31"/>
  <c r="O170" i="31"/>
  <c r="O172" i="31"/>
  <c r="O169" i="31"/>
  <c r="O171" i="31"/>
  <c r="Z171" i="31"/>
  <c r="Z172" i="31"/>
  <c r="Z169" i="31"/>
  <c r="Z170" i="31"/>
  <c r="AO169" i="31"/>
  <c r="AO172" i="31"/>
  <c r="AO171" i="31"/>
  <c r="AO170" i="31"/>
  <c r="AQ169" i="31"/>
  <c r="AQ172" i="31"/>
  <c r="AQ171" i="31"/>
  <c r="AQ170" i="31"/>
  <c r="AL172" i="31"/>
  <c r="AL171" i="31"/>
  <c r="AL169" i="31"/>
  <c r="AL170" i="31"/>
  <c r="AA171" i="31"/>
  <c r="AA172" i="31"/>
  <c r="AA169" i="31"/>
  <c r="AA170" i="31"/>
  <c r="U170" i="31"/>
  <c r="U172" i="31"/>
  <c r="U169" i="31"/>
  <c r="U171" i="31"/>
  <c r="AN169" i="31"/>
  <c r="AN171" i="31"/>
  <c r="AN172" i="31"/>
  <c r="AN170" i="31"/>
  <c r="AU172" i="31"/>
  <c r="AU169" i="31"/>
  <c r="AU171" i="31"/>
  <c r="AU170" i="31"/>
  <c r="AE171" i="31"/>
  <c r="AE170" i="31"/>
  <c r="AE172" i="31"/>
  <c r="AE169" i="31"/>
  <c r="AX169" i="31"/>
  <c r="AX171" i="31"/>
  <c r="AX172" i="31"/>
  <c r="AX170" i="31"/>
  <c r="R172" i="31"/>
  <c r="R169" i="31"/>
  <c r="R171" i="31"/>
  <c r="R170" i="31"/>
  <c r="AG169" i="31"/>
  <c r="AG172" i="31"/>
  <c r="AG171" i="31"/>
  <c r="AG170" i="31"/>
  <c r="S169" i="31"/>
  <c r="S171" i="31"/>
  <c r="S172" i="31"/>
  <c r="S170" i="31"/>
  <c r="AT172" i="31"/>
  <c r="AT169" i="31"/>
  <c r="AT171" i="31"/>
  <c r="AT170" i="31"/>
  <c r="N172" i="31"/>
  <c r="N169" i="31"/>
  <c r="N171" i="31"/>
  <c r="N170" i="31"/>
  <c r="AC169" i="31"/>
  <c r="AC171" i="31"/>
  <c r="AC172" i="31"/>
  <c r="AC170" i="31"/>
  <c r="AV171" i="31"/>
  <c r="AV169" i="31"/>
  <c r="AV172" i="31"/>
  <c r="AV170" i="31"/>
  <c r="P171" i="31"/>
  <c r="P172" i="31"/>
  <c r="P169" i="31"/>
  <c r="P170" i="31"/>
  <c r="AR169" i="31"/>
  <c r="AR172" i="31"/>
  <c r="AR171" i="31"/>
  <c r="AR170" i="31"/>
  <c r="AP172" i="31"/>
  <c r="AP169" i="31"/>
  <c r="AP171" i="31"/>
  <c r="AP170" i="31"/>
  <c r="AM169" i="31"/>
  <c r="AM171" i="31"/>
  <c r="AM172" i="31"/>
  <c r="AM170" i="31"/>
  <c r="Y169" i="31"/>
  <c r="Y172" i="31"/>
  <c r="Y171" i="31"/>
  <c r="Y170" i="31"/>
  <c r="AB169" i="31"/>
  <c r="AB171" i="31"/>
  <c r="AB172" i="31"/>
  <c r="AB170" i="31"/>
  <c r="K166" i="31"/>
  <c r="AI163" i="31"/>
  <c r="AI166" i="31"/>
  <c r="AI165" i="31"/>
  <c r="L163" i="31"/>
  <c r="L166" i="31"/>
  <c r="L165" i="31"/>
  <c r="Q163" i="31"/>
  <c r="Q166" i="31"/>
  <c r="Q165" i="31"/>
  <c r="AS163" i="31"/>
  <c r="AS166" i="31"/>
  <c r="AS165" i="31"/>
  <c r="W163" i="31"/>
  <c r="W166" i="31"/>
  <c r="W165" i="31"/>
  <c r="Z163" i="31"/>
  <c r="Z166" i="31"/>
  <c r="Z165" i="31"/>
  <c r="V163" i="31"/>
  <c r="V166" i="31"/>
  <c r="V165" i="31"/>
  <c r="AJ163" i="31"/>
  <c r="AJ166" i="31"/>
  <c r="AJ165" i="31"/>
  <c r="AW163" i="31"/>
  <c r="AW166" i="31"/>
  <c r="AW165" i="31"/>
  <c r="AD163" i="31"/>
  <c r="AD166" i="31"/>
  <c r="AD165" i="31"/>
  <c r="M163" i="31"/>
  <c r="M166" i="31"/>
  <c r="M165" i="31"/>
  <c r="O163" i="31"/>
  <c r="O166" i="31"/>
  <c r="O165" i="31"/>
  <c r="AQ163" i="31"/>
  <c r="AQ166" i="31"/>
  <c r="AQ165" i="31"/>
  <c r="AL163" i="31"/>
  <c r="AL166" i="31"/>
  <c r="AL165" i="31"/>
  <c r="AA163" i="31"/>
  <c r="AA166" i="31"/>
  <c r="AA165" i="31"/>
  <c r="U163" i="31"/>
  <c r="U166" i="31"/>
  <c r="U165" i="31"/>
  <c r="AN163" i="31"/>
  <c r="AN166" i="31"/>
  <c r="AN165" i="31"/>
  <c r="AU163" i="31"/>
  <c r="AU166" i="31"/>
  <c r="AU165" i="31"/>
  <c r="AE163" i="31"/>
  <c r="AE166" i="31"/>
  <c r="AE165" i="31"/>
  <c r="AX163" i="31"/>
  <c r="AX166" i="31"/>
  <c r="AX165" i="31"/>
  <c r="R163" i="31"/>
  <c r="R166" i="31"/>
  <c r="R165" i="31"/>
  <c r="AG163" i="31"/>
  <c r="AG166" i="31"/>
  <c r="AG165" i="31"/>
  <c r="S163" i="31"/>
  <c r="S166" i="31"/>
  <c r="S165" i="31"/>
  <c r="AT163" i="31"/>
  <c r="AT166" i="31"/>
  <c r="AT165" i="31"/>
  <c r="N163" i="31"/>
  <c r="N166" i="31"/>
  <c r="N165" i="31"/>
  <c r="AC163" i="31"/>
  <c r="AC166" i="31"/>
  <c r="AC165" i="31"/>
  <c r="AV163" i="31"/>
  <c r="AV166" i="31"/>
  <c r="AV165" i="31"/>
  <c r="P163" i="31"/>
  <c r="P166" i="31"/>
  <c r="P165" i="31"/>
  <c r="AR163" i="31"/>
  <c r="AR166" i="31"/>
  <c r="AR165" i="31"/>
  <c r="AP163" i="31"/>
  <c r="AP166" i="31"/>
  <c r="AP165" i="31"/>
  <c r="AM163" i="31"/>
  <c r="AM166" i="31"/>
  <c r="AM165" i="31"/>
  <c r="Y163" i="31"/>
  <c r="Y166" i="31"/>
  <c r="Y165" i="31"/>
  <c r="AB163" i="31"/>
  <c r="AB166" i="31"/>
  <c r="AB165" i="31"/>
  <c r="AK163" i="31"/>
  <c r="AK166" i="31"/>
  <c r="AK165" i="31"/>
  <c r="X163" i="31"/>
  <c r="X166" i="31"/>
  <c r="X165" i="31"/>
  <c r="AH163" i="31"/>
  <c r="AH166" i="31"/>
  <c r="AH165" i="31"/>
  <c r="T163" i="31"/>
  <c r="T166" i="31"/>
  <c r="T165" i="31"/>
  <c r="AF163" i="31"/>
  <c r="AF166" i="31"/>
  <c r="AF165" i="31"/>
  <c r="AO163" i="31"/>
  <c r="AO166" i="31"/>
  <c r="AO165" i="31"/>
  <c r="K163" i="31"/>
  <c r="K165" i="31"/>
  <c r="I140" i="31"/>
  <c r="I161" i="31"/>
  <c r="K129" i="31"/>
  <c r="I126" i="31"/>
  <c r="I125" i="31"/>
  <c r="I134" i="31" s="1"/>
  <c r="K134" i="31"/>
  <c r="AW1" i="12"/>
  <c r="BF98" i="5"/>
  <c r="AW1" i="1"/>
  <c r="AW1" i="6"/>
  <c r="AW125" i="7"/>
  <c r="AW1" i="7"/>
  <c r="AW78" i="7"/>
  <c r="AW10" i="7"/>
  <c r="AW1" i="11"/>
  <c r="F102" i="12" l="1"/>
  <c r="C28" i="5"/>
  <c r="F12" i="35" s="1"/>
  <c r="J12" i="35" s="1"/>
  <c r="I12" i="35" s="1"/>
  <c r="I73" i="1"/>
  <c r="I272" i="31"/>
  <c r="AK265" i="1"/>
  <c r="P251" i="1"/>
  <c r="AU265" i="1"/>
  <c r="X265" i="1"/>
  <c r="P265" i="1"/>
  <c r="AO251" i="1"/>
  <c r="S265" i="1"/>
  <c r="AK453" i="1"/>
  <c r="AK455" i="1" s="1"/>
  <c r="S453" i="1"/>
  <c r="S455" i="1" s="1"/>
  <c r="AM251" i="1"/>
  <c r="X735" i="1"/>
  <c r="AC251" i="1"/>
  <c r="AL265" i="1"/>
  <c r="AK735" i="1"/>
  <c r="AT251" i="1"/>
  <c r="Y453" i="1"/>
  <c r="Y455" i="1" s="1"/>
  <c r="AA453" i="1"/>
  <c r="AA455" i="1" s="1"/>
  <c r="AF735" i="1"/>
  <c r="R265" i="1"/>
  <c r="M265" i="1"/>
  <c r="R735" i="1"/>
  <c r="X453" i="1"/>
  <c r="X455" i="1" s="1"/>
  <c r="W265" i="1"/>
  <c r="AJ453" i="1"/>
  <c r="AJ455" i="1" s="1"/>
  <c r="AH453" i="1"/>
  <c r="AH455" i="1" s="1"/>
  <c r="AO453" i="1"/>
  <c r="AO455" i="1" s="1"/>
  <c r="AL453" i="1"/>
  <c r="AL455" i="1" s="1"/>
  <c r="AT735" i="1"/>
  <c r="AC265" i="1"/>
  <c r="S251" i="1"/>
  <c r="R251" i="1"/>
  <c r="AR265" i="1"/>
  <c r="AW251" i="1"/>
  <c r="AJ251" i="1"/>
  <c r="L251" i="1"/>
  <c r="AN453" i="1"/>
  <c r="AN455" i="1" s="1"/>
  <c r="V265" i="1"/>
  <c r="AB265" i="1"/>
  <c r="AM453" i="1"/>
  <c r="AM455" i="1" s="1"/>
  <c r="M453" i="1"/>
  <c r="M455" i="1" s="1"/>
  <c r="AE265" i="1"/>
  <c r="U735" i="1"/>
  <c r="AB735" i="1"/>
  <c r="AD453" i="1"/>
  <c r="AD455" i="1" s="1"/>
  <c r="U251" i="1"/>
  <c r="AO265" i="1"/>
  <c r="AJ265" i="1"/>
  <c r="AL251" i="1"/>
  <c r="T265" i="1"/>
  <c r="V735" i="1"/>
  <c r="AH735" i="1"/>
  <c r="AV265" i="1"/>
  <c r="AQ453" i="1"/>
  <c r="AQ455" i="1" s="1"/>
  <c r="P453" i="1"/>
  <c r="P455" i="1" s="1"/>
  <c r="AD735" i="1"/>
  <c r="AU453" i="1"/>
  <c r="AU455" i="1" s="1"/>
  <c r="AA251" i="1"/>
  <c r="W453" i="1"/>
  <c r="W455" i="1" s="1"/>
  <c r="AW265" i="1"/>
  <c r="N735" i="1"/>
  <c r="AI735" i="1"/>
  <c r="W735" i="1"/>
  <c r="AW453" i="1"/>
  <c r="AW455" i="1" s="1"/>
  <c r="N251" i="1"/>
  <c r="AR453" i="1"/>
  <c r="AR455" i="1" s="1"/>
  <c r="AT453" i="1"/>
  <c r="AT455" i="1" s="1"/>
  <c r="AE735" i="1"/>
  <c r="AS453" i="1"/>
  <c r="AS455" i="1" s="1"/>
  <c r="I276" i="31"/>
  <c r="I278" i="31" s="1"/>
  <c r="L735" i="1"/>
  <c r="Y251" i="1"/>
  <c r="AP453" i="1"/>
  <c r="AP455" i="1" s="1"/>
  <c r="AV735" i="1"/>
  <c r="N265" i="1"/>
  <c r="T735" i="1"/>
  <c r="AG265" i="1"/>
  <c r="AX453" i="1"/>
  <c r="AX455" i="1" s="1"/>
  <c r="AI453" i="1"/>
  <c r="AI455" i="1" s="1"/>
  <c r="V453" i="1"/>
  <c r="V455" i="1" s="1"/>
  <c r="AQ251" i="1"/>
  <c r="AF453" i="1"/>
  <c r="AF455" i="1" s="1"/>
  <c r="AE251" i="1"/>
  <c r="AH251" i="1"/>
  <c r="AA735" i="1"/>
  <c r="AR251" i="1"/>
  <c r="M251" i="1"/>
  <c r="AG251" i="1"/>
  <c r="AM735" i="1"/>
  <c r="AD265" i="1"/>
  <c r="AX251" i="1"/>
  <c r="L265" i="1"/>
  <c r="Q251" i="1"/>
  <c r="AG735" i="1"/>
  <c r="T453" i="1"/>
  <c r="T455" i="1" s="1"/>
  <c r="AX265" i="1"/>
  <c r="AC453" i="1"/>
  <c r="AC455" i="1" s="1"/>
  <c r="O453" i="1"/>
  <c r="O455" i="1" s="1"/>
  <c r="O265" i="1"/>
  <c r="O251" i="1"/>
  <c r="Z453" i="1"/>
  <c r="Z455" i="1" s="1"/>
  <c r="AS735" i="1"/>
  <c r="Q453" i="1"/>
  <c r="Q455" i="1" s="1"/>
  <c r="AN265" i="1"/>
  <c r="AP251" i="1"/>
  <c r="AU735" i="1"/>
  <c r="AB251" i="1"/>
  <c r="AV453" i="1"/>
  <c r="AV455" i="1" s="1"/>
  <c r="U265" i="1"/>
  <c r="AF265" i="1"/>
  <c r="AI265" i="1"/>
  <c r="AP735" i="1"/>
  <c r="AQ735" i="1"/>
  <c r="Z251" i="1"/>
  <c r="Y735" i="1"/>
  <c r="O735" i="1"/>
  <c r="Z735" i="1"/>
  <c r="AS265" i="1"/>
  <c r="Q735" i="1"/>
  <c r="AN735" i="1"/>
  <c r="K192" i="31"/>
  <c r="K193" i="31" s="1"/>
  <c r="K539" i="1" s="1"/>
  <c r="K550" i="1" s="1"/>
  <c r="AX192" i="31"/>
  <c r="AT192" i="31"/>
  <c r="AP192" i="31"/>
  <c r="AL192" i="31"/>
  <c r="AH192" i="31"/>
  <c r="AD192" i="31"/>
  <c r="Z192" i="31"/>
  <c r="V192" i="31"/>
  <c r="R192" i="31"/>
  <c r="N192" i="31"/>
  <c r="M192" i="31"/>
  <c r="AM192" i="31"/>
  <c r="AA192" i="31"/>
  <c r="O192" i="31"/>
  <c r="AW192" i="31"/>
  <c r="AS192" i="31"/>
  <c r="AO192" i="31"/>
  <c r="AK192" i="31"/>
  <c r="AG192" i="31"/>
  <c r="AC192" i="31"/>
  <c r="Y192" i="31"/>
  <c r="U192" i="31"/>
  <c r="Q192" i="31"/>
  <c r="AU192" i="31"/>
  <c r="AI192" i="31"/>
  <c r="S192" i="31"/>
  <c r="AV192" i="31"/>
  <c r="AR192" i="31"/>
  <c r="AN192" i="31"/>
  <c r="AJ192" i="31"/>
  <c r="AF192" i="31"/>
  <c r="AB192" i="31"/>
  <c r="X192" i="31"/>
  <c r="T192" i="31"/>
  <c r="P192" i="31"/>
  <c r="L192" i="31"/>
  <c r="AQ192" i="31"/>
  <c r="AE192" i="31"/>
  <c r="W192" i="31"/>
  <c r="Y84" i="7"/>
  <c r="AR84" i="7"/>
  <c r="P84" i="7"/>
  <c r="AG84" i="7"/>
  <c r="U84" i="7"/>
  <c r="AA84" i="7"/>
  <c r="AQ84" i="7"/>
  <c r="AO84" i="7"/>
  <c r="Z84" i="7"/>
  <c r="O84" i="7"/>
  <c r="AS84" i="7"/>
  <c r="T84" i="7"/>
  <c r="L84" i="7"/>
  <c r="AJ84" i="7"/>
  <c r="AP84" i="7"/>
  <c r="N84" i="7"/>
  <c r="AT84" i="7"/>
  <c r="R84" i="7"/>
  <c r="AU84" i="7"/>
  <c r="AL84" i="7"/>
  <c r="W84" i="7"/>
  <c r="AF84" i="7"/>
  <c r="AD84" i="7"/>
  <c r="Q84" i="7"/>
  <c r="X84" i="7"/>
  <c r="V84" i="7"/>
  <c r="AW84" i="7"/>
  <c r="AB84" i="7"/>
  <c r="AM84" i="7"/>
  <c r="AV84" i="7"/>
  <c r="AC84" i="7"/>
  <c r="S84" i="7"/>
  <c r="AX84" i="7"/>
  <c r="AE84" i="7"/>
  <c r="AN84" i="7"/>
  <c r="M84" i="7"/>
  <c r="AH84" i="7"/>
  <c r="AI84" i="7"/>
  <c r="AK84" i="7"/>
  <c r="K84" i="7"/>
  <c r="AB83" i="7"/>
  <c r="AM83" i="7"/>
  <c r="AC83" i="7"/>
  <c r="S83" i="7"/>
  <c r="AX83" i="7"/>
  <c r="AN83" i="7"/>
  <c r="AL83" i="7"/>
  <c r="W83" i="7"/>
  <c r="AF83" i="7"/>
  <c r="AD83" i="7"/>
  <c r="Q83" i="7"/>
  <c r="K83" i="7"/>
  <c r="P83" i="7"/>
  <c r="AV83" i="7"/>
  <c r="AE83" i="7"/>
  <c r="AA83" i="7"/>
  <c r="Z83" i="7"/>
  <c r="AS83" i="7"/>
  <c r="T83" i="7"/>
  <c r="AH83" i="7"/>
  <c r="L83" i="7"/>
  <c r="AJ83" i="7"/>
  <c r="AI83" i="7"/>
  <c r="AK83" i="7"/>
  <c r="U83" i="7"/>
  <c r="O83" i="7"/>
  <c r="M83" i="7"/>
  <c r="Y83" i="7"/>
  <c r="AP83" i="7"/>
  <c r="AR83" i="7"/>
  <c r="N83" i="7"/>
  <c r="AT83" i="7"/>
  <c r="AG83" i="7"/>
  <c r="R83" i="7"/>
  <c r="AU83" i="7"/>
  <c r="AQ83" i="7"/>
  <c r="AO83" i="7"/>
  <c r="AW83" i="7"/>
  <c r="X83" i="7"/>
  <c r="V83" i="7"/>
  <c r="AE82" i="7"/>
  <c r="M82" i="7"/>
  <c r="AW82" i="7"/>
  <c r="U82" i="7"/>
  <c r="O82" i="7"/>
  <c r="AB82" i="7"/>
  <c r="Y82" i="7"/>
  <c r="AM82" i="7"/>
  <c r="AP82" i="7"/>
  <c r="AR82" i="7"/>
  <c r="P82" i="7"/>
  <c r="AV82" i="7"/>
  <c r="AC82" i="7"/>
  <c r="N82" i="7"/>
  <c r="AT82" i="7"/>
  <c r="S82" i="7"/>
  <c r="AG82" i="7"/>
  <c r="R82" i="7"/>
  <c r="AX82" i="7"/>
  <c r="AU82" i="7"/>
  <c r="AN82" i="7"/>
  <c r="AA82" i="7"/>
  <c r="AL82" i="7"/>
  <c r="AQ82" i="7"/>
  <c r="AO82" i="7"/>
  <c r="Z82" i="7"/>
  <c r="W82" i="7"/>
  <c r="AF82" i="7"/>
  <c r="AS82" i="7"/>
  <c r="AD82" i="7"/>
  <c r="T82" i="7"/>
  <c r="Q82" i="7"/>
  <c r="AH82" i="7"/>
  <c r="L82" i="7"/>
  <c r="AJ82" i="7"/>
  <c r="X82" i="7"/>
  <c r="AI82" i="7"/>
  <c r="AK82" i="7"/>
  <c r="V82" i="7"/>
  <c r="K82" i="7"/>
  <c r="N81" i="7"/>
  <c r="R81" i="7"/>
  <c r="AH81" i="7"/>
  <c r="V81" i="7"/>
  <c r="AB81" i="7"/>
  <c r="Y81" i="7"/>
  <c r="AM81" i="7"/>
  <c r="AR81" i="7"/>
  <c r="AC81" i="7"/>
  <c r="S81" i="7"/>
  <c r="AG81" i="7"/>
  <c r="AX81" i="7"/>
  <c r="AN81" i="7"/>
  <c r="AQ81" i="7"/>
  <c r="AO81" i="7"/>
  <c r="M81" i="7"/>
  <c r="AW81" i="7"/>
  <c r="K81" i="7"/>
  <c r="AV81" i="7"/>
  <c r="AT81" i="7"/>
  <c r="X81" i="7"/>
  <c r="AI81" i="7"/>
  <c r="AK81" i="7"/>
  <c r="AE81" i="7"/>
  <c r="AP81" i="7"/>
  <c r="AU81" i="7"/>
  <c r="P81" i="7"/>
  <c r="U81" i="7"/>
  <c r="AA81" i="7"/>
  <c r="AL81" i="7"/>
  <c r="Z81" i="7"/>
  <c r="O81" i="7"/>
  <c r="W81" i="7"/>
  <c r="AF81" i="7"/>
  <c r="AS81" i="7"/>
  <c r="AD81" i="7"/>
  <c r="T81" i="7"/>
  <c r="Q81" i="7"/>
  <c r="L81" i="7"/>
  <c r="AJ81" i="7"/>
  <c r="K186" i="1"/>
  <c r="K187" i="1" s="1"/>
  <c r="I282" i="31"/>
  <c r="I186" i="1" s="1"/>
  <c r="W167" i="31"/>
  <c r="K167" i="31"/>
  <c r="T167" i="31"/>
  <c r="AB167" i="31"/>
  <c r="AR167" i="31"/>
  <c r="N167" i="31"/>
  <c r="R167" i="31"/>
  <c r="AN167" i="31"/>
  <c r="AQ167" i="31"/>
  <c r="AW167" i="31"/>
  <c r="AI167" i="31"/>
  <c r="AO167" i="31"/>
  <c r="X167" i="31"/>
  <c r="AM167" i="31"/>
  <c r="AV167" i="31"/>
  <c r="S167" i="31"/>
  <c r="AE167" i="31"/>
  <c r="AA167" i="31"/>
  <c r="M167" i="31"/>
  <c r="AF167" i="31"/>
  <c r="AK167" i="31"/>
  <c r="AP167" i="31"/>
  <c r="AC167" i="31"/>
  <c r="AG167" i="31"/>
  <c r="AU167" i="31"/>
  <c r="L167" i="31"/>
  <c r="V167" i="31"/>
  <c r="AL167" i="31"/>
  <c r="AD167" i="31"/>
  <c r="Z167" i="31"/>
  <c r="Q167" i="31"/>
  <c r="I163" i="31"/>
  <c r="AH167" i="31"/>
  <c r="Y167" i="31"/>
  <c r="P167" i="31"/>
  <c r="AT167" i="31"/>
  <c r="AX167" i="31"/>
  <c r="U167" i="31"/>
  <c r="O167" i="31"/>
  <c r="AJ167" i="31"/>
  <c r="AS167" i="31"/>
  <c r="I165" i="31"/>
  <c r="I169" i="31"/>
  <c r="I81" i="7" s="1"/>
  <c r="I172" i="31"/>
  <c r="I84" i="7" s="1"/>
  <c r="I171" i="31"/>
  <c r="I83" i="7" s="1"/>
  <c r="I170" i="31"/>
  <c r="I82" i="7" s="1"/>
  <c r="I166" i="31"/>
  <c r="L129" i="31"/>
  <c r="M129" i="31" s="1"/>
  <c r="N129" i="31" s="1"/>
  <c r="AX1" i="12"/>
  <c r="BG98" i="5"/>
  <c r="AX1" i="1"/>
  <c r="AX1" i="7"/>
  <c r="AX78" i="7"/>
  <c r="AX10" i="7"/>
  <c r="AX1" i="11"/>
  <c r="AX1" i="6"/>
  <c r="AX125" i="7"/>
  <c r="K152" i="1" l="1"/>
  <c r="K153" i="1" s="1"/>
  <c r="K170" i="1" s="1"/>
  <c r="K279" i="1"/>
  <c r="K386" i="1"/>
  <c r="K393" i="1" s="1"/>
  <c r="K394" i="1" s="1"/>
  <c r="K81" i="1"/>
  <c r="F195" i="31"/>
  <c r="I192" i="31"/>
  <c r="I386" i="1" s="1"/>
  <c r="K194" i="31"/>
  <c r="W152" i="1"/>
  <c r="W153" i="1" s="1"/>
  <c r="W170" i="1" s="1"/>
  <c r="W194" i="31"/>
  <c r="W81" i="1"/>
  <c r="W386" i="1"/>
  <c r="W393" i="1" s="1"/>
  <c r="W279" i="1"/>
  <c r="P81" i="1"/>
  <c r="P152" i="1"/>
  <c r="P153" i="1" s="1"/>
  <c r="P170" i="1" s="1"/>
  <c r="P279" i="1"/>
  <c r="P194" i="31"/>
  <c r="P386" i="1"/>
  <c r="P393" i="1" s="1"/>
  <c r="AF152" i="1"/>
  <c r="AF153" i="1" s="1"/>
  <c r="AF170" i="1" s="1"/>
  <c r="AF172" i="1" s="1"/>
  <c r="AF81" i="1"/>
  <c r="AF194" i="31"/>
  <c r="AF279" i="1"/>
  <c r="AF386" i="1"/>
  <c r="AF393" i="1" s="1"/>
  <c r="AV152" i="1"/>
  <c r="AV153" i="1" s="1"/>
  <c r="AV170" i="1" s="1"/>
  <c r="AV172" i="1" s="1"/>
  <c r="AV279" i="1"/>
  <c r="AV194" i="31"/>
  <c r="AV386" i="1"/>
  <c r="AV393" i="1" s="1"/>
  <c r="AV81" i="1"/>
  <c r="Q152" i="1"/>
  <c r="Q153" i="1" s="1"/>
  <c r="Q170" i="1" s="1"/>
  <c r="Q279" i="1"/>
  <c r="Q194" i="31"/>
  <c r="Q386" i="1"/>
  <c r="Q393" i="1" s="1"/>
  <c r="Q81" i="1"/>
  <c r="AG386" i="1"/>
  <c r="AG393" i="1" s="1"/>
  <c r="AG81" i="1"/>
  <c r="AG152" i="1"/>
  <c r="AG153" i="1" s="1"/>
  <c r="AG170" i="1" s="1"/>
  <c r="AG172" i="1" s="1"/>
  <c r="AG279" i="1"/>
  <c r="AG194" i="31"/>
  <c r="AW386" i="1"/>
  <c r="AW393" i="1" s="1"/>
  <c r="AW152" i="1"/>
  <c r="AW153" i="1" s="1"/>
  <c r="AW170" i="1" s="1"/>
  <c r="AW172" i="1" s="1"/>
  <c r="AW279" i="1"/>
  <c r="AW194" i="31"/>
  <c r="AW81" i="1"/>
  <c r="M194" i="31"/>
  <c r="M152" i="1"/>
  <c r="M153" i="1" s="1"/>
  <c r="M170" i="1" s="1"/>
  <c r="M279" i="1"/>
  <c r="M81" i="1"/>
  <c r="M386" i="1"/>
  <c r="M393" i="1" s="1"/>
  <c r="Z152" i="1"/>
  <c r="Z153" i="1" s="1"/>
  <c r="Z170" i="1" s="1"/>
  <c r="Z279" i="1"/>
  <c r="Z194" i="31"/>
  <c r="Z386" i="1"/>
  <c r="Z393" i="1" s="1"/>
  <c r="Z81" i="1"/>
  <c r="AP194" i="31"/>
  <c r="AP279" i="1"/>
  <c r="AP152" i="1"/>
  <c r="AP153" i="1" s="1"/>
  <c r="AP170" i="1" s="1"/>
  <c r="AP172" i="1" s="1"/>
  <c r="AP81" i="1"/>
  <c r="AP386" i="1"/>
  <c r="AP393" i="1" s="1"/>
  <c r="AE152" i="1"/>
  <c r="AE153" i="1" s="1"/>
  <c r="AE170" i="1" s="1"/>
  <c r="AE172" i="1" s="1"/>
  <c r="AE81" i="1"/>
  <c r="AE386" i="1"/>
  <c r="AE393" i="1" s="1"/>
  <c r="AE279" i="1"/>
  <c r="AE194" i="31"/>
  <c r="T194" i="31"/>
  <c r="T279" i="1"/>
  <c r="T386" i="1"/>
  <c r="T393" i="1" s="1"/>
  <c r="T152" i="1"/>
  <c r="T153" i="1" s="1"/>
  <c r="T170" i="1" s="1"/>
  <c r="T81" i="1"/>
  <c r="AJ81" i="1"/>
  <c r="AJ194" i="31"/>
  <c r="AJ279" i="1"/>
  <c r="AJ386" i="1"/>
  <c r="AJ393" i="1" s="1"/>
  <c r="AJ152" i="1"/>
  <c r="AJ153" i="1" s="1"/>
  <c r="AJ170" i="1" s="1"/>
  <c r="AJ172" i="1" s="1"/>
  <c r="S152" i="1"/>
  <c r="S153" i="1" s="1"/>
  <c r="S170" i="1" s="1"/>
  <c r="S194" i="31"/>
  <c r="S81" i="1"/>
  <c r="S386" i="1"/>
  <c r="S393" i="1" s="1"/>
  <c r="S279" i="1"/>
  <c r="U152" i="1"/>
  <c r="U153" i="1" s="1"/>
  <c r="U170" i="1" s="1"/>
  <c r="U194" i="31"/>
  <c r="U81" i="1"/>
  <c r="U386" i="1"/>
  <c r="U393" i="1" s="1"/>
  <c r="U279" i="1"/>
  <c r="AK279" i="1"/>
  <c r="AK152" i="1"/>
  <c r="AK153" i="1" s="1"/>
  <c r="AK170" i="1" s="1"/>
  <c r="AK172" i="1" s="1"/>
  <c r="AK81" i="1"/>
  <c r="AK194" i="31"/>
  <c r="AK386" i="1"/>
  <c r="AK393" i="1" s="1"/>
  <c r="O386" i="1"/>
  <c r="O393" i="1" s="1"/>
  <c r="O279" i="1"/>
  <c r="O152" i="1"/>
  <c r="O153" i="1" s="1"/>
  <c r="O170" i="1" s="1"/>
  <c r="O194" i="31"/>
  <c r="O81" i="1"/>
  <c r="N386" i="1"/>
  <c r="N393" i="1" s="1"/>
  <c r="N81" i="1"/>
  <c r="N152" i="1"/>
  <c r="N153" i="1" s="1"/>
  <c r="N170" i="1" s="1"/>
  <c r="N279" i="1"/>
  <c r="N194" i="31"/>
  <c r="AD386" i="1"/>
  <c r="AD393" i="1" s="1"/>
  <c r="AD152" i="1"/>
  <c r="AD153" i="1" s="1"/>
  <c r="AD170" i="1" s="1"/>
  <c r="AD81" i="1"/>
  <c r="AD194" i="31"/>
  <c r="AD279" i="1"/>
  <c r="AT81" i="1"/>
  <c r="AT386" i="1"/>
  <c r="AT393" i="1" s="1"/>
  <c r="AT279" i="1"/>
  <c r="AT152" i="1"/>
  <c r="AT153" i="1" s="1"/>
  <c r="AT170" i="1" s="1"/>
  <c r="AT172" i="1" s="1"/>
  <c r="AT194" i="31"/>
  <c r="AQ386" i="1"/>
  <c r="AQ393" i="1" s="1"/>
  <c r="AQ81" i="1"/>
  <c r="AQ152" i="1"/>
  <c r="AQ153" i="1" s="1"/>
  <c r="AQ170" i="1" s="1"/>
  <c r="AQ172" i="1" s="1"/>
  <c r="AQ279" i="1"/>
  <c r="AQ194" i="31"/>
  <c r="X194" i="31"/>
  <c r="X386" i="1"/>
  <c r="X393" i="1" s="1"/>
  <c r="X279" i="1"/>
  <c r="X152" i="1"/>
  <c r="X153" i="1" s="1"/>
  <c r="X170" i="1" s="1"/>
  <c r="X81" i="1"/>
  <c r="AN152" i="1"/>
  <c r="AN153" i="1" s="1"/>
  <c r="AN170" i="1" s="1"/>
  <c r="AN172" i="1" s="1"/>
  <c r="AN81" i="1"/>
  <c r="AN386" i="1"/>
  <c r="AN393" i="1" s="1"/>
  <c r="AN194" i="31"/>
  <c r="AN279" i="1"/>
  <c r="AI194" i="31"/>
  <c r="AI81" i="1"/>
  <c r="AI152" i="1"/>
  <c r="AI153" i="1" s="1"/>
  <c r="AI170" i="1" s="1"/>
  <c r="AI172" i="1" s="1"/>
  <c r="AI279" i="1"/>
  <c r="AI386" i="1"/>
  <c r="AI393" i="1" s="1"/>
  <c r="Y194" i="31"/>
  <c r="Y279" i="1"/>
  <c r="Y386" i="1"/>
  <c r="Y393" i="1" s="1"/>
  <c r="Y152" i="1"/>
  <c r="Y153" i="1" s="1"/>
  <c r="Y170" i="1" s="1"/>
  <c r="Y81" i="1"/>
  <c r="AO279" i="1"/>
  <c r="AO386" i="1"/>
  <c r="AO393" i="1" s="1"/>
  <c r="AO81" i="1"/>
  <c r="AO152" i="1"/>
  <c r="AO153" i="1" s="1"/>
  <c r="AO170" i="1" s="1"/>
  <c r="AO172" i="1" s="1"/>
  <c r="AO194" i="31"/>
  <c r="AA386" i="1"/>
  <c r="AA393" i="1" s="1"/>
  <c r="AA81" i="1"/>
  <c r="AA152" i="1"/>
  <c r="AA153" i="1" s="1"/>
  <c r="AA170" i="1" s="1"/>
  <c r="AA279" i="1"/>
  <c r="AA194" i="31"/>
  <c r="R279" i="1"/>
  <c r="R386" i="1"/>
  <c r="R393" i="1" s="1"/>
  <c r="R81" i="1"/>
  <c r="R152" i="1"/>
  <c r="R153" i="1" s="1"/>
  <c r="R170" i="1" s="1"/>
  <c r="R194" i="31"/>
  <c r="AH194" i="31"/>
  <c r="AH81" i="1"/>
  <c r="AH386" i="1"/>
  <c r="AH393" i="1" s="1"/>
  <c r="AH279" i="1"/>
  <c r="AH152" i="1"/>
  <c r="AH153" i="1" s="1"/>
  <c r="AH170" i="1" s="1"/>
  <c r="AH172" i="1" s="1"/>
  <c r="AX194" i="31"/>
  <c r="AX279" i="1"/>
  <c r="AX152" i="1"/>
  <c r="AX153" i="1" s="1"/>
  <c r="AX170" i="1" s="1"/>
  <c r="AX172" i="1" s="1"/>
  <c r="AX386" i="1"/>
  <c r="AX393" i="1" s="1"/>
  <c r="AX395" i="1" s="1"/>
  <c r="AX404" i="1" s="1"/>
  <c r="AX81" i="1"/>
  <c r="L152" i="1"/>
  <c r="L153" i="1" s="1"/>
  <c r="L170" i="1" s="1"/>
  <c r="L81" i="1"/>
  <c r="L386" i="1"/>
  <c r="L393" i="1" s="1"/>
  <c r="L279" i="1"/>
  <c r="L194" i="31"/>
  <c r="AB194" i="31"/>
  <c r="AB386" i="1"/>
  <c r="AB393" i="1" s="1"/>
  <c r="AB81" i="1"/>
  <c r="AB152" i="1"/>
  <c r="AB153" i="1" s="1"/>
  <c r="AB170" i="1" s="1"/>
  <c r="AB279" i="1"/>
  <c r="AR279" i="1"/>
  <c r="AR152" i="1"/>
  <c r="AR153" i="1" s="1"/>
  <c r="AR170" i="1" s="1"/>
  <c r="AR172" i="1" s="1"/>
  <c r="AR81" i="1"/>
  <c r="AR194" i="31"/>
  <c r="AR386" i="1"/>
  <c r="AR393" i="1" s="1"/>
  <c r="AU81" i="1"/>
  <c r="AU152" i="1"/>
  <c r="AU153" i="1" s="1"/>
  <c r="AU170" i="1" s="1"/>
  <c r="AU172" i="1" s="1"/>
  <c r="AU279" i="1"/>
  <c r="AU194" i="31"/>
  <c r="AU386" i="1"/>
  <c r="AU393" i="1" s="1"/>
  <c r="AC386" i="1"/>
  <c r="AC393" i="1" s="1"/>
  <c r="AC194" i="31"/>
  <c r="AC279" i="1"/>
  <c r="AC152" i="1"/>
  <c r="AC153" i="1" s="1"/>
  <c r="AC170" i="1" s="1"/>
  <c r="AC81" i="1"/>
  <c r="AS152" i="1"/>
  <c r="AS153" i="1" s="1"/>
  <c r="AS170" i="1" s="1"/>
  <c r="AS172" i="1" s="1"/>
  <c r="AS279" i="1"/>
  <c r="AS194" i="31"/>
  <c r="AS386" i="1"/>
  <c r="AS393" i="1" s="1"/>
  <c r="AS81" i="1"/>
  <c r="AM152" i="1"/>
  <c r="AM153" i="1" s="1"/>
  <c r="AM170" i="1" s="1"/>
  <c r="AM172" i="1" s="1"/>
  <c r="AM194" i="31"/>
  <c r="AM81" i="1"/>
  <c r="AM386" i="1"/>
  <c r="AM393" i="1" s="1"/>
  <c r="AM279" i="1"/>
  <c r="V386" i="1"/>
  <c r="V393" i="1" s="1"/>
  <c r="V81" i="1"/>
  <c r="V152" i="1"/>
  <c r="V153" i="1" s="1"/>
  <c r="V170" i="1" s="1"/>
  <c r="V194" i="31"/>
  <c r="V279" i="1"/>
  <c r="AL81" i="1"/>
  <c r="AL386" i="1"/>
  <c r="AL393" i="1" s="1"/>
  <c r="AL279" i="1"/>
  <c r="AL152" i="1"/>
  <c r="AL153" i="1" s="1"/>
  <c r="AL170" i="1" s="1"/>
  <c r="AL172" i="1" s="1"/>
  <c r="AL194" i="31"/>
  <c r="AL188" i="31"/>
  <c r="AL385" i="1" s="1"/>
  <c r="X188" i="31"/>
  <c r="AN188" i="31"/>
  <c r="AA188" i="31"/>
  <c r="M188" i="31"/>
  <c r="AC188" i="31"/>
  <c r="AS188" i="31"/>
  <c r="AU188" i="31"/>
  <c r="V188" i="31"/>
  <c r="K188" i="31"/>
  <c r="K385" i="1" s="1"/>
  <c r="S188" i="31"/>
  <c r="AB188" i="31"/>
  <c r="AR188" i="31"/>
  <c r="AI188" i="31"/>
  <c r="Q188" i="31"/>
  <c r="AG188" i="31"/>
  <c r="AW188" i="31"/>
  <c r="P188" i="31"/>
  <c r="Z188" i="31"/>
  <c r="AP188" i="31"/>
  <c r="AM188" i="31"/>
  <c r="AF188" i="31"/>
  <c r="AV188" i="31"/>
  <c r="AQ188" i="31"/>
  <c r="U188" i="31"/>
  <c r="AK188" i="31"/>
  <c r="W188" i="31"/>
  <c r="N188" i="31"/>
  <c r="AD188" i="31"/>
  <c r="AT188" i="31"/>
  <c r="L188" i="31"/>
  <c r="AJ188" i="31"/>
  <c r="O188" i="31"/>
  <c r="T188" i="31"/>
  <c r="Y188" i="31"/>
  <c r="AO188" i="31"/>
  <c r="AE188" i="31"/>
  <c r="R188" i="31"/>
  <c r="AH188" i="31"/>
  <c r="AX188" i="31"/>
  <c r="K643" i="1"/>
  <c r="L193" i="31"/>
  <c r="L539" i="1" s="1"/>
  <c r="L550" i="1" s="1"/>
  <c r="K267" i="12"/>
  <c r="K166" i="12"/>
  <c r="K60" i="12"/>
  <c r="K330" i="1"/>
  <c r="O80" i="7"/>
  <c r="O176" i="31"/>
  <c r="U80" i="7"/>
  <c r="U176" i="31"/>
  <c r="Y80" i="7"/>
  <c r="Y176" i="31"/>
  <c r="Z80" i="7"/>
  <c r="Z176" i="31"/>
  <c r="L80" i="7"/>
  <c r="L176" i="31"/>
  <c r="AP80" i="7"/>
  <c r="AP176" i="31"/>
  <c r="AA80" i="7"/>
  <c r="AA176" i="31"/>
  <c r="AM80" i="7"/>
  <c r="AM176" i="31"/>
  <c r="AW80" i="7"/>
  <c r="AW176" i="31"/>
  <c r="N80" i="7"/>
  <c r="N176" i="31"/>
  <c r="W80" i="7"/>
  <c r="W176" i="31"/>
  <c r="AS80" i="7"/>
  <c r="AS176" i="31"/>
  <c r="AX80" i="7"/>
  <c r="AX176" i="31"/>
  <c r="AH80" i="7"/>
  <c r="AH176" i="31"/>
  <c r="AD80" i="7"/>
  <c r="AD176" i="31"/>
  <c r="AU80" i="7"/>
  <c r="AU176" i="31"/>
  <c r="AK80" i="7"/>
  <c r="AK176" i="31"/>
  <c r="AE80" i="7"/>
  <c r="AE176" i="31"/>
  <c r="X80" i="7"/>
  <c r="X176" i="31"/>
  <c r="AQ80" i="7"/>
  <c r="AQ176" i="31"/>
  <c r="AR80" i="7"/>
  <c r="AR176" i="31"/>
  <c r="K80" i="7"/>
  <c r="K176" i="31"/>
  <c r="AJ80" i="7"/>
  <c r="AJ176" i="31"/>
  <c r="AT80" i="7"/>
  <c r="AT176" i="31"/>
  <c r="AL80" i="7"/>
  <c r="AL176" i="31"/>
  <c r="AG80" i="7"/>
  <c r="AG176" i="31"/>
  <c r="AF80" i="7"/>
  <c r="AF176" i="31"/>
  <c r="S80" i="7"/>
  <c r="S176" i="31"/>
  <c r="AO80" i="7"/>
  <c r="AO176" i="31"/>
  <c r="AN80" i="7"/>
  <c r="AN176" i="31"/>
  <c r="AB80" i="7"/>
  <c r="AB176" i="31"/>
  <c r="P80" i="7"/>
  <c r="P176" i="31"/>
  <c r="Q80" i="7"/>
  <c r="Q176" i="31"/>
  <c r="V80" i="7"/>
  <c r="V176" i="31"/>
  <c r="AC80" i="7"/>
  <c r="AC176" i="31"/>
  <c r="M80" i="7"/>
  <c r="M176" i="31"/>
  <c r="AV80" i="7"/>
  <c r="AV176" i="31"/>
  <c r="AI80" i="7"/>
  <c r="AI176" i="31"/>
  <c r="R80" i="7"/>
  <c r="R176" i="31"/>
  <c r="T80" i="7"/>
  <c r="T176" i="31"/>
  <c r="K247" i="1"/>
  <c r="K249" i="1" s="1"/>
  <c r="I187" i="1"/>
  <c r="I247" i="1" s="1"/>
  <c r="I167" i="31"/>
  <c r="O129" i="31"/>
  <c r="P129" i="31" s="1"/>
  <c r="Q129" i="31" s="1"/>
  <c r="I152" i="1" l="1"/>
  <c r="K189" i="31"/>
  <c r="L189" i="31" s="1"/>
  <c r="M189" i="31" s="1"/>
  <c r="N189" i="31" s="1"/>
  <c r="O189" i="31" s="1"/>
  <c r="P189" i="31" s="1"/>
  <c r="Q189" i="31" s="1"/>
  <c r="R189" i="31" s="1"/>
  <c r="S189" i="31" s="1"/>
  <c r="T189" i="31" s="1"/>
  <c r="U189" i="31" s="1"/>
  <c r="V189" i="31" s="1"/>
  <c r="W189" i="31" s="1"/>
  <c r="X189" i="31" s="1"/>
  <c r="Y189" i="31" s="1"/>
  <c r="Z189" i="31" s="1"/>
  <c r="AA189" i="31" s="1"/>
  <c r="AB189" i="31" s="1"/>
  <c r="AC189" i="31" s="1"/>
  <c r="AD189" i="31" s="1"/>
  <c r="AE189" i="31" s="1"/>
  <c r="AF189" i="31" s="1"/>
  <c r="AG189" i="31" s="1"/>
  <c r="AH189" i="31" s="1"/>
  <c r="AI189" i="31" s="1"/>
  <c r="AJ189" i="31" s="1"/>
  <c r="AK189" i="31" s="1"/>
  <c r="AL189" i="31" s="1"/>
  <c r="AM189" i="31" s="1"/>
  <c r="AN189" i="31" s="1"/>
  <c r="AO189" i="31" s="1"/>
  <c r="AP189" i="31" s="1"/>
  <c r="AQ189" i="31" s="1"/>
  <c r="AR189" i="31" s="1"/>
  <c r="AS189" i="31" s="1"/>
  <c r="AT189" i="31" s="1"/>
  <c r="AU189" i="31" s="1"/>
  <c r="AV189" i="31" s="1"/>
  <c r="AW189" i="31" s="1"/>
  <c r="AX189" i="31" s="1"/>
  <c r="K395" i="1"/>
  <c r="K404" i="1" s="1"/>
  <c r="K424" i="1" s="1"/>
  <c r="K644" i="1"/>
  <c r="K646" i="1" s="1"/>
  <c r="AS395" i="1"/>
  <c r="AS404" i="1" s="1"/>
  <c r="AU395" i="1"/>
  <c r="AU404" i="1" s="1"/>
  <c r="AL395" i="1"/>
  <c r="AL404" i="1" s="1"/>
  <c r="AL424" i="1" s="1"/>
  <c r="AM395" i="1"/>
  <c r="AM404" i="1" s="1"/>
  <c r="AM424" i="1" s="1"/>
  <c r="AI395" i="1"/>
  <c r="AI404" i="1" s="1"/>
  <c r="AK395" i="1"/>
  <c r="AK404" i="1" s="1"/>
  <c r="AK424" i="1" s="1"/>
  <c r="AJ395" i="1"/>
  <c r="AJ404" i="1" s="1"/>
  <c r="Z395" i="1"/>
  <c r="Z404" i="1" s="1"/>
  <c r="Z424" i="1" s="1"/>
  <c r="M395" i="1"/>
  <c r="M404" i="1" s="1"/>
  <c r="Q395" i="1"/>
  <c r="Q404" i="1" s="1"/>
  <c r="W395" i="1"/>
  <c r="W404" i="1" s="1"/>
  <c r="AC395" i="1"/>
  <c r="AC404" i="1" s="1"/>
  <c r="AC424" i="1" s="1"/>
  <c r="AH395" i="1"/>
  <c r="AH404" i="1" s="1"/>
  <c r="AA395" i="1"/>
  <c r="AA404" i="1" s="1"/>
  <c r="AO395" i="1"/>
  <c r="AO404" i="1" s="1"/>
  <c r="AO424" i="1" s="1"/>
  <c r="Y395" i="1"/>
  <c r="Y404" i="1" s="1"/>
  <c r="X395" i="1"/>
  <c r="X404" i="1" s="1"/>
  <c r="AD395" i="1"/>
  <c r="AD404" i="1" s="1"/>
  <c r="AD424" i="1" s="1"/>
  <c r="AW395" i="1"/>
  <c r="AW404" i="1" s="1"/>
  <c r="AV395" i="1"/>
  <c r="AV404" i="1" s="1"/>
  <c r="AF395" i="1"/>
  <c r="AF404" i="1" s="1"/>
  <c r="I188" i="31"/>
  <c r="I644" i="1" s="1"/>
  <c r="V395" i="1"/>
  <c r="V404" i="1" s="1"/>
  <c r="N395" i="1"/>
  <c r="N404" i="1" s="1"/>
  <c r="N424" i="1" s="1"/>
  <c r="U395" i="1"/>
  <c r="U404" i="1" s="1"/>
  <c r="T395" i="1"/>
  <c r="T404" i="1" s="1"/>
  <c r="T424" i="1" s="1"/>
  <c r="AP395" i="1"/>
  <c r="AP404" i="1" s="1"/>
  <c r="AG395" i="1"/>
  <c r="AG404" i="1" s="1"/>
  <c r="P395" i="1"/>
  <c r="P404" i="1" s="1"/>
  <c r="AR395" i="1"/>
  <c r="AR404" i="1" s="1"/>
  <c r="AR424" i="1" s="1"/>
  <c r="AB395" i="1"/>
  <c r="AB404" i="1" s="1"/>
  <c r="AB424" i="1" s="1"/>
  <c r="L395" i="1"/>
  <c r="L404" i="1" s="1"/>
  <c r="AX410" i="1"/>
  <c r="AX424" i="1"/>
  <c r="AX428" i="1" s="1"/>
  <c r="AX433" i="1" s="1"/>
  <c r="R395" i="1"/>
  <c r="R404" i="1" s="1"/>
  <c r="AN395" i="1"/>
  <c r="AN404" i="1" s="1"/>
  <c r="AN424" i="1" s="1"/>
  <c r="AQ395" i="1"/>
  <c r="AQ404" i="1" s="1"/>
  <c r="AQ424" i="1" s="1"/>
  <c r="AT395" i="1"/>
  <c r="AT404" i="1" s="1"/>
  <c r="O395" i="1"/>
  <c r="O404" i="1" s="1"/>
  <c r="S395" i="1"/>
  <c r="S404" i="1" s="1"/>
  <c r="AE395" i="1"/>
  <c r="AE404" i="1" s="1"/>
  <c r="AE424" i="1" s="1"/>
  <c r="AL644" i="1"/>
  <c r="AH385" i="1"/>
  <c r="AH644" i="1"/>
  <c r="Y644" i="1"/>
  <c r="Y385" i="1"/>
  <c r="L385" i="1"/>
  <c r="L644" i="1"/>
  <c r="W385" i="1"/>
  <c r="W644" i="1"/>
  <c r="AV644" i="1"/>
  <c r="AV385" i="1"/>
  <c r="Z644" i="1"/>
  <c r="Z385" i="1"/>
  <c r="Q385" i="1"/>
  <c r="Q644" i="1"/>
  <c r="S385" i="1"/>
  <c r="S644" i="1"/>
  <c r="AS385" i="1"/>
  <c r="AS644" i="1"/>
  <c r="AN385" i="1"/>
  <c r="AN644" i="1"/>
  <c r="R385" i="1"/>
  <c r="R644" i="1"/>
  <c r="T644" i="1"/>
  <c r="T385" i="1"/>
  <c r="AT385" i="1"/>
  <c r="AT644" i="1"/>
  <c r="AK644" i="1"/>
  <c r="AK385" i="1"/>
  <c r="AF644" i="1"/>
  <c r="AF385" i="1"/>
  <c r="P644" i="1"/>
  <c r="P385" i="1"/>
  <c r="AI385" i="1"/>
  <c r="AI644" i="1"/>
  <c r="AC644" i="1"/>
  <c r="AC385" i="1"/>
  <c r="X385" i="1"/>
  <c r="X644" i="1"/>
  <c r="AE644" i="1"/>
  <c r="AE385" i="1"/>
  <c r="O385" i="1"/>
  <c r="O644" i="1"/>
  <c r="AD644" i="1"/>
  <c r="AD385" i="1"/>
  <c r="U385" i="1"/>
  <c r="U644" i="1"/>
  <c r="AM644" i="1"/>
  <c r="AM385" i="1"/>
  <c r="AW385" i="1"/>
  <c r="AW644" i="1"/>
  <c r="AR644" i="1"/>
  <c r="AR385" i="1"/>
  <c r="V644" i="1"/>
  <c r="V385" i="1"/>
  <c r="M385" i="1"/>
  <c r="M644" i="1"/>
  <c r="AX385" i="1"/>
  <c r="AX644" i="1"/>
  <c r="AO644" i="1"/>
  <c r="AO385" i="1"/>
  <c r="AJ385" i="1"/>
  <c r="AJ644" i="1"/>
  <c r="N644" i="1"/>
  <c r="N385" i="1"/>
  <c r="AQ644" i="1"/>
  <c r="AQ385" i="1"/>
  <c r="AP644" i="1"/>
  <c r="AP385" i="1"/>
  <c r="AG385" i="1"/>
  <c r="AG644" i="1"/>
  <c r="AB385" i="1"/>
  <c r="AB644" i="1"/>
  <c r="AU644" i="1"/>
  <c r="AU385" i="1"/>
  <c r="AA385" i="1"/>
  <c r="AA644" i="1"/>
  <c r="M193" i="31"/>
  <c r="M539" i="1" s="1"/>
  <c r="M550" i="1" s="1"/>
  <c r="L643" i="1"/>
  <c r="L267" i="12"/>
  <c r="L166" i="12"/>
  <c r="L60" i="12"/>
  <c r="L330" i="1"/>
  <c r="L394" i="1"/>
  <c r="K419" i="1"/>
  <c r="I80" i="7"/>
  <c r="I176" i="31"/>
  <c r="K265" i="1"/>
  <c r="K251" i="1"/>
  <c r="I249" i="1"/>
  <c r="K453" i="1"/>
  <c r="K455" i="1" s="1"/>
  <c r="K735" i="1"/>
  <c r="R129" i="31"/>
  <c r="L646" i="1" l="1"/>
  <c r="I385" i="1"/>
  <c r="AS410" i="1"/>
  <c r="AS424" i="1"/>
  <c r="AS428" i="1" s="1"/>
  <c r="AS433" i="1" s="1"/>
  <c r="AU424" i="1"/>
  <c r="AU428" i="1" s="1"/>
  <c r="AU433" i="1" s="1"/>
  <c r="AU410" i="1"/>
  <c r="O424" i="1"/>
  <c r="O428" i="1" s="1"/>
  <c r="O433" i="1" s="1"/>
  <c r="O410" i="1"/>
  <c r="R424" i="1"/>
  <c r="R428" i="1" s="1"/>
  <c r="R433" i="1" s="1"/>
  <c r="R410" i="1"/>
  <c r="AP424" i="1"/>
  <c r="AP428" i="1" s="1"/>
  <c r="AP433" i="1" s="1"/>
  <c r="AP410" i="1"/>
  <c r="V424" i="1"/>
  <c r="V428" i="1" s="1"/>
  <c r="V433" i="1" s="1"/>
  <c r="V410" i="1"/>
  <c r="AW410" i="1"/>
  <c r="AW424" i="1"/>
  <c r="AW428" i="1" s="1"/>
  <c r="AW433" i="1" s="1"/>
  <c r="W424" i="1"/>
  <c r="W428" i="1" s="1"/>
  <c r="W433" i="1" s="1"/>
  <c r="W410" i="1"/>
  <c r="AJ424" i="1"/>
  <c r="AJ428" i="1" s="1"/>
  <c r="AJ433" i="1" s="1"/>
  <c r="AJ410" i="1"/>
  <c r="AT424" i="1"/>
  <c r="AT428" i="1" s="1"/>
  <c r="AT433" i="1" s="1"/>
  <c r="AT410" i="1"/>
  <c r="AA424" i="1"/>
  <c r="AA428" i="1" s="1"/>
  <c r="AA433" i="1" s="1"/>
  <c r="AA410" i="1"/>
  <c r="Q424" i="1"/>
  <c r="Q428" i="1" s="1"/>
  <c r="Q433" i="1" s="1"/>
  <c r="Q410" i="1"/>
  <c r="P424" i="1"/>
  <c r="P428" i="1" s="1"/>
  <c r="P433" i="1" s="1"/>
  <c r="P410" i="1"/>
  <c r="U424" i="1"/>
  <c r="U428" i="1" s="1"/>
  <c r="U433" i="1" s="1"/>
  <c r="U410" i="1"/>
  <c r="AF424" i="1"/>
  <c r="AF428" i="1" s="1"/>
  <c r="AF433" i="1" s="1"/>
  <c r="AF410" i="1"/>
  <c r="X424" i="1"/>
  <c r="X428" i="1" s="1"/>
  <c r="X433" i="1" s="1"/>
  <c r="X410" i="1"/>
  <c r="AH424" i="1"/>
  <c r="AH428" i="1" s="1"/>
  <c r="AH433" i="1" s="1"/>
  <c r="AH410" i="1"/>
  <c r="M424" i="1"/>
  <c r="M428" i="1" s="1"/>
  <c r="M433" i="1" s="1"/>
  <c r="M410" i="1"/>
  <c r="AI424" i="1"/>
  <c r="AI428" i="1" s="1"/>
  <c r="AI433" i="1" s="1"/>
  <c r="AI410" i="1"/>
  <c r="S424" i="1"/>
  <c r="S428" i="1" s="1"/>
  <c r="S433" i="1" s="1"/>
  <c r="S410" i="1"/>
  <c r="L424" i="1"/>
  <c r="L428" i="1" s="1"/>
  <c r="L433" i="1" s="1"/>
  <c r="L410" i="1"/>
  <c r="AG424" i="1"/>
  <c r="AG428" i="1" s="1"/>
  <c r="AG433" i="1" s="1"/>
  <c r="AG410" i="1"/>
  <c r="AV424" i="1"/>
  <c r="AV428" i="1" s="1"/>
  <c r="AV433" i="1" s="1"/>
  <c r="AV410" i="1"/>
  <c r="Y424" i="1"/>
  <c r="Y428" i="1" s="1"/>
  <c r="Y433" i="1" s="1"/>
  <c r="Y410" i="1"/>
  <c r="L419" i="1"/>
  <c r="M394" i="1"/>
  <c r="M643" i="1"/>
  <c r="M646" i="1" s="1"/>
  <c r="N193" i="31"/>
  <c r="N539" i="1" s="1"/>
  <c r="N550" i="1" s="1"/>
  <c r="M267" i="12"/>
  <c r="M166" i="12"/>
  <c r="M60" i="12"/>
  <c r="M330" i="1"/>
  <c r="I735" i="1"/>
  <c r="I265" i="1"/>
  <c r="I453" i="1"/>
  <c r="I251" i="1"/>
  <c r="S129" i="31"/>
  <c r="K470" i="1"/>
  <c r="N394" i="1" l="1"/>
  <c r="M419" i="1"/>
  <c r="N643" i="1"/>
  <c r="N646" i="1" s="1"/>
  <c r="O193" i="31"/>
  <c r="O539" i="1" s="1"/>
  <c r="O550" i="1" s="1"/>
  <c r="N267" i="12"/>
  <c r="N166" i="12"/>
  <c r="N60" i="12"/>
  <c r="N330" i="1"/>
  <c r="T129" i="31"/>
  <c r="U129" i="31" s="1"/>
  <c r="V129" i="31" s="1"/>
  <c r="W129" i="31" s="1"/>
  <c r="X129" i="31" s="1"/>
  <c r="Y129" i="31" s="1"/>
  <c r="Z129" i="31" s="1"/>
  <c r="AA129" i="31" s="1"/>
  <c r="AB129" i="31" s="1"/>
  <c r="AC129" i="31" s="1"/>
  <c r="AD129" i="31" s="1"/>
  <c r="AE129" i="31" s="1"/>
  <c r="AF129" i="31" s="1"/>
  <c r="AG129" i="31" s="1"/>
  <c r="AH129" i="31" s="1"/>
  <c r="AI129" i="31" s="1"/>
  <c r="AJ129" i="31" s="1"/>
  <c r="AK129" i="31" s="1"/>
  <c r="AL129" i="31" s="1"/>
  <c r="AM129" i="31" s="1"/>
  <c r="AN129" i="31" s="1"/>
  <c r="AO129" i="31" s="1"/>
  <c r="AP129" i="31" s="1"/>
  <c r="AQ129" i="31" s="1"/>
  <c r="AR129" i="31" s="1"/>
  <c r="AS129" i="31" s="1"/>
  <c r="AT129" i="31" s="1"/>
  <c r="AU129" i="31" s="1"/>
  <c r="AV129" i="31" s="1"/>
  <c r="AW129" i="31" s="1"/>
  <c r="AX129" i="31" s="1"/>
  <c r="F129" i="31" s="1"/>
  <c r="F131" i="31" s="1"/>
  <c r="F133" i="31" s="1"/>
  <c r="C30" i="5" s="1"/>
  <c r="N419" i="1" l="1"/>
  <c r="O394" i="1"/>
  <c r="O643" i="1"/>
  <c r="O646" i="1" s="1"/>
  <c r="P193" i="31"/>
  <c r="P539" i="1" s="1"/>
  <c r="P550" i="1" s="1"/>
  <c r="O267" i="12"/>
  <c r="O60" i="12"/>
  <c r="O330" i="1"/>
  <c r="O166" i="12"/>
  <c r="K135" i="31"/>
  <c r="K136" i="31" s="1"/>
  <c r="K173" i="31" s="1"/>
  <c r="AX135" i="31"/>
  <c r="AX136" i="31" s="1"/>
  <c r="AX173" i="31" s="1"/>
  <c r="AX85" i="7" s="1"/>
  <c r="AT135" i="31"/>
  <c r="AT136" i="31" s="1"/>
  <c r="AT173" i="31" s="1"/>
  <c r="AT85" i="7" s="1"/>
  <c r="AP135" i="31"/>
  <c r="AP136" i="31" s="1"/>
  <c r="AP173" i="31" s="1"/>
  <c r="AP85" i="7" s="1"/>
  <c r="AL135" i="31"/>
  <c r="AL136" i="31" s="1"/>
  <c r="AL173" i="31" s="1"/>
  <c r="AL85" i="7" s="1"/>
  <c r="AH135" i="31"/>
  <c r="AH136" i="31" s="1"/>
  <c r="AH173" i="31" s="1"/>
  <c r="AH85" i="7" s="1"/>
  <c r="AD135" i="31"/>
  <c r="AD136" i="31" s="1"/>
  <c r="AD173" i="31" s="1"/>
  <c r="AD85" i="7" s="1"/>
  <c r="Z135" i="31"/>
  <c r="Z136" i="31" s="1"/>
  <c r="Z173" i="31" s="1"/>
  <c r="Z85" i="7" s="1"/>
  <c r="V135" i="31"/>
  <c r="V136" i="31" s="1"/>
  <c r="V173" i="31" s="1"/>
  <c r="V85" i="7" s="1"/>
  <c r="R135" i="31"/>
  <c r="R136" i="31" s="1"/>
  <c r="R173" i="31" s="1"/>
  <c r="R85" i="7" s="1"/>
  <c r="N135" i="31"/>
  <c r="N136" i="31" s="1"/>
  <c r="N173" i="31" s="1"/>
  <c r="N85" i="7" s="1"/>
  <c r="AW135" i="31"/>
  <c r="AW136" i="31" s="1"/>
  <c r="AW173" i="31" s="1"/>
  <c r="AW85" i="7" s="1"/>
  <c r="AS135" i="31"/>
  <c r="AS136" i="31" s="1"/>
  <c r="AS173" i="31" s="1"/>
  <c r="AS85" i="7" s="1"/>
  <c r="AO135" i="31"/>
  <c r="AO136" i="31" s="1"/>
  <c r="AO173" i="31" s="1"/>
  <c r="AO85" i="7" s="1"/>
  <c r="AK135" i="31"/>
  <c r="AK136" i="31" s="1"/>
  <c r="AK173" i="31" s="1"/>
  <c r="AK85" i="7" s="1"/>
  <c r="AG135" i="31"/>
  <c r="AG136" i="31" s="1"/>
  <c r="AG173" i="31" s="1"/>
  <c r="AG85" i="7" s="1"/>
  <c r="AC135" i="31"/>
  <c r="AC136" i="31" s="1"/>
  <c r="AC173" i="31" s="1"/>
  <c r="AC85" i="7" s="1"/>
  <c r="Y135" i="31"/>
  <c r="Y136" i="31" s="1"/>
  <c r="Y173" i="31" s="1"/>
  <c r="Y85" i="7" s="1"/>
  <c r="U135" i="31"/>
  <c r="U136" i="31" s="1"/>
  <c r="U173" i="31" s="1"/>
  <c r="U85" i="7" s="1"/>
  <c r="Q135" i="31"/>
  <c r="Q136" i="31" s="1"/>
  <c r="Q173" i="31" s="1"/>
  <c r="Q85" i="7" s="1"/>
  <c r="M135" i="31"/>
  <c r="M136" i="31" s="1"/>
  <c r="M173" i="31" s="1"/>
  <c r="M85" i="7" s="1"/>
  <c r="AV135" i="31"/>
  <c r="AV136" i="31" s="1"/>
  <c r="AV173" i="31" s="1"/>
  <c r="AV85" i="7" s="1"/>
  <c r="AR135" i="31"/>
  <c r="AR136" i="31" s="1"/>
  <c r="AR173" i="31" s="1"/>
  <c r="AR85" i="7" s="1"/>
  <c r="AN135" i="31"/>
  <c r="AN136" i="31" s="1"/>
  <c r="AN173" i="31" s="1"/>
  <c r="AN85" i="7" s="1"/>
  <c r="AJ135" i="31"/>
  <c r="AJ136" i="31" s="1"/>
  <c r="AJ173" i="31" s="1"/>
  <c r="AJ85" i="7" s="1"/>
  <c r="AF135" i="31"/>
  <c r="AF136" i="31" s="1"/>
  <c r="AF173" i="31" s="1"/>
  <c r="AF85" i="7" s="1"/>
  <c r="AB135" i="31"/>
  <c r="AB136" i="31" s="1"/>
  <c r="AB173" i="31" s="1"/>
  <c r="AB85" i="7" s="1"/>
  <c r="X135" i="31"/>
  <c r="X136" i="31" s="1"/>
  <c r="X173" i="31" s="1"/>
  <c r="X85" i="7" s="1"/>
  <c r="T135" i="31"/>
  <c r="T136" i="31" s="1"/>
  <c r="T173" i="31" s="1"/>
  <c r="T85" i="7" s="1"/>
  <c r="P135" i="31"/>
  <c r="P136" i="31" s="1"/>
  <c r="P173" i="31" s="1"/>
  <c r="P85" i="7" s="1"/>
  <c r="L135" i="31"/>
  <c r="L136" i="31" s="1"/>
  <c r="L173" i="31" s="1"/>
  <c r="L85" i="7" s="1"/>
  <c r="AU135" i="31"/>
  <c r="AU136" i="31" s="1"/>
  <c r="AU173" i="31" s="1"/>
  <c r="AU85" i="7" s="1"/>
  <c r="AQ135" i="31"/>
  <c r="AQ136" i="31" s="1"/>
  <c r="AQ173" i="31" s="1"/>
  <c r="AQ85" i="7" s="1"/>
  <c r="AM135" i="31"/>
  <c r="AM136" i="31" s="1"/>
  <c r="AM173" i="31" s="1"/>
  <c r="AM85" i="7" s="1"/>
  <c r="AI135" i="31"/>
  <c r="AI136" i="31" s="1"/>
  <c r="AI173" i="31" s="1"/>
  <c r="AI85" i="7" s="1"/>
  <c r="AE135" i="31"/>
  <c r="AE136" i="31" s="1"/>
  <c r="AE173" i="31" s="1"/>
  <c r="AE85" i="7" s="1"/>
  <c r="AA135" i="31"/>
  <c r="AA136" i="31" s="1"/>
  <c r="AA173" i="31" s="1"/>
  <c r="AA85" i="7" s="1"/>
  <c r="W135" i="31"/>
  <c r="W136" i="31" s="1"/>
  <c r="W173" i="31" s="1"/>
  <c r="W85" i="7" s="1"/>
  <c r="S135" i="31"/>
  <c r="S136" i="31" s="1"/>
  <c r="S173" i="31" s="1"/>
  <c r="S85" i="7" s="1"/>
  <c r="O135" i="31"/>
  <c r="O136" i="31" s="1"/>
  <c r="O173" i="31" s="1"/>
  <c r="O85" i="7" s="1"/>
  <c r="K85" i="7" l="1"/>
  <c r="O419" i="1"/>
  <c r="P394" i="1"/>
  <c r="Q193" i="31"/>
  <c r="Q539" i="1" s="1"/>
  <c r="Q550" i="1" s="1"/>
  <c r="P643" i="1"/>
  <c r="P646" i="1" s="1"/>
  <c r="P267" i="12"/>
  <c r="P60" i="12"/>
  <c r="P330" i="1"/>
  <c r="P166" i="12"/>
  <c r="AE174" i="31"/>
  <c r="AN174" i="31"/>
  <c r="AW174" i="31"/>
  <c r="S174" i="31"/>
  <c r="AI174" i="31"/>
  <c r="L174" i="31"/>
  <c r="AB174" i="31"/>
  <c r="AR174" i="31"/>
  <c r="U174" i="31"/>
  <c r="AK174" i="31"/>
  <c r="N174" i="31"/>
  <c r="AD174" i="31"/>
  <c r="AT174" i="31"/>
  <c r="AU174" i="31"/>
  <c r="Q174" i="31"/>
  <c r="AP174" i="31"/>
  <c r="AM174" i="31"/>
  <c r="P174" i="31"/>
  <c r="AF174" i="31"/>
  <c r="AV174" i="31"/>
  <c r="Y174" i="31"/>
  <c r="AO174" i="31"/>
  <c r="R174" i="31"/>
  <c r="AH174" i="31"/>
  <c r="AX174" i="31"/>
  <c r="O174" i="31"/>
  <c r="X174" i="31"/>
  <c r="AG174" i="31"/>
  <c r="Z174" i="31"/>
  <c r="W174" i="31"/>
  <c r="AA174" i="31"/>
  <c r="AQ174" i="31"/>
  <c r="T174" i="31"/>
  <c r="AJ174" i="31"/>
  <c r="M174" i="31"/>
  <c r="AC174" i="31"/>
  <c r="AS174" i="31"/>
  <c r="V174" i="31"/>
  <c r="AL174" i="31"/>
  <c r="K174" i="31"/>
  <c r="I136" i="31"/>
  <c r="I173" i="31" s="1"/>
  <c r="I85" i="7" s="1"/>
  <c r="I135" i="31"/>
  <c r="K184" i="31" l="1"/>
  <c r="K204" i="31" s="1"/>
  <c r="K205" i="31" s="1"/>
  <c r="K538" i="1" s="1"/>
  <c r="K549" i="1" s="1"/>
  <c r="AB184" i="31"/>
  <c r="AB204" i="31" s="1"/>
  <c r="AS184" i="31"/>
  <c r="AS204" i="31" s="1"/>
  <c r="W184" i="31"/>
  <c r="W204" i="31" s="1"/>
  <c r="AN184" i="31"/>
  <c r="AN204" i="31" s="1"/>
  <c r="R184" i="31"/>
  <c r="R204" i="31" s="1"/>
  <c r="AI184" i="31"/>
  <c r="AI204" i="31" s="1"/>
  <c r="M184" i="31"/>
  <c r="M204" i="31" s="1"/>
  <c r="AD184" i="31"/>
  <c r="AD204" i="31" s="1"/>
  <c r="AU184" i="31"/>
  <c r="AU204" i="31" s="1"/>
  <c r="Y184" i="31"/>
  <c r="Y204" i="31" s="1"/>
  <c r="AP184" i="31"/>
  <c r="AP204" i="31" s="1"/>
  <c r="T184" i="31"/>
  <c r="T204" i="31" s="1"/>
  <c r="AK184" i="31"/>
  <c r="AK204" i="31" s="1"/>
  <c r="O184" i="31"/>
  <c r="O204" i="31" s="1"/>
  <c r="AF184" i="31"/>
  <c r="AF204" i="31" s="1"/>
  <c r="AW184" i="31"/>
  <c r="AW204" i="31" s="1"/>
  <c r="AA184" i="31"/>
  <c r="AA204" i="31" s="1"/>
  <c r="AR184" i="31"/>
  <c r="AR204" i="31" s="1"/>
  <c r="V184" i="31"/>
  <c r="V204" i="31" s="1"/>
  <c r="AM184" i="31"/>
  <c r="AM204" i="31" s="1"/>
  <c r="Q184" i="31"/>
  <c r="Q204" i="31" s="1"/>
  <c r="AH184" i="31"/>
  <c r="AH204" i="31" s="1"/>
  <c r="L184" i="31"/>
  <c r="L204" i="31" s="1"/>
  <c r="AC184" i="31"/>
  <c r="AC204" i="31" s="1"/>
  <c r="AT184" i="31"/>
  <c r="AT204" i="31" s="1"/>
  <c r="X184" i="31"/>
  <c r="X204" i="31" s="1"/>
  <c r="AO184" i="31"/>
  <c r="AO204" i="31" s="1"/>
  <c r="S184" i="31"/>
  <c r="S204" i="31" s="1"/>
  <c r="AJ184" i="31"/>
  <c r="AJ204" i="31" s="1"/>
  <c r="N184" i="31"/>
  <c r="N204" i="31" s="1"/>
  <c r="AE184" i="31"/>
  <c r="AE204" i="31" s="1"/>
  <c r="AV184" i="31"/>
  <c r="AV204" i="31" s="1"/>
  <c r="Z184" i="31"/>
  <c r="Z204" i="31" s="1"/>
  <c r="AQ184" i="31"/>
  <c r="AQ204" i="31" s="1"/>
  <c r="U184" i="31"/>
  <c r="U204" i="31" s="1"/>
  <c r="AL184" i="31"/>
  <c r="AL204" i="31" s="1"/>
  <c r="P184" i="31"/>
  <c r="P204" i="31" s="1"/>
  <c r="AG184" i="31"/>
  <c r="AG204" i="31" s="1"/>
  <c r="AX184" i="31"/>
  <c r="AX204" i="31" s="1"/>
  <c r="Q643" i="1"/>
  <c r="Q646" i="1" s="1"/>
  <c r="R193" i="31"/>
  <c r="R539" i="1" s="1"/>
  <c r="R550" i="1" s="1"/>
  <c r="Q267" i="12"/>
  <c r="Q166" i="12"/>
  <c r="Q330" i="1"/>
  <c r="Q60" i="12"/>
  <c r="P419" i="1"/>
  <c r="Q394" i="1"/>
  <c r="K86" i="7"/>
  <c r="K177" i="31"/>
  <c r="K178" i="31" s="1"/>
  <c r="V86" i="7"/>
  <c r="V177" i="31"/>
  <c r="V178" i="31" s="1"/>
  <c r="V87" i="7" s="1"/>
  <c r="AC86" i="7"/>
  <c r="AC177" i="31"/>
  <c r="AC178" i="31" s="1"/>
  <c r="AC87" i="7" s="1"/>
  <c r="AJ86" i="7"/>
  <c r="AJ177" i="31"/>
  <c r="AJ178" i="31" s="1"/>
  <c r="AJ87" i="7" s="1"/>
  <c r="AQ86" i="7"/>
  <c r="AQ177" i="31"/>
  <c r="AQ178" i="31" s="1"/>
  <c r="AQ87" i="7" s="1"/>
  <c r="W86" i="7"/>
  <c r="W177" i="31"/>
  <c r="W178" i="31" s="1"/>
  <c r="W87" i="7" s="1"/>
  <c r="AG86" i="7"/>
  <c r="AG177" i="31"/>
  <c r="AG178" i="31" s="1"/>
  <c r="AG87" i="7" s="1"/>
  <c r="O86" i="7"/>
  <c r="O177" i="31"/>
  <c r="O178" i="31" s="1"/>
  <c r="O87" i="7" s="1"/>
  <c r="AH86" i="7"/>
  <c r="AH177" i="31"/>
  <c r="AH178" i="31" s="1"/>
  <c r="AH87" i="7" s="1"/>
  <c r="AO86" i="7"/>
  <c r="AO177" i="31"/>
  <c r="AO178" i="31" s="1"/>
  <c r="AO87" i="7" s="1"/>
  <c r="AV86" i="7"/>
  <c r="AV177" i="31"/>
  <c r="AV178" i="31" s="1"/>
  <c r="AV87" i="7" s="1"/>
  <c r="P86" i="7"/>
  <c r="P177" i="31"/>
  <c r="P178" i="31" s="1"/>
  <c r="P87" i="7" s="1"/>
  <c r="AP86" i="7"/>
  <c r="AP177" i="31"/>
  <c r="AP178" i="31" s="1"/>
  <c r="AP87" i="7" s="1"/>
  <c r="AU86" i="7"/>
  <c r="AU177" i="31"/>
  <c r="AU178" i="31" s="1"/>
  <c r="AU87" i="7" s="1"/>
  <c r="AD86" i="7"/>
  <c r="AD177" i="31"/>
  <c r="AD178" i="31" s="1"/>
  <c r="AD87" i="7" s="1"/>
  <c r="AK86" i="7"/>
  <c r="AK177" i="31"/>
  <c r="AK178" i="31" s="1"/>
  <c r="AK87" i="7" s="1"/>
  <c r="AR86" i="7"/>
  <c r="AR177" i="31"/>
  <c r="AR178" i="31" s="1"/>
  <c r="AR87" i="7" s="1"/>
  <c r="L86" i="7"/>
  <c r="L177" i="31"/>
  <c r="L178" i="31" s="1"/>
  <c r="L87" i="7" s="1"/>
  <c r="S86" i="7"/>
  <c r="S177" i="31"/>
  <c r="S178" i="31" s="1"/>
  <c r="AN86" i="7"/>
  <c r="AN177" i="31"/>
  <c r="AN178" i="31" s="1"/>
  <c r="AN87" i="7" s="1"/>
  <c r="AL86" i="7"/>
  <c r="AL177" i="31"/>
  <c r="AL178" i="31" s="1"/>
  <c r="AL87" i="7" s="1"/>
  <c r="AS86" i="7"/>
  <c r="AS177" i="31"/>
  <c r="AS178" i="31" s="1"/>
  <c r="AS87" i="7" s="1"/>
  <c r="M86" i="7"/>
  <c r="M177" i="31"/>
  <c r="M178" i="31" s="1"/>
  <c r="M87" i="7" s="1"/>
  <c r="T86" i="7"/>
  <c r="T177" i="31"/>
  <c r="T178" i="31" s="1"/>
  <c r="AA86" i="7"/>
  <c r="AA177" i="31"/>
  <c r="AA178" i="31" s="1"/>
  <c r="AA87" i="7" s="1"/>
  <c r="Z86" i="7"/>
  <c r="Z177" i="31"/>
  <c r="Z178" i="31" s="1"/>
  <c r="Z87" i="7" s="1"/>
  <c r="X86" i="7"/>
  <c r="X177" i="31"/>
  <c r="X178" i="31" s="1"/>
  <c r="X87" i="7" s="1"/>
  <c r="AX86" i="7"/>
  <c r="AX177" i="31"/>
  <c r="AX178" i="31" s="1"/>
  <c r="AX87" i="7" s="1"/>
  <c r="R86" i="7"/>
  <c r="R177" i="31"/>
  <c r="R178" i="31" s="1"/>
  <c r="Y86" i="7"/>
  <c r="Y177" i="31"/>
  <c r="Y178" i="31" s="1"/>
  <c r="Y87" i="7" s="1"/>
  <c r="AF86" i="7"/>
  <c r="AF177" i="31"/>
  <c r="AF178" i="31" s="1"/>
  <c r="AF87" i="7" s="1"/>
  <c r="AM86" i="7"/>
  <c r="AM177" i="31"/>
  <c r="AM178" i="31" s="1"/>
  <c r="AM87" i="7" s="1"/>
  <c r="Q86" i="7"/>
  <c r="Q177" i="31"/>
  <c r="Q178" i="31" s="1"/>
  <c r="AT86" i="7"/>
  <c r="AT177" i="31"/>
  <c r="AT178" i="31" s="1"/>
  <c r="AT87" i="7" s="1"/>
  <c r="N86" i="7"/>
  <c r="N177" i="31"/>
  <c r="N178" i="31" s="1"/>
  <c r="N87" i="7" s="1"/>
  <c r="U86" i="7"/>
  <c r="U177" i="31"/>
  <c r="U178" i="31" s="1"/>
  <c r="AB86" i="7"/>
  <c r="AB177" i="31"/>
  <c r="AB178" i="31" s="1"/>
  <c r="AB87" i="7" s="1"/>
  <c r="AI86" i="7"/>
  <c r="AI177" i="31"/>
  <c r="AI178" i="31" s="1"/>
  <c r="AI87" i="7" s="1"/>
  <c r="AW86" i="7"/>
  <c r="AW177" i="31"/>
  <c r="AW178" i="31" s="1"/>
  <c r="AW87" i="7" s="1"/>
  <c r="AE86" i="7"/>
  <c r="AE177" i="31"/>
  <c r="AE178" i="31" s="1"/>
  <c r="AE87" i="7" s="1"/>
  <c r="I174" i="31"/>
  <c r="K185" i="31" l="1"/>
  <c r="K537" i="1" s="1"/>
  <c r="K548" i="1" s="1"/>
  <c r="N88" i="7"/>
  <c r="M88" i="7"/>
  <c r="I184" i="31"/>
  <c r="I204" i="31" s="1"/>
  <c r="L205" i="31"/>
  <c r="L538" i="1" s="1"/>
  <c r="L549" i="1" s="1"/>
  <c r="K224" i="31"/>
  <c r="K225" i="31" s="1"/>
  <c r="Q419" i="1"/>
  <c r="R394" i="1"/>
  <c r="S193" i="31"/>
  <c r="S539" i="1" s="1"/>
  <c r="S550" i="1" s="1"/>
  <c r="R643" i="1"/>
  <c r="R646" i="1" s="1"/>
  <c r="R267" i="12"/>
  <c r="R60" i="12"/>
  <c r="R166" i="12"/>
  <c r="R330" i="1"/>
  <c r="L88" i="7"/>
  <c r="P88" i="7"/>
  <c r="O88" i="7"/>
  <c r="W88" i="7"/>
  <c r="AJ88" i="7"/>
  <c r="I86" i="7"/>
  <c r="I177" i="31"/>
  <c r="AE88" i="7"/>
  <c r="AI88" i="7"/>
  <c r="AT88" i="7"/>
  <c r="AM88" i="7"/>
  <c r="Y88" i="7"/>
  <c r="AX88" i="7"/>
  <c r="Z88" i="7"/>
  <c r="AS88" i="7"/>
  <c r="AN88" i="7"/>
  <c r="AK88" i="7"/>
  <c r="AU88" i="7"/>
  <c r="AO88" i="7"/>
  <c r="V88" i="7"/>
  <c r="I178" i="31"/>
  <c r="AW88" i="7"/>
  <c r="AB88" i="7"/>
  <c r="AF88" i="7"/>
  <c r="X88" i="7"/>
  <c r="AA88" i="7"/>
  <c r="AL88" i="7"/>
  <c r="AR88" i="7"/>
  <c r="AD88" i="7"/>
  <c r="AP88" i="7"/>
  <c r="AV88" i="7"/>
  <c r="AH88" i="7"/>
  <c r="AG88" i="7"/>
  <c r="AQ88" i="7"/>
  <c r="AC88" i="7"/>
  <c r="Q87" i="7"/>
  <c r="Q88" i="7" s="1"/>
  <c r="K212" i="31" l="1"/>
  <c r="K213" i="31" s="1"/>
  <c r="K159" i="1" s="1"/>
  <c r="K160" i="1" s="1"/>
  <c r="K220" i="31"/>
  <c r="K221" i="31" s="1"/>
  <c r="K175" i="12" s="1"/>
  <c r="L185" i="31"/>
  <c r="L537" i="1" s="1"/>
  <c r="L548" i="1" s="1"/>
  <c r="K135" i="1"/>
  <c r="K136" i="1" s="1"/>
  <c r="M205" i="31"/>
  <c r="M538" i="1" s="1"/>
  <c r="M549" i="1" s="1"/>
  <c r="L224" i="31"/>
  <c r="L225" i="31" s="1"/>
  <c r="S643" i="1"/>
  <c r="S646" i="1" s="1"/>
  <c r="T193" i="31"/>
  <c r="T539" i="1" s="1"/>
  <c r="T550" i="1" s="1"/>
  <c r="S267" i="12"/>
  <c r="S60" i="12"/>
  <c r="S166" i="12"/>
  <c r="S330" i="1"/>
  <c r="R419" i="1"/>
  <c r="S394" i="1"/>
  <c r="C29" i="5"/>
  <c r="I279" i="1"/>
  <c r="R87" i="7"/>
  <c r="R88" i="7" s="1"/>
  <c r="L212" i="31" l="1"/>
  <c r="L213" i="31" s="1"/>
  <c r="L746" i="1" s="1"/>
  <c r="L751" i="1" s="1"/>
  <c r="L14" i="7" s="1"/>
  <c r="L27" i="7" s="1"/>
  <c r="K69" i="12"/>
  <c r="K230" i="31"/>
  <c r="K242" i="31" s="1"/>
  <c r="K202" i="1"/>
  <c r="K746" i="1"/>
  <c r="K751" i="1" s="1"/>
  <c r="K14" i="7" s="1"/>
  <c r="K27" i="7" s="1"/>
  <c r="L220" i="31"/>
  <c r="L221" i="31" s="1"/>
  <c r="L175" i="12" s="1"/>
  <c r="M185" i="31"/>
  <c r="L135" i="1"/>
  <c r="L136" i="1" s="1"/>
  <c r="N205" i="31"/>
  <c r="N538" i="1" s="1"/>
  <c r="N549" i="1" s="1"/>
  <c r="M224" i="31"/>
  <c r="M225" i="31" s="1"/>
  <c r="S419" i="1"/>
  <c r="T394" i="1"/>
  <c r="U193" i="31"/>
  <c r="U539" i="1" s="1"/>
  <c r="U550" i="1" s="1"/>
  <c r="T643" i="1"/>
  <c r="T646" i="1" s="1"/>
  <c r="T267" i="12"/>
  <c r="T330" i="1"/>
  <c r="T166" i="12"/>
  <c r="T60" i="12"/>
  <c r="K410" i="1"/>
  <c r="K428" i="1"/>
  <c r="I81" i="1"/>
  <c r="F74" i="1"/>
  <c r="M75" i="1" s="1"/>
  <c r="M537" i="1" l="1"/>
  <c r="M548" i="1" s="1"/>
  <c r="K240" i="31"/>
  <c r="K374" i="1" s="1"/>
  <c r="L202" i="1"/>
  <c r="L159" i="1"/>
  <c r="L160" i="1" s="1"/>
  <c r="L230" i="31"/>
  <c r="L232" i="31" s="1"/>
  <c r="L162" i="1" s="1"/>
  <c r="L69" i="12"/>
  <c r="K241" i="31"/>
  <c r="K460" i="1" s="1"/>
  <c r="K238" i="31"/>
  <c r="K12" i="12" s="1"/>
  <c r="K77" i="12" s="1"/>
  <c r="M220" i="31"/>
  <c r="M221" i="31" s="1"/>
  <c r="M175" i="12" s="1"/>
  <c r="K232" i="31"/>
  <c r="K162" i="1" s="1"/>
  <c r="K163" i="1" s="1"/>
  <c r="K164" i="1" s="1"/>
  <c r="K167" i="1" s="1"/>
  <c r="K171" i="1" s="1"/>
  <c r="K172" i="1" s="1"/>
  <c r="M212" i="31"/>
  <c r="M213" i="31" s="1"/>
  <c r="K239" i="31"/>
  <c r="K13" i="12" s="1"/>
  <c r="K78" i="12" s="1"/>
  <c r="K234" i="31"/>
  <c r="K235" i="31"/>
  <c r="K9" i="12" s="1"/>
  <c r="K74" i="12" s="1"/>
  <c r="M135" i="1"/>
  <c r="M136" i="1" s="1"/>
  <c r="N185" i="31"/>
  <c r="N537" i="1" s="1"/>
  <c r="N548" i="1" s="1"/>
  <c r="K16" i="12"/>
  <c r="K81" i="12" s="1"/>
  <c r="K560" i="1"/>
  <c r="K118" i="1"/>
  <c r="K251" i="31"/>
  <c r="K77" i="1"/>
  <c r="N224" i="31"/>
  <c r="N225" i="31" s="1"/>
  <c r="O205" i="31"/>
  <c r="O538" i="1" s="1"/>
  <c r="O549" i="1" s="1"/>
  <c r="V193" i="31"/>
  <c r="V539" i="1" s="1"/>
  <c r="V550" i="1" s="1"/>
  <c r="U643" i="1"/>
  <c r="U646" i="1" s="1"/>
  <c r="U267" i="12"/>
  <c r="U60" i="12"/>
  <c r="U330" i="1"/>
  <c r="U166" i="12"/>
  <c r="T419" i="1"/>
  <c r="U394" i="1"/>
  <c r="K433" i="1"/>
  <c r="AV75" i="1"/>
  <c r="AR75" i="1"/>
  <c r="AN75" i="1"/>
  <c r="AJ75" i="1"/>
  <c r="AF75" i="1"/>
  <c r="AB75" i="1"/>
  <c r="X75" i="1"/>
  <c r="T75" i="1"/>
  <c r="P75" i="1"/>
  <c r="L75" i="1"/>
  <c r="AU75" i="1"/>
  <c r="AQ75" i="1"/>
  <c r="AM75" i="1"/>
  <c r="AI75" i="1"/>
  <c r="AE75" i="1"/>
  <c r="AA75" i="1"/>
  <c r="W75" i="1"/>
  <c r="S75" i="1"/>
  <c r="O75" i="1"/>
  <c r="AX75" i="1"/>
  <c r="AT75" i="1"/>
  <c r="AP75" i="1"/>
  <c r="AL75" i="1"/>
  <c r="AH75" i="1"/>
  <c r="AD75" i="1"/>
  <c r="Z75" i="1"/>
  <c r="V75" i="1"/>
  <c r="R75" i="1"/>
  <c r="N75" i="1"/>
  <c r="AO75" i="1"/>
  <c r="Y75" i="1"/>
  <c r="AS75" i="1"/>
  <c r="AK75" i="1"/>
  <c r="U75" i="1"/>
  <c r="AC75" i="1"/>
  <c r="AW75" i="1"/>
  <c r="AG75" i="1"/>
  <c r="Q75" i="1"/>
  <c r="S87" i="7"/>
  <c r="S88" i="7" s="1"/>
  <c r="K75" i="1"/>
  <c r="U87" i="7"/>
  <c r="U88" i="7" s="1"/>
  <c r="K373" i="1" l="1"/>
  <c r="L234" i="31"/>
  <c r="L8" i="12" s="1"/>
  <c r="L73" i="12" s="1"/>
  <c r="K487" i="1"/>
  <c r="K14" i="12"/>
  <c r="K79" i="12" s="1"/>
  <c r="K558" i="1"/>
  <c r="K249" i="31"/>
  <c r="K261" i="1"/>
  <c r="L242" i="31"/>
  <c r="L560" i="1" s="1"/>
  <c r="L239" i="31"/>
  <c r="L557" i="1" s="1"/>
  <c r="L241" i="31"/>
  <c r="L559" i="1" s="1"/>
  <c r="L235" i="31"/>
  <c r="L9" i="12" s="1"/>
  <c r="L74" i="12" s="1"/>
  <c r="K354" i="1"/>
  <c r="K360" i="1" s="1"/>
  <c r="K485" i="1"/>
  <c r="L238" i="31"/>
  <c r="L556" i="1" s="1"/>
  <c r="L240" i="31"/>
  <c r="L558" i="1" s="1"/>
  <c r="K486" i="1"/>
  <c r="K243" i="31"/>
  <c r="K17" i="12" s="1"/>
  <c r="K82" i="12" s="1"/>
  <c r="M230" i="31"/>
  <c r="M238" i="31" s="1"/>
  <c r="K557" i="1"/>
  <c r="M202" i="1"/>
  <c r="M159" i="1"/>
  <c r="M160" i="1" s="1"/>
  <c r="L163" i="1"/>
  <c r="L164" i="1" s="1"/>
  <c r="L167" i="1" s="1"/>
  <c r="L171" i="1" s="1"/>
  <c r="L172" i="1" s="1"/>
  <c r="M746" i="1"/>
  <c r="M751" i="1" s="1"/>
  <c r="M14" i="7" s="1"/>
  <c r="M27" i="7" s="1"/>
  <c r="M69" i="12"/>
  <c r="K285" i="1"/>
  <c r="O185" i="31"/>
  <c r="O537" i="1" s="1"/>
  <c r="O548" i="1" s="1"/>
  <c r="K259" i="1"/>
  <c r="K260" i="1"/>
  <c r="K556" i="1"/>
  <c r="K250" i="31"/>
  <c r="K488" i="1"/>
  <c r="K559" i="1"/>
  <c r="K15" i="12"/>
  <c r="K80" i="12" s="1"/>
  <c r="K129" i="7" s="1"/>
  <c r="K130" i="7" s="1"/>
  <c r="K236" i="31"/>
  <c r="K444" i="1" s="1"/>
  <c r="K262" i="1"/>
  <c r="N135" i="1"/>
  <c r="N136" i="1" s="1"/>
  <c r="N220" i="31"/>
  <c r="N221" i="31" s="1"/>
  <c r="N175" i="12" s="1"/>
  <c r="N212" i="31"/>
  <c r="N213" i="31" s="1"/>
  <c r="N69" i="12" s="1"/>
  <c r="O224" i="31"/>
  <c r="O225" i="31" s="1"/>
  <c r="P205" i="31"/>
  <c r="P538" i="1" s="1"/>
  <c r="P549" i="1" s="1"/>
  <c r="K97" i="1"/>
  <c r="K108" i="1" s="1"/>
  <c r="K89" i="1"/>
  <c r="U419" i="1"/>
  <c r="V394" i="1"/>
  <c r="V643" i="1"/>
  <c r="V646" i="1" s="1"/>
  <c r="W193" i="31"/>
  <c r="W539" i="1" s="1"/>
  <c r="W550" i="1" s="1"/>
  <c r="V267" i="12"/>
  <c r="V60" i="12"/>
  <c r="V330" i="1"/>
  <c r="V166" i="12"/>
  <c r="T87" i="7"/>
  <c r="T88" i="7" s="1"/>
  <c r="L141" i="1" l="1"/>
  <c r="L118" i="1"/>
  <c r="L14" i="12"/>
  <c r="L79" i="12" s="1"/>
  <c r="L16" i="12"/>
  <c r="L81" i="12" s="1"/>
  <c r="L285" i="1"/>
  <c r="L260" i="1"/>
  <c r="L373" i="1"/>
  <c r="L15" i="12"/>
  <c r="L80" i="12" s="1"/>
  <c r="L129" i="7" s="1"/>
  <c r="L130" i="7" s="1"/>
  <c r="L262" i="1"/>
  <c r="L13" i="12"/>
  <c r="L78" i="12" s="1"/>
  <c r="L488" i="1"/>
  <c r="L486" i="1"/>
  <c r="L77" i="1"/>
  <c r="L89" i="1" s="1"/>
  <c r="L251" i="31"/>
  <c r="L249" i="31"/>
  <c r="L374" i="1"/>
  <c r="L487" i="1"/>
  <c r="L236" i="31"/>
  <c r="L142" i="1" s="1"/>
  <c r="N202" i="1"/>
  <c r="L460" i="1"/>
  <c r="L250" i="31"/>
  <c r="N746" i="1"/>
  <c r="N751" i="1" s="1"/>
  <c r="N14" i="7" s="1"/>
  <c r="N27" i="7" s="1"/>
  <c r="L243" i="31"/>
  <c r="L259" i="1"/>
  <c r="N159" i="1"/>
  <c r="N160" i="1" s="1"/>
  <c r="L354" i="1"/>
  <c r="L360" i="1" s="1"/>
  <c r="L371" i="1" s="1"/>
  <c r="N230" i="31"/>
  <c r="N240" i="31" s="1"/>
  <c r="L485" i="1"/>
  <c r="L261" i="1"/>
  <c r="L12" i="12"/>
  <c r="L77" i="12" s="1"/>
  <c r="M242" i="31"/>
  <c r="M560" i="1" s="1"/>
  <c r="M239" i="31"/>
  <c r="M285" i="1" s="1"/>
  <c r="M234" i="31"/>
  <c r="M141" i="1" s="1"/>
  <c r="K245" i="31"/>
  <c r="M240" i="31"/>
  <c r="M249" i="31" s="1"/>
  <c r="M241" i="31"/>
  <c r="M488" i="1" s="1"/>
  <c r="O135" i="1"/>
  <c r="O136" i="1" s="1"/>
  <c r="M235" i="31"/>
  <c r="M9" i="12" s="1"/>
  <c r="M74" i="12" s="1"/>
  <c r="P185" i="31"/>
  <c r="P537" i="1" s="1"/>
  <c r="P548" i="1" s="1"/>
  <c r="M232" i="31"/>
  <c r="M162" i="1" s="1"/>
  <c r="M163" i="1" s="1"/>
  <c r="M164" i="1" s="1"/>
  <c r="M167" i="1" s="1"/>
  <c r="M171" i="1" s="1"/>
  <c r="M172" i="1" s="1"/>
  <c r="O212" i="31"/>
  <c r="O213" i="31" s="1"/>
  <c r="O746" i="1" s="1"/>
  <c r="O751" i="1" s="1"/>
  <c r="O14" i="7" s="1"/>
  <c r="O27" i="7" s="1"/>
  <c r="O220" i="31"/>
  <c r="O221" i="31" s="1"/>
  <c r="O175" i="12" s="1"/>
  <c r="K252" i="1"/>
  <c r="K483" i="1"/>
  <c r="K177" i="1"/>
  <c r="K248" i="31"/>
  <c r="K252" i="31" s="1"/>
  <c r="M259" i="1"/>
  <c r="M556" i="1"/>
  <c r="M12" i="12"/>
  <c r="M77" i="12" s="1"/>
  <c r="M354" i="1"/>
  <c r="M360" i="1" s="1"/>
  <c r="M485" i="1"/>
  <c r="K123" i="1"/>
  <c r="K119" i="1"/>
  <c r="P224" i="31"/>
  <c r="P225" i="31" s="1"/>
  <c r="Q205" i="31"/>
  <c r="Q538" i="1" s="1"/>
  <c r="Q549" i="1" s="1"/>
  <c r="X193" i="31"/>
  <c r="X539" i="1" s="1"/>
  <c r="X550" i="1" s="1"/>
  <c r="W643" i="1"/>
  <c r="W646" i="1" s="1"/>
  <c r="W267" i="12"/>
  <c r="W60" i="12"/>
  <c r="W330" i="1"/>
  <c r="W166" i="12"/>
  <c r="V419" i="1"/>
  <c r="W394" i="1"/>
  <c r="K371" i="1"/>
  <c r="K361" i="1"/>
  <c r="K458" i="1" s="1"/>
  <c r="M486" i="1" l="1"/>
  <c r="L444" i="1"/>
  <c r="L252" i="1"/>
  <c r="L248" i="31"/>
  <c r="L252" i="31" s="1"/>
  <c r="L30" i="12" s="1"/>
  <c r="L131" i="12" s="1"/>
  <c r="L219" i="12" s="1"/>
  <c r="L483" i="1"/>
  <c r="L177" i="1"/>
  <c r="L10" i="12"/>
  <c r="L75" i="12" s="1"/>
  <c r="M373" i="1"/>
  <c r="M260" i="1"/>
  <c r="L361" i="1"/>
  <c r="L458" i="1" s="1"/>
  <c r="N235" i="31"/>
  <c r="N9" i="12" s="1"/>
  <c r="N74" i="12" s="1"/>
  <c r="L245" i="31"/>
  <c r="L128" i="1" s="1"/>
  <c r="M16" i="12"/>
  <c r="M81" i="12" s="1"/>
  <c r="P135" i="1"/>
  <c r="P136" i="1" s="1"/>
  <c r="N239" i="31"/>
  <c r="N260" i="1" s="1"/>
  <c r="N232" i="31"/>
  <c r="N162" i="1" s="1"/>
  <c r="N163" i="1" s="1"/>
  <c r="N164" i="1" s="1"/>
  <c r="N167" i="1" s="1"/>
  <c r="N171" i="1" s="1"/>
  <c r="N172" i="1" s="1"/>
  <c r="L17" i="12"/>
  <c r="L82" i="12" s="1"/>
  <c r="M251" i="31"/>
  <c r="M13" i="12"/>
  <c r="M78" i="12" s="1"/>
  <c r="N241" i="31"/>
  <c r="N262" i="1" s="1"/>
  <c r="N242" i="31"/>
  <c r="N16" i="12" s="1"/>
  <c r="N81" i="12" s="1"/>
  <c r="N238" i="31"/>
  <c r="N556" i="1" s="1"/>
  <c r="N234" i="31"/>
  <c r="M557" i="1"/>
  <c r="P212" i="31"/>
  <c r="P213" i="31" s="1"/>
  <c r="P220" i="31"/>
  <c r="P221" i="31" s="1"/>
  <c r="P175" i="12" s="1"/>
  <c r="Q185" i="31"/>
  <c r="Q537" i="1" s="1"/>
  <c r="Q548" i="1" s="1"/>
  <c r="M374" i="1"/>
  <c r="M558" i="1"/>
  <c r="M118" i="1"/>
  <c r="M14" i="12"/>
  <c r="M79" i="12" s="1"/>
  <c r="M77" i="1"/>
  <c r="M89" i="1" s="1"/>
  <c r="M261" i="1"/>
  <c r="M8" i="12"/>
  <c r="M73" i="12" s="1"/>
  <c r="M487" i="1"/>
  <c r="O230" i="31"/>
  <c r="O239" i="31" s="1"/>
  <c r="O69" i="12"/>
  <c r="O202" i="1"/>
  <c r="O159" i="1"/>
  <c r="O160" i="1" s="1"/>
  <c r="M15" i="12"/>
  <c r="M80" i="12" s="1"/>
  <c r="M129" i="7" s="1"/>
  <c r="M130" i="7" s="1"/>
  <c r="M236" i="31"/>
  <c r="M252" i="1" s="1"/>
  <c r="M243" i="31"/>
  <c r="M17" i="12" s="1"/>
  <c r="M82" i="12" s="1"/>
  <c r="M460" i="1"/>
  <c r="M559" i="1"/>
  <c r="M250" i="31"/>
  <c r="M262" i="1"/>
  <c r="N14" i="12"/>
  <c r="N79" i="12" s="1"/>
  <c r="N558" i="1"/>
  <c r="N261" i="1"/>
  <c r="N374" i="1"/>
  <c r="N487" i="1"/>
  <c r="N249" i="31"/>
  <c r="R205" i="31"/>
  <c r="R538" i="1" s="1"/>
  <c r="R549" i="1" s="1"/>
  <c r="Q224" i="31"/>
  <c r="Q225" i="31" s="1"/>
  <c r="W419" i="1"/>
  <c r="X394" i="1"/>
  <c r="Y193" i="31"/>
  <c r="Y539" i="1" s="1"/>
  <c r="Y550" i="1" s="1"/>
  <c r="X643" i="1"/>
  <c r="X646" i="1" s="1"/>
  <c r="X267" i="12"/>
  <c r="X60" i="12"/>
  <c r="X330" i="1"/>
  <c r="X166" i="12"/>
  <c r="L22" i="12" l="1"/>
  <c r="L123" i="12" s="1"/>
  <c r="L178" i="12" s="1"/>
  <c r="N236" i="31"/>
  <c r="N444" i="1" s="1"/>
  <c r="L19" i="12"/>
  <c r="L84" i="12" s="1"/>
  <c r="L778" i="1"/>
  <c r="N13" i="12"/>
  <c r="N78" i="12" s="1"/>
  <c r="L186" i="12"/>
  <c r="N373" i="1"/>
  <c r="N486" i="1"/>
  <c r="N557" i="1"/>
  <c r="N485" i="1"/>
  <c r="L55" i="12"/>
  <c r="N12" i="12"/>
  <c r="N77" i="12" s="1"/>
  <c r="O234" i="31"/>
  <c r="O8" i="12" s="1"/>
  <c r="O73" i="12" s="1"/>
  <c r="N285" i="1"/>
  <c r="N488" i="1"/>
  <c r="M245" i="31"/>
  <c r="M55" i="12" s="1"/>
  <c r="N251" i="31"/>
  <c r="N250" i="31"/>
  <c r="Q220" i="31"/>
  <c r="Q221" i="31" s="1"/>
  <c r="Q175" i="12" s="1"/>
  <c r="N460" i="1"/>
  <c r="O240" i="31"/>
  <c r="O14" i="12" s="1"/>
  <c r="O79" i="12" s="1"/>
  <c r="N77" i="1"/>
  <c r="N89" i="1" s="1"/>
  <c r="N118" i="1"/>
  <c r="N560" i="1"/>
  <c r="N141" i="1"/>
  <c r="N259" i="1"/>
  <c r="N243" i="31"/>
  <c r="N17" i="12" s="1"/>
  <c r="N82" i="12" s="1"/>
  <c r="N354" i="1"/>
  <c r="N360" i="1" s="1"/>
  <c r="N559" i="1"/>
  <c r="N15" i="12"/>
  <c r="N80" i="12" s="1"/>
  <c r="N129" i="7" s="1"/>
  <c r="N130" i="7" s="1"/>
  <c r="N8" i="12"/>
  <c r="N73" i="12" s="1"/>
  <c r="M483" i="1"/>
  <c r="Q212" i="31"/>
  <c r="Q213" i="31" s="1"/>
  <c r="R185" i="31"/>
  <c r="R537" i="1" s="1"/>
  <c r="R548" i="1" s="1"/>
  <c r="Q135" i="1"/>
  <c r="Q136" i="1" s="1"/>
  <c r="P159" i="1"/>
  <c r="P160" i="1" s="1"/>
  <c r="P202" i="1"/>
  <c r="P746" i="1"/>
  <c r="P751" i="1" s="1"/>
  <c r="P14" i="7" s="1"/>
  <c r="P27" i="7" s="1"/>
  <c r="P230" i="31"/>
  <c r="P240" i="31" s="1"/>
  <c r="P558" i="1" s="1"/>
  <c r="P69" i="12"/>
  <c r="O242" i="31"/>
  <c r="O560" i="1" s="1"/>
  <c r="O235" i="31"/>
  <c r="O9" i="12" s="1"/>
  <c r="O74" i="12" s="1"/>
  <c r="O232" i="31"/>
  <c r="O162" i="1" s="1"/>
  <c r="O163" i="1" s="1"/>
  <c r="O164" i="1" s="1"/>
  <c r="O167" i="1" s="1"/>
  <c r="O171" i="1" s="1"/>
  <c r="O172" i="1" s="1"/>
  <c r="O241" i="31"/>
  <c r="O15" i="12" s="1"/>
  <c r="O80" i="12" s="1"/>
  <c r="O129" i="7" s="1"/>
  <c r="O130" i="7" s="1"/>
  <c r="O238" i="31"/>
  <c r="O12" i="12" s="1"/>
  <c r="O77" i="12" s="1"/>
  <c r="M444" i="1"/>
  <c r="M10" i="12"/>
  <c r="M75" i="12" s="1"/>
  <c r="M177" i="1"/>
  <c r="M142" i="1"/>
  <c r="M248" i="31"/>
  <c r="M252" i="31" s="1"/>
  <c r="M30" i="12" s="1"/>
  <c r="M131" i="12" s="1"/>
  <c r="M186" i="12" s="1"/>
  <c r="O260" i="1"/>
  <c r="O557" i="1"/>
  <c r="O486" i="1"/>
  <c r="O373" i="1"/>
  <c r="O13" i="12"/>
  <c r="O78" i="12" s="1"/>
  <c r="O285" i="1"/>
  <c r="S205" i="31"/>
  <c r="S538" i="1" s="1"/>
  <c r="S549" i="1" s="1"/>
  <c r="R224" i="31"/>
  <c r="R225" i="31" s="1"/>
  <c r="Y643" i="1"/>
  <c r="Y646" i="1" s="1"/>
  <c r="Z193" i="31"/>
  <c r="Z539" i="1" s="1"/>
  <c r="Z550" i="1" s="1"/>
  <c r="Y267" i="12"/>
  <c r="Y166" i="12"/>
  <c r="Y60" i="12"/>
  <c r="Y330" i="1"/>
  <c r="X419" i="1"/>
  <c r="Y394" i="1"/>
  <c r="M371" i="1"/>
  <c r="M361" i="1"/>
  <c r="M458" i="1" s="1"/>
  <c r="N142" i="1" l="1"/>
  <c r="L211" i="12"/>
  <c r="L161" i="12"/>
  <c r="N252" i="1"/>
  <c r="N10" i="12"/>
  <c r="N75" i="12" s="1"/>
  <c r="N177" i="1"/>
  <c r="N483" i="1"/>
  <c r="N248" i="31"/>
  <c r="N252" i="31" s="1"/>
  <c r="N30" i="12" s="1"/>
  <c r="N131" i="12" s="1"/>
  <c r="N219" i="12" s="1"/>
  <c r="O249" i="31"/>
  <c r="O141" i="1"/>
  <c r="M778" i="1"/>
  <c r="M19" i="12"/>
  <c r="M84" i="12" s="1"/>
  <c r="S185" i="31"/>
  <c r="S537" i="1" s="1"/>
  <c r="S548" i="1" s="1"/>
  <c r="R220" i="31"/>
  <c r="R221" i="31" s="1"/>
  <c r="R175" i="12" s="1"/>
  <c r="M128" i="1"/>
  <c r="M22" i="12"/>
  <c r="M123" i="12" s="1"/>
  <c r="M178" i="12" s="1"/>
  <c r="O374" i="1"/>
  <c r="N245" i="31"/>
  <c r="N55" i="12" s="1"/>
  <c r="O558" i="1"/>
  <c r="O261" i="1"/>
  <c r="O487" i="1"/>
  <c r="R135" i="1"/>
  <c r="R136" i="1" s="1"/>
  <c r="R212" i="31"/>
  <c r="R213" i="31" s="1"/>
  <c r="R202" i="1" s="1"/>
  <c r="Q746" i="1"/>
  <c r="Q751" i="1" s="1"/>
  <c r="Q14" i="7" s="1"/>
  <c r="Q27" i="7" s="1"/>
  <c r="Q202" i="1"/>
  <c r="M219" i="12"/>
  <c r="Q69" i="12"/>
  <c r="O259" i="1"/>
  <c r="Q159" i="1"/>
  <c r="Q160" i="1" s="1"/>
  <c r="P239" i="31"/>
  <c r="P557" i="1" s="1"/>
  <c r="O460" i="1"/>
  <c r="P234" i="31"/>
  <c r="P141" i="1" s="1"/>
  <c r="Q230" i="31"/>
  <c r="Q238" i="31" s="1"/>
  <c r="Q556" i="1" s="1"/>
  <c r="O488" i="1"/>
  <c r="O250" i="31"/>
  <c r="O556" i="1"/>
  <c r="O77" i="1"/>
  <c r="O89" i="1" s="1"/>
  <c r="O354" i="1"/>
  <c r="O360" i="1" s="1"/>
  <c r="O262" i="1"/>
  <c r="O16" i="12"/>
  <c r="O81" i="12" s="1"/>
  <c r="O251" i="31"/>
  <c r="P238" i="31"/>
  <c r="P556" i="1" s="1"/>
  <c r="P241" i="31"/>
  <c r="P559" i="1" s="1"/>
  <c r="P235" i="31"/>
  <c r="P9" i="12" s="1"/>
  <c r="P74" i="12" s="1"/>
  <c r="P232" i="31"/>
  <c r="P162" i="1" s="1"/>
  <c r="P163" i="1" s="1"/>
  <c r="P164" i="1" s="1"/>
  <c r="P167" i="1" s="1"/>
  <c r="P171" i="1" s="1"/>
  <c r="P172" i="1" s="1"/>
  <c r="O118" i="1"/>
  <c r="O485" i="1"/>
  <c r="P242" i="31"/>
  <c r="P560" i="1" s="1"/>
  <c r="O243" i="31"/>
  <c r="O17" i="12" s="1"/>
  <c r="O82" i="12" s="1"/>
  <c r="O236" i="31"/>
  <c r="O248" i="31" s="1"/>
  <c r="O559" i="1"/>
  <c r="S224" i="31"/>
  <c r="S225" i="31" s="1"/>
  <c r="T205" i="31"/>
  <c r="T538" i="1" s="1"/>
  <c r="T549" i="1" s="1"/>
  <c r="P249" i="31"/>
  <c r="P487" i="1"/>
  <c r="P374" i="1"/>
  <c r="P261" i="1"/>
  <c r="P14" i="12"/>
  <c r="P79" i="12" s="1"/>
  <c r="Y419" i="1"/>
  <c r="Z394" i="1"/>
  <c r="Z643" i="1"/>
  <c r="Z646" i="1" s="1"/>
  <c r="AA193" i="31"/>
  <c r="AA539" i="1" s="1"/>
  <c r="AA550" i="1" s="1"/>
  <c r="Z267" i="12"/>
  <c r="Z60" i="12"/>
  <c r="Z166" i="12"/>
  <c r="Z330" i="1"/>
  <c r="N371" i="1"/>
  <c r="N361" i="1"/>
  <c r="N458" i="1" s="1"/>
  <c r="T185" i="31" l="1"/>
  <c r="T537" i="1" s="1"/>
  <c r="T548" i="1" s="1"/>
  <c r="S220" i="31"/>
  <c r="S221" i="31" s="1"/>
  <c r="S175" i="12" s="1"/>
  <c r="S212" i="31"/>
  <c r="S213" i="31" s="1"/>
  <c r="S135" i="1"/>
  <c r="S136" i="1" s="1"/>
  <c r="M211" i="12"/>
  <c r="N186" i="12"/>
  <c r="M161" i="12"/>
  <c r="Q234" i="31"/>
  <c r="Q141" i="1" s="1"/>
  <c r="N22" i="12"/>
  <c r="N123" i="12" s="1"/>
  <c r="N161" i="12" s="1"/>
  <c r="N128" i="1"/>
  <c r="N778" i="1"/>
  <c r="Q232" i="31"/>
  <c r="Q162" i="1" s="1"/>
  <c r="Q163" i="1" s="1"/>
  <c r="Q164" i="1" s="1"/>
  <c r="Q167" i="1" s="1"/>
  <c r="Q171" i="1" s="1"/>
  <c r="Q172" i="1" s="1"/>
  <c r="N19" i="12"/>
  <c r="N84" i="12" s="1"/>
  <c r="R69" i="12"/>
  <c r="R159" i="1"/>
  <c r="R160" i="1" s="1"/>
  <c r="P260" i="1"/>
  <c r="P8" i="12"/>
  <c r="P73" i="12" s="1"/>
  <c r="P12" i="12"/>
  <c r="P77" i="12" s="1"/>
  <c r="R746" i="1"/>
  <c r="R751" i="1" s="1"/>
  <c r="R14" i="7" s="1"/>
  <c r="R27" i="7" s="1"/>
  <c r="R230" i="31"/>
  <c r="R232" i="31" s="1"/>
  <c r="R162" i="1" s="1"/>
  <c r="P354" i="1"/>
  <c r="P360" i="1" s="1"/>
  <c r="P371" i="1" s="1"/>
  <c r="P13" i="12"/>
  <c r="P78" i="12" s="1"/>
  <c r="P285" i="1"/>
  <c r="P486" i="1"/>
  <c r="P373" i="1"/>
  <c r="Q239" i="31"/>
  <c r="Q557" i="1" s="1"/>
  <c r="P485" i="1"/>
  <c r="P15" i="12"/>
  <c r="P80" i="12" s="1"/>
  <c r="P129" i="7" s="1"/>
  <c r="P130" i="7" s="1"/>
  <c r="P236" i="31"/>
  <c r="P142" i="1" s="1"/>
  <c r="P262" i="1"/>
  <c r="P250" i="31"/>
  <c r="Q235" i="31"/>
  <c r="Q9" i="12" s="1"/>
  <c r="Q74" i="12" s="1"/>
  <c r="Q242" i="31"/>
  <c r="Q560" i="1" s="1"/>
  <c r="Q240" i="31"/>
  <c r="Q558" i="1" s="1"/>
  <c r="Q241" i="31"/>
  <c r="Q559" i="1" s="1"/>
  <c r="P259" i="1"/>
  <c r="O177" i="1"/>
  <c r="P16" i="12"/>
  <c r="P81" i="12" s="1"/>
  <c r="O252" i="31"/>
  <c r="O30" i="12" s="1"/>
  <c r="O131" i="12" s="1"/>
  <c r="O219" i="12" s="1"/>
  <c r="P118" i="1"/>
  <c r="P251" i="31"/>
  <c r="O483" i="1"/>
  <c r="P460" i="1"/>
  <c r="P488" i="1"/>
  <c r="P77" i="1"/>
  <c r="P89" i="1" s="1"/>
  <c r="P243" i="31"/>
  <c r="P17" i="12" s="1"/>
  <c r="P82" i="12" s="1"/>
  <c r="O444" i="1"/>
  <c r="O252" i="1"/>
  <c r="O142" i="1"/>
  <c r="O10" i="12"/>
  <c r="O75" i="12" s="1"/>
  <c r="O245" i="31"/>
  <c r="O55" i="12" s="1"/>
  <c r="Q485" i="1"/>
  <c r="Q354" i="1"/>
  <c r="Q360" i="1" s="1"/>
  <c r="Q12" i="12"/>
  <c r="Q77" i="12" s="1"/>
  <c r="Q259" i="1"/>
  <c r="T224" i="31"/>
  <c r="T225" i="31" s="1"/>
  <c r="U205" i="31"/>
  <c r="U538" i="1" s="1"/>
  <c r="U549" i="1" s="1"/>
  <c r="AB193" i="31"/>
  <c r="AB539" i="1" s="1"/>
  <c r="AB550" i="1" s="1"/>
  <c r="AA643" i="1"/>
  <c r="AA646" i="1" s="1"/>
  <c r="AA267" i="12"/>
  <c r="AA166" i="12"/>
  <c r="AA60" i="12"/>
  <c r="AA330" i="1"/>
  <c r="Z419" i="1"/>
  <c r="AA394" i="1"/>
  <c r="O371" i="1"/>
  <c r="O361" i="1"/>
  <c r="O458" i="1" s="1"/>
  <c r="T135" i="1" l="1"/>
  <c r="T136" i="1" s="1"/>
  <c r="N178" i="12"/>
  <c r="N211" i="12"/>
  <c r="T220" i="31"/>
  <c r="T221" i="31" s="1"/>
  <c r="T175" i="12" s="1"/>
  <c r="U185" i="31"/>
  <c r="U537" i="1" s="1"/>
  <c r="U548" i="1" s="1"/>
  <c r="T212" i="31"/>
  <c r="T213" i="31" s="1"/>
  <c r="T746" i="1" s="1"/>
  <c r="T751" i="1" s="1"/>
  <c r="T14" i="7" s="1"/>
  <c r="T27" i="7" s="1"/>
  <c r="S230" i="31"/>
  <c r="S234" i="31" s="1"/>
  <c r="S141" i="1" s="1"/>
  <c r="Q8" i="12"/>
  <c r="Q73" i="12" s="1"/>
  <c r="S159" i="1"/>
  <c r="S160" i="1" s="1"/>
  <c r="S69" i="12"/>
  <c r="P361" i="1"/>
  <c r="P458" i="1" s="1"/>
  <c r="Q251" i="31"/>
  <c r="P444" i="1"/>
  <c r="R242" i="31"/>
  <c r="R560" i="1" s="1"/>
  <c r="P248" i="31"/>
  <c r="P252" i="31" s="1"/>
  <c r="P30" i="12" s="1"/>
  <c r="P131" i="12" s="1"/>
  <c r="P186" i="12" s="1"/>
  <c r="P252" i="1"/>
  <c r="Q249" i="31"/>
  <c r="R163" i="1"/>
  <c r="R164" i="1" s="1"/>
  <c r="R167" i="1" s="1"/>
  <c r="R171" i="1" s="1"/>
  <c r="R172" i="1" s="1"/>
  <c r="R241" i="31"/>
  <c r="R559" i="1" s="1"/>
  <c r="R238" i="31"/>
  <c r="R556" i="1" s="1"/>
  <c r="Q77" i="1"/>
  <c r="Q89" i="1" s="1"/>
  <c r="R234" i="31"/>
  <c r="R8" i="12" s="1"/>
  <c r="R73" i="12" s="1"/>
  <c r="R240" i="31"/>
  <c r="R558" i="1" s="1"/>
  <c r="Q250" i="31"/>
  <c r="Q373" i="1"/>
  <c r="R235" i="31"/>
  <c r="R9" i="12" s="1"/>
  <c r="R74" i="12" s="1"/>
  <c r="S746" i="1"/>
  <c r="S751" i="1" s="1"/>
  <c r="S14" i="7" s="1"/>
  <c r="S27" i="7" s="1"/>
  <c r="S202" i="1"/>
  <c r="R239" i="31"/>
  <c r="R557" i="1" s="1"/>
  <c r="P483" i="1"/>
  <c r="Q486" i="1"/>
  <c r="Q285" i="1"/>
  <c r="Q15" i="12"/>
  <c r="Q80" i="12" s="1"/>
  <c r="Q129" i="7" s="1"/>
  <c r="Q130" i="7" s="1"/>
  <c r="Q260" i="1"/>
  <c r="Q262" i="1"/>
  <c r="Q13" i="12"/>
  <c r="Q78" i="12" s="1"/>
  <c r="P177" i="1"/>
  <c r="Q488" i="1"/>
  <c r="P10" i="12"/>
  <c r="P75" i="12" s="1"/>
  <c r="Q460" i="1"/>
  <c r="Q487" i="1"/>
  <c r="Q16" i="12"/>
  <c r="Q81" i="12" s="1"/>
  <c r="Q261" i="1"/>
  <c r="Q243" i="31"/>
  <c r="Q17" i="12" s="1"/>
  <c r="Q82" i="12" s="1"/>
  <c r="Q14" i="12"/>
  <c r="Q79" i="12" s="1"/>
  <c r="Q118" i="1"/>
  <c r="Q374" i="1"/>
  <c r="Q236" i="31"/>
  <c r="Q248" i="31" s="1"/>
  <c r="O186" i="12"/>
  <c r="P245" i="31"/>
  <c r="P778" i="1" s="1"/>
  <c r="O19" i="12"/>
  <c r="O84" i="12" s="1"/>
  <c r="O778" i="1"/>
  <c r="O22" i="12"/>
  <c r="O123" i="12" s="1"/>
  <c r="O161" i="12" s="1"/>
  <c r="O128" i="1"/>
  <c r="U224" i="31"/>
  <c r="U225" i="31" s="1"/>
  <c r="V205" i="31"/>
  <c r="V538" i="1" s="1"/>
  <c r="V549" i="1" s="1"/>
  <c r="AA419" i="1"/>
  <c r="AB394" i="1"/>
  <c r="AC193" i="31"/>
  <c r="AC539" i="1" s="1"/>
  <c r="AC550" i="1" s="1"/>
  <c r="AB643" i="1"/>
  <c r="AB646" i="1" s="1"/>
  <c r="AB267" i="12"/>
  <c r="AB60" i="12"/>
  <c r="AB330" i="1"/>
  <c r="AB166" i="12"/>
  <c r="Q371" i="1"/>
  <c r="Q361" i="1"/>
  <c r="Q458" i="1" s="1"/>
  <c r="U135" i="1" l="1"/>
  <c r="U136" i="1" s="1"/>
  <c r="R460" i="1"/>
  <c r="U212" i="31"/>
  <c r="U213" i="31" s="1"/>
  <c r="S240" i="31"/>
  <c r="S558" i="1" s="1"/>
  <c r="S235" i="31"/>
  <c r="S9" i="12" s="1"/>
  <c r="S74" i="12" s="1"/>
  <c r="S242" i="31"/>
  <c r="S77" i="1" s="1"/>
  <c r="S89" i="1" s="1"/>
  <c r="V185" i="31"/>
  <c r="V537" i="1" s="1"/>
  <c r="V548" i="1" s="1"/>
  <c r="U220" i="31"/>
  <c r="U221" i="31" s="1"/>
  <c r="U175" i="12" s="1"/>
  <c r="S238" i="31"/>
  <c r="S485" i="1" s="1"/>
  <c r="S241" i="31"/>
  <c r="S488" i="1" s="1"/>
  <c r="S239" i="31"/>
  <c r="S285" i="1" s="1"/>
  <c r="S232" i="31"/>
  <c r="S162" i="1" s="1"/>
  <c r="S163" i="1" s="1"/>
  <c r="S164" i="1" s="1"/>
  <c r="S167" i="1" s="1"/>
  <c r="S171" i="1" s="1"/>
  <c r="S172" i="1" s="1"/>
  <c r="P19" i="12"/>
  <c r="P84" i="12" s="1"/>
  <c r="R15" i="12"/>
  <c r="R80" i="12" s="1"/>
  <c r="R129" i="7" s="1"/>
  <c r="R130" i="7" s="1"/>
  <c r="R262" i="1"/>
  <c r="R77" i="1"/>
  <c r="R89" i="1" s="1"/>
  <c r="R118" i="1"/>
  <c r="P128" i="1"/>
  <c r="R13" i="12"/>
  <c r="R78" i="12" s="1"/>
  <c r="R260" i="1"/>
  <c r="T202" i="1"/>
  <c r="R141" i="1"/>
  <c r="R259" i="1"/>
  <c r="R12" i="12"/>
  <c r="R77" i="12" s="1"/>
  <c r="T69" i="12"/>
  <c r="P55" i="12"/>
  <c r="T230" i="31"/>
  <c r="T235" i="31" s="1"/>
  <c r="T9" i="12" s="1"/>
  <c r="R285" i="1"/>
  <c r="T159" i="1"/>
  <c r="T160" i="1" s="1"/>
  <c r="Q252" i="31"/>
  <c r="Q30" i="12" s="1"/>
  <c r="Q131" i="12" s="1"/>
  <c r="Q219" i="12" s="1"/>
  <c r="R14" i="12"/>
  <c r="R79" i="12" s="1"/>
  <c r="R488" i="1"/>
  <c r="R251" i="31"/>
  <c r="R374" i="1"/>
  <c r="R261" i="1"/>
  <c r="P219" i="12"/>
  <c r="R486" i="1"/>
  <c r="R236" i="31"/>
  <c r="R177" i="1" s="1"/>
  <c r="R243" i="31"/>
  <c r="R17" i="12" s="1"/>
  <c r="R82" i="12" s="1"/>
  <c r="R249" i="31"/>
  <c r="R16" i="12"/>
  <c r="R81" i="12" s="1"/>
  <c r="P22" i="12"/>
  <c r="P123" i="12" s="1"/>
  <c r="P178" i="12" s="1"/>
  <c r="R487" i="1"/>
  <c r="R485" i="1"/>
  <c r="R373" i="1"/>
  <c r="R250" i="31"/>
  <c r="R354" i="1"/>
  <c r="R360" i="1" s="1"/>
  <c r="R371" i="1" s="1"/>
  <c r="Q252" i="1"/>
  <c r="Q483" i="1"/>
  <c r="Q444" i="1"/>
  <c r="Q177" i="1"/>
  <c r="O178" i="12"/>
  <c r="O211" i="12"/>
  <c r="Q10" i="12"/>
  <c r="Q75" i="12" s="1"/>
  <c r="Q245" i="31"/>
  <c r="Q778" i="1" s="1"/>
  <c r="Q142" i="1"/>
  <c r="S8" i="12"/>
  <c r="S73" i="12" s="1"/>
  <c r="V224" i="31"/>
  <c r="V225" i="31" s="1"/>
  <c r="W205" i="31"/>
  <c r="W538" i="1" s="1"/>
  <c r="W549" i="1" s="1"/>
  <c r="AD193" i="31"/>
  <c r="AD539" i="1" s="1"/>
  <c r="AD550" i="1" s="1"/>
  <c r="AC643" i="1"/>
  <c r="AC646" i="1" s="1"/>
  <c r="AC267" i="12"/>
  <c r="AC330" i="1"/>
  <c r="AC60" i="12"/>
  <c r="AC166" i="12"/>
  <c r="AB419" i="1"/>
  <c r="AC394" i="1"/>
  <c r="S249" i="31" l="1"/>
  <c r="S261" i="1"/>
  <c r="S13" i="12"/>
  <c r="S78" i="12" s="1"/>
  <c r="S14" i="12"/>
  <c r="S79" i="12" s="1"/>
  <c r="S16" i="12"/>
  <c r="S81" i="12" s="1"/>
  <c r="S374" i="1"/>
  <c r="S560" i="1"/>
  <c r="S251" i="31"/>
  <c r="S118" i="1"/>
  <c r="S487" i="1"/>
  <c r="S236" i="31"/>
  <c r="S248" i="31" s="1"/>
  <c r="S486" i="1"/>
  <c r="S373" i="1"/>
  <c r="S557" i="1"/>
  <c r="S260" i="1"/>
  <c r="V212" i="31"/>
  <c r="V213" i="31" s="1"/>
  <c r="V220" i="31"/>
  <c r="V221" i="31" s="1"/>
  <c r="V175" i="12" s="1"/>
  <c r="V135" i="1"/>
  <c r="V136" i="1" s="1"/>
  <c r="S12" i="12"/>
  <c r="S77" i="12" s="1"/>
  <c r="W185" i="31"/>
  <c r="W537" i="1" s="1"/>
  <c r="W548" i="1" s="1"/>
  <c r="S15" i="12"/>
  <c r="S80" i="12" s="1"/>
  <c r="S129" i="7" s="1"/>
  <c r="S130" i="7" s="1"/>
  <c r="S262" i="1"/>
  <c r="S559" i="1"/>
  <c r="S460" i="1"/>
  <c r="S250" i="31"/>
  <c r="S259" i="1"/>
  <c r="S556" i="1"/>
  <c r="S243" i="31"/>
  <c r="S17" i="12" s="1"/>
  <c r="S82" i="12" s="1"/>
  <c r="S354" i="1"/>
  <c r="S360" i="1" s="1"/>
  <c r="U202" i="1"/>
  <c r="U69" i="12"/>
  <c r="U746" i="1"/>
  <c r="U751" i="1" s="1"/>
  <c r="U14" i="7" s="1"/>
  <c r="U27" i="7" s="1"/>
  <c r="U230" i="31"/>
  <c r="U241" i="31" s="1"/>
  <c r="U159" i="1"/>
  <c r="U160" i="1" s="1"/>
  <c r="T232" i="31"/>
  <c r="T162" i="1" s="1"/>
  <c r="T163" i="1" s="1"/>
  <c r="T164" i="1" s="1"/>
  <c r="T167" i="1" s="1"/>
  <c r="T171" i="1" s="1"/>
  <c r="T172" i="1" s="1"/>
  <c r="R483" i="1"/>
  <c r="R444" i="1"/>
  <c r="T74" i="12"/>
  <c r="R142" i="1"/>
  <c r="T242" i="31"/>
  <c r="T251" i="31" s="1"/>
  <c r="T238" i="31"/>
  <c r="T12" i="12" s="1"/>
  <c r="T77" i="12" s="1"/>
  <c r="T239" i="31"/>
  <c r="T285" i="1" s="1"/>
  <c r="P161" i="12"/>
  <c r="T234" i="31"/>
  <c r="T141" i="1" s="1"/>
  <c r="T240" i="31"/>
  <c r="T261" i="1" s="1"/>
  <c r="T241" i="31"/>
  <c r="T15" i="12" s="1"/>
  <c r="T80" i="12" s="1"/>
  <c r="T129" i="7" s="1"/>
  <c r="T130" i="7" s="1"/>
  <c r="R248" i="31"/>
  <c r="R252" i="31" s="1"/>
  <c r="R30" i="12" s="1"/>
  <c r="R131" i="12" s="1"/>
  <c r="R186" i="12" s="1"/>
  <c r="Q186" i="12"/>
  <c r="R10" i="12"/>
  <c r="R75" i="12" s="1"/>
  <c r="R252" i="1"/>
  <c r="R245" i="31"/>
  <c r="R22" i="12" s="1"/>
  <c r="R123" i="12" s="1"/>
  <c r="P211" i="12"/>
  <c r="R361" i="1"/>
  <c r="R458" i="1" s="1"/>
  <c r="Q128" i="1"/>
  <c r="Q22" i="12"/>
  <c r="Q123" i="12" s="1"/>
  <c r="Q178" i="12" s="1"/>
  <c r="Q55" i="12"/>
  <c r="Q19" i="12"/>
  <c r="Q84" i="12" s="1"/>
  <c r="X205" i="31"/>
  <c r="X538" i="1" s="1"/>
  <c r="X549" i="1" s="1"/>
  <c r="W224" i="31"/>
  <c r="W225" i="31" s="1"/>
  <c r="AC419" i="1"/>
  <c r="AD394" i="1"/>
  <c r="AD643" i="1"/>
  <c r="AD646" i="1" s="1"/>
  <c r="AE193" i="31"/>
  <c r="AE539" i="1" s="1"/>
  <c r="AE550" i="1" s="1"/>
  <c r="AD267" i="12"/>
  <c r="AD166" i="12"/>
  <c r="AD330" i="1"/>
  <c r="AD60" i="12"/>
  <c r="S142" i="1" l="1"/>
  <c r="S177" i="1"/>
  <c r="S10" i="12"/>
  <c r="S75" i="12" s="1"/>
  <c r="S444" i="1"/>
  <c r="S252" i="1"/>
  <c r="S252" i="31"/>
  <c r="S30" i="12" s="1"/>
  <c r="S131" i="12" s="1"/>
  <c r="S186" i="12" s="1"/>
  <c r="S483" i="1"/>
  <c r="W135" i="1"/>
  <c r="W136" i="1" s="1"/>
  <c r="X185" i="31"/>
  <c r="X537" i="1" s="1"/>
  <c r="X548" i="1" s="1"/>
  <c r="W212" i="31"/>
  <c r="W213" i="31" s="1"/>
  <c r="U234" i="31"/>
  <c r="U141" i="1" s="1"/>
  <c r="W220" i="31"/>
  <c r="W221" i="31" s="1"/>
  <c r="W175" i="12" s="1"/>
  <c r="U239" i="31"/>
  <c r="U285" i="1" s="1"/>
  <c r="U232" i="31"/>
  <c r="U162" i="1" s="1"/>
  <c r="U163" i="1" s="1"/>
  <c r="U164" i="1" s="1"/>
  <c r="U167" i="1" s="1"/>
  <c r="U171" i="1" s="1"/>
  <c r="U172" i="1" s="1"/>
  <c r="U242" i="31"/>
  <c r="U16" i="12" s="1"/>
  <c r="U81" i="12" s="1"/>
  <c r="U240" i="31"/>
  <c r="U14" i="12" s="1"/>
  <c r="U79" i="12" s="1"/>
  <c r="U235" i="31"/>
  <c r="U9" i="12" s="1"/>
  <c r="U74" i="12" s="1"/>
  <c r="V202" i="1"/>
  <c r="S245" i="31"/>
  <c r="S778" i="1" s="1"/>
  <c r="V746" i="1"/>
  <c r="V751" i="1" s="1"/>
  <c r="V14" i="7" s="1"/>
  <c r="V27" i="7" s="1"/>
  <c r="V159" i="1"/>
  <c r="V160" i="1" s="1"/>
  <c r="V69" i="12"/>
  <c r="T249" i="31"/>
  <c r="U238" i="31"/>
  <c r="U485" i="1" s="1"/>
  <c r="V230" i="31"/>
  <c r="V239" i="31" s="1"/>
  <c r="V557" i="1" s="1"/>
  <c r="T374" i="1"/>
  <c r="T487" i="1"/>
  <c r="T14" i="12"/>
  <c r="T79" i="12" s="1"/>
  <c r="T262" i="1"/>
  <c r="T77" i="1"/>
  <c r="T89" i="1" s="1"/>
  <c r="T16" i="12"/>
  <c r="T81" i="12" s="1"/>
  <c r="T118" i="1"/>
  <c r="T488" i="1"/>
  <c r="T485" i="1"/>
  <c r="T236" i="31"/>
  <c r="T483" i="1" s="1"/>
  <c r="T8" i="12"/>
  <c r="T73" i="12" s="1"/>
  <c r="T486" i="1"/>
  <c r="T250" i="31"/>
  <c r="T560" i="1"/>
  <c r="R128" i="1"/>
  <c r="R55" i="12"/>
  <c r="T556" i="1"/>
  <c r="T373" i="1"/>
  <c r="T557" i="1"/>
  <c r="R19" i="12"/>
  <c r="R84" i="12" s="1"/>
  <c r="T354" i="1"/>
  <c r="T360" i="1" s="1"/>
  <c r="T13" i="12"/>
  <c r="T78" i="12" s="1"/>
  <c r="T260" i="1"/>
  <c r="T259" i="1"/>
  <c r="T558" i="1"/>
  <c r="T243" i="31"/>
  <c r="T17" i="12" s="1"/>
  <c r="T82" i="12" s="1"/>
  <c r="T559" i="1"/>
  <c r="T460" i="1"/>
  <c r="R778" i="1"/>
  <c r="R219" i="12"/>
  <c r="Q211" i="12"/>
  <c r="Q161" i="12"/>
  <c r="U15" i="12"/>
  <c r="U80" i="12" s="1"/>
  <c r="U129" i="7" s="1"/>
  <c r="U130" i="7" s="1"/>
  <c r="U559" i="1"/>
  <c r="U262" i="1"/>
  <c r="R211" i="12"/>
  <c r="R178" i="12"/>
  <c r="R161" i="12"/>
  <c r="U460" i="1"/>
  <c r="U488" i="1"/>
  <c r="U250" i="31"/>
  <c r="X224" i="31"/>
  <c r="X225" i="31" s="1"/>
  <c r="Y205" i="31"/>
  <c r="Y538" i="1" s="1"/>
  <c r="Y549" i="1" s="1"/>
  <c r="AF193" i="31"/>
  <c r="AF539" i="1" s="1"/>
  <c r="AF550" i="1" s="1"/>
  <c r="AE643" i="1"/>
  <c r="AE646" i="1" s="1"/>
  <c r="AE267" i="12"/>
  <c r="AE166" i="12"/>
  <c r="AE60" i="12"/>
  <c r="AE330" i="1"/>
  <c r="AD419" i="1"/>
  <c r="AE394" i="1"/>
  <c r="S371" i="1"/>
  <c r="S361" i="1"/>
  <c r="S458" i="1" s="1"/>
  <c r="U8" i="12" l="1"/>
  <c r="U73" i="12" s="1"/>
  <c r="V235" i="31"/>
  <c r="V9" i="12" s="1"/>
  <c r="V74" i="12" s="1"/>
  <c r="V242" i="31"/>
  <c r="V560" i="1" s="1"/>
  <c r="X220" i="31"/>
  <c r="X221" i="31" s="1"/>
  <c r="X175" i="12" s="1"/>
  <c r="V241" i="31"/>
  <c r="V559" i="1" s="1"/>
  <c r="S219" i="12"/>
  <c r="V240" i="31"/>
  <c r="V558" i="1" s="1"/>
  <c r="X135" i="1"/>
  <c r="X136" i="1" s="1"/>
  <c r="U251" i="31"/>
  <c r="S55" i="12"/>
  <c r="U236" i="31"/>
  <c r="U10" i="12" s="1"/>
  <c r="U75" i="12" s="1"/>
  <c r="V232" i="31"/>
  <c r="V162" i="1" s="1"/>
  <c r="V163" i="1" s="1"/>
  <c r="V164" i="1" s="1"/>
  <c r="V167" i="1" s="1"/>
  <c r="V171" i="1" s="1"/>
  <c r="V172" i="1" s="1"/>
  <c r="X212" i="31"/>
  <c r="X213" i="31" s="1"/>
  <c r="S22" i="12"/>
  <c r="S123" i="12" s="1"/>
  <c r="S178" i="12" s="1"/>
  <c r="U77" i="1"/>
  <c r="U557" i="1"/>
  <c r="U373" i="1"/>
  <c r="U260" i="1"/>
  <c r="U486" i="1"/>
  <c r="V238" i="31"/>
  <c r="V556" i="1" s="1"/>
  <c r="U560" i="1"/>
  <c r="U13" i="12"/>
  <c r="U78" i="12" s="1"/>
  <c r="U118" i="1"/>
  <c r="V234" i="31"/>
  <c r="Y185" i="31"/>
  <c r="Y537" i="1" s="1"/>
  <c r="Y548" i="1" s="1"/>
  <c r="S128" i="1"/>
  <c r="U12" i="12"/>
  <c r="U77" i="12" s="1"/>
  <c r="U558" i="1"/>
  <c r="W746" i="1"/>
  <c r="W751" i="1" s="1"/>
  <c r="W14" i="7" s="1"/>
  <c r="W27" i="7" s="1"/>
  <c r="W230" i="31"/>
  <c r="W240" i="31" s="1"/>
  <c r="W159" i="1"/>
  <c r="W160" i="1" s="1"/>
  <c r="U261" i="1"/>
  <c r="U374" i="1"/>
  <c r="U249" i="31"/>
  <c r="U487" i="1"/>
  <c r="S19" i="12"/>
  <c r="S84" i="12" s="1"/>
  <c r="U354" i="1"/>
  <c r="U360" i="1" s="1"/>
  <c r="U243" i="31"/>
  <c r="U17" i="12" s="1"/>
  <c r="U82" i="12" s="1"/>
  <c r="W202" i="1"/>
  <c r="W69" i="12"/>
  <c r="U259" i="1"/>
  <c r="U556" i="1"/>
  <c r="T142" i="1"/>
  <c r="T10" i="12"/>
  <c r="T75" i="12" s="1"/>
  <c r="T245" i="31"/>
  <c r="T778" i="1" s="1"/>
  <c r="T444" i="1"/>
  <c r="T248" i="31"/>
  <c r="T252" i="31" s="1"/>
  <c r="T30" i="12" s="1"/>
  <c r="T131" i="12" s="1"/>
  <c r="T186" i="12" s="1"/>
  <c r="T252" i="1"/>
  <c r="T177" i="1"/>
  <c r="Y224" i="31"/>
  <c r="Y225" i="31" s="1"/>
  <c r="Z205" i="31"/>
  <c r="Z538" i="1" s="1"/>
  <c r="Z549" i="1" s="1"/>
  <c r="V486" i="1"/>
  <c r="V373" i="1"/>
  <c r="V285" i="1"/>
  <c r="V13" i="12"/>
  <c r="V78" i="12" s="1"/>
  <c r="V260" i="1"/>
  <c r="AE419" i="1"/>
  <c r="AF394" i="1"/>
  <c r="AF643" i="1"/>
  <c r="AF646" i="1" s="1"/>
  <c r="AG193" i="31"/>
  <c r="AG539" i="1" s="1"/>
  <c r="AG550" i="1" s="1"/>
  <c r="AF267" i="12"/>
  <c r="AF166" i="12"/>
  <c r="AF60" i="12"/>
  <c r="AF330" i="1"/>
  <c r="T371" i="1"/>
  <c r="T361" i="1"/>
  <c r="T458" i="1" s="1"/>
  <c r="V16" i="12" l="1"/>
  <c r="V81" i="12" s="1"/>
  <c r="U252" i="1"/>
  <c r="V262" i="1"/>
  <c r="V236" i="31"/>
  <c r="V248" i="31" s="1"/>
  <c r="V250" i="31"/>
  <c r="U483" i="1"/>
  <c r="U444" i="1"/>
  <c r="U142" i="1"/>
  <c r="V77" i="1"/>
  <c r="V89" i="1" s="1"/>
  <c r="V251" i="31"/>
  <c r="V118" i="1"/>
  <c r="Z185" i="31"/>
  <c r="Z537" i="1" s="1"/>
  <c r="Z548" i="1" s="1"/>
  <c r="V15" i="12"/>
  <c r="V80" i="12" s="1"/>
  <c r="V129" i="7" s="1"/>
  <c r="V130" i="7" s="1"/>
  <c r="V488" i="1"/>
  <c r="W234" i="31"/>
  <c r="W8" i="12" s="1"/>
  <c r="W73" i="12" s="1"/>
  <c r="V460" i="1"/>
  <c r="V8" i="12"/>
  <c r="V73" i="12" s="1"/>
  <c r="W238" i="31"/>
  <c r="W12" i="12" s="1"/>
  <c r="W77" i="12" s="1"/>
  <c r="V261" i="1"/>
  <c r="V14" i="12"/>
  <c r="V79" i="12" s="1"/>
  <c r="V249" i="31"/>
  <c r="W232" i="31"/>
  <c r="W162" i="1" s="1"/>
  <c r="W163" i="1" s="1"/>
  <c r="W164" i="1" s="1"/>
  <c r="W167" i="1" s="1"/>
  <c r="W171" i="1" s="1"/>
  <c r="W172" i="1" s="1"/>
  <c r="Y135" i="1"/>
  <c r="Y136" i="1" s="1"/>
  <c r="V487" i="1"/>
  <c r="Y220" i="31"/>
  <c r="Y221" i="31" s="1"/>
  <c r="Y175" i="12" s="1"/>
  <c r="W242" i="31"/>
  <c r="W16" i="12" s="1"/>
  <c r="W81" i="12" s="1"/>
  <c r="V374" i="1"/>
  <c r="U177" i="1"/>
  <c r="S161" i="12"/>
  <c r="S211" i="12"/>
  <c r="U248" i="31"/>
  <c r="U252" i="31" s="1"/>
  <c r="U30" i="12" s="1"/>
  <c r="U131" i="12" s="1"/>
  <c r="U219" i="12" s="1"/>
  <c r="V141" i="1"/>
  <c r="X746" i="1"/>
  <c r="X751" i="1" s="1"/>
  <c r="X14" i="7" s="1"/>
  <c r="X27" i="7" s="1"/>
  <c r="X230" i="31"/>
  <c r="X232" i="31" s="1"/>
  <c r="X162" i="1" s="1"/>
  <c r="X202" i="1"/>
  <c r="X159" i="1"/>
  <c r="X160" i="1" s="1"/>
  <c r="X69" i="12"/>
  <c r="V243" i="31"/>
  <c r="V17" i="12" s="1"/>
  <c r="V82" i="12" s="1"/>
  <c r="V12" i="12"/>
  <c r="V77" i="12" s="1"/>
  <c r="V259" i="1"/>
  <c r="V485" i="1"/>
  <c r="V354" i="1"/>
  <c r="V360" i="1" s="1"/>
  <c r="V371" i="1" s="1"/>
  <c r="Y212" i="31"/>
  <c r="Y213" i="31" s="1"/>
  <c r="W241" i="31"/>
  <c r="W488" i="1" s="1"/>
  <c r="W235" i="31"/>
  <c r="W9" i="12" s="1"/>
  <c r="W74" i="12" s="1"/>
  <c r="W239" i="31"/>
  <c r="W486" i="1" s="1"/>
  <c r="U245" i="31"/>
  <c r="U128" i="1" s="1"/>
  <c r="T219" i="12"/>
  <c r="T22" i="12"/>
  <c r="T123" i="12" s="1"/>
  <c r="T178" i="12" s="1"/>
  <c r="T128" i="1"/>
  <c r="T55" i="12"/>
  <c r="T19" i="12"/>
  <c r="T84" i="12" s="1"/>
  <c r="W14" i="12"/>
  <c r="W79" i="12" s="1"/>
  <c r="W558" i="1"/>
  <c r="W261" i="1"/>
  <c r="Z224" i="31"/>
  <c r="Z225" i="31" s="1"/>
  <c r="AA205" i="31"/>
  <c r="AA538" i="1" s="1"/>
  <c r="AA549" i="1" s="1"/>
  <c r="W374" i="1"/>
  <c r="W487" i="1"/>
  <c r="W249" i="31"/>
  <c r="AG643" i="1"/>
  <c r="AG646" i="1" s="1"/>
  <c r="AH193" i="31"/>
  <c r="AH539" i="1" s="1"/>
  <c r="AH550" i="1" s="1"/>
  <c r="AG267" i="12"/>
  <c r="AG330" i="1"/>
  <c r="AG60" i="12"/>
  <c r="AG166" i="12"/>
  <c r="AF419" i="1"/>
  <c r="AG394" i="1"/>
  <c r="U371" i="1"/>
  <c r="U361" i="1"/>
  <c r="U458" i="1" s="1"/>
  <c r="V444" i="1" l="1"/>
  <c r="V142" i="1"/>
  <c r="V10" i="12"/>
  <c r="V75" i="12" s="1"/>
  <c r="V252" i="1"/>
  <c r="V483" i="1"/>
  <c r="V177" i="1"/>
  <c r="Z135" i="1"/>
  <c r="Z136" i="1" s="1"/>
  <c r="Z220" i="31"/>
  <c r="Z221" i="31" s="1"/>
  <c r="Z175" i="12" s="1"/>
  <c r="AA185" i="31"/>
  <c r="AA537" i="1" s="1"/>
  <c r="AA548" i="1" s="1"/>
  <c r="Z212" i="31"/>
  <c r="Z213" i="31" s="1"/>
  <c r="Z69" i="12" s="1"/>
  <c r="W251" i="31"/>
  <c r="W259" i="1"/>
  <c r="W556" i="1"/>
  <c r="W485" i="1"/>
  <c r="W560" i="1"/>
  <c r="W354" i="1"/>
  <c r="W360" i="1" s="1"/>
  <c r="X163" i="1"/>
  <c r="X164" i="1" s="1"/>
  <c r="X167" i="1" s="1"/>
  <c r="X171" i="1" s="1"/>
  <c r="X172" i="1" s="1"/>
  <c r="W141" i="1"/>
  <c r="X241" i="31"/>
  <c r="X559" i="1" s="1"/>
  <c r="W77" i="1"/>
  <c r="W89" i="1" s="1"/>
  <c r="V252" i="31"/>
  <c r="V30" i="12" s="1"/>
  <c r="V131" i="12" s="1"/>
  <c r="V186" i="12" s="1"/>
  <c r="W118" i="1"/>
  <c r="X234" i="31"/>
  <c r="X8" i="12" s="1"/>
  <c r="X73" i="12" s="1"/>
  <c r="X242" i="31"/>
  <c r="X560" i="1" s="1"/>
  <c r="X238" i="31"/>
  <c r="X556" i="1" s="1"/>
  <c r="X235" i="31"/>
  <c r="X9" i="12" s="1"/>
  <c r="X74" i="12" s="1"/>
  <c r="X239" i="31"/>
  <c r="X557" i="1" s="1"/>
  <c r="V361" i="1"/>
  <c r="V458" i="1" s="1"/>
  <c r="X240" i="31"/>
  <c r="X558" i="1" s="1"/>
  <c r="U55" i="12"/>
  <c r="U778" i="1"/>
  <c r="V245" i="31"/>
  <c r="V19" i="12" s="1"/>
  <c r="V84" i="12" s="1"/>
  <c r="U22" i="12"/>
  <c r="U123" i="12" s="1"/>
  <c r="U161" i="12" s="1"/>
  <c r="W15" i="12"/>
  <c r="W80" i="12" s="1"/>
  <c r="W129" i="7" s="1"/>
  <c r="W130" i="7" s="1"/>
  <c r="W559" i="1"/>
  <c r="W250" i="31"/>
  <c r="W262" i="1"/>
  <c r="W460" i="1"/>
  <c r="W236" i="31"/>
  <c r="W483" i="1" s="1"/>
  <c r="W243" i="31"/>
  <c r="W17" i="12" s="1"/>
  <c r="W82" i="12" s="1"/>
  <c r="Y69" i="12"/>
  <c r="Y230" i="31"/>
  <c r="Y235" i="31" s="1"/>
  <c r="Y9" i="12" s="1"/>
  <c r="Y746" i="1"/>
  <c r="Y751" i="1" s="1"/>
  <c r="Y14" i="7" s="1"/>
  <c r="Y27" i="7" s="1"/>
  <c r="Y159" i="1"/>
  <c r="Y160" i="1" s="1"/>
  <c r="Y202" i="1"/>
  <c r="W373" i="1"/>
  <c r="W557" i="1"/>
  <c r="W13" i="12"/>
  <c r="W78" i="12" s="1"/>
  <c r="W285" i="1"/>
  <c r="W260" i="1"/>
  <c r="U19" i="12"/>
  <c r="U84" i="12" s="1"/>
  <c r="U186" i="12"/>
  <c r="T211" i="12"/>
  <c r="T161" i="12"/>
  <c r="AB205" i="31"/>
  <c r="AB538" i="1" s="1"/>
  <c r="AB549" i="1" s="1"/>
  <c r="AA224" i="31"/>
  <c r="AA225" i="31" s="1"/>
  <c r="AG419" i="1"/>
  <c r="AH394" i="1"/>
  <c r="AH643" i="1"/>
  <c r="AH646" i="1" s="1"/>
  <c r="AI193" i="31"/>
  <c r="AI539" i="1" s="1"/>
  <c r="AI550" i="1" s="1"/>
  <c r="AH267" i="12"/>
  <c r="AH166" i="12"/>
  <c r="AH60" i="12"/>
  <c r="AH330" i="1"/>
  <c r="AB185" i="31" l="1"/>
  <c r="AB537" i="1" s="1"/>
  <c r="AB548" i="1" s="1"/>
  <c r="X141" i="1"/>
  <c r="V219" i="12"/>
  <c r="AA135" i="1"/>
  <c r="AA136" i="1" s="1"/>
  <c r="AA212" i="31"/>
  <c r="AA213" i="31" s="1"/>
  <c r="AA230" i="31" s="1"/>
  <c r="AA220" i="31"/>
  <c r="AA221" i="31" s="1"/>
  <c r="AA175" i="12" s="1"/>
  <c r="X485" i="1"/>
  <c r="U211" i="12"/>
  <c r="X354" i="1"/>
  <c r="X360" i="1" s="1"/>
  <c r="X371" i="1" s="1"/>
  <c r="X251" i="31"/>
  <c r="X250" i="31"/>
  <c r="X488" i="1"/>
  <c r="X460" i="1"/>
  <c r="V55" i="12"/>
  <c r="X77" i="1"/>
  <c r="X89" i="1" s="1"/>
  <c r="X15" i="12"/>
  <c r="X80" i="12" s="1"/>
  <c r="X129" i="7" s="1"/>
  <c r="X130" i="7" s="1"/>
  <c r="X118" i="1"/>
  <c r="X262" i="1"/>
  <c r="V778" i="1"/>
  <c r="X16" i="12"/>
  <c r="X81" i="12" s="1"/>
  <c r="V22" i="12"/>
  <c r="V123" i="12" s="1"/>
  <c r="V178" i="12" s="1"/>
  <c r="X236" i="31"/>
  <c r="X10" i="12" s="1"/>
  <c r="X75" i="12" s="1"/>
  <c r="Y240" i="31"/>
  <c r="Y558" i="1" s="1"/>
  <c r="X285" i="1"/>
  <c r="V128" i="1"/>
  <c r="X373" i="1"/>
  <c r="X12" i="12"/>
  <c r="X77" i="12" s="1"/>
  <c r="X486" i="1"/>
  <c r="X260" i="1"/>
  <c r="X259" i="1"/>
  <c r="X13" i="12"/>
  <c r="X78" i="12" s="1"/>
  <c r="Z230" i="31"/>
  <c r="Z232" i="31" s="1"/>
  <c r="Z162" i="1" s="1"/>
  <c r="X243" i="31"/>
  <c r="Z159" i="1"/>
  <c r="Z160" i="1" s="1"/>
  <c r="Z202" i="1"/>
  <c r="X14" i="12"/>
  <c r="X79" i="12" s="1"/>
  <c r="X261" i="1"/>
  <c r="X374" i="1"/>
  <c r="X487" i="1"/>
  <c r="X249" i="31"/>
  <c r="U178" i="12"/>
  <c r="Y242" i="31"/>
  <c r="Y560" i="1" s="1"/>
  <c r="Y238" i="31"/>
  <c r="Y556" i="1" s="1"/>
  <c r="Y239" i="31"/>
  <c r="Y557" i="1" s="1"/>
  <c r="Y241" i="31"/>
  <c r="Y559" i="1" s="1"/>
  <c r="Z746" i="1"/>
  <c r="Z751" i="1" s="1"/>
  <c r="Z14" i="7" s="1"/>
  <c r="Z27" i="7" s="1"/>
  <c r="W252" i="1"/>
  <c r="W10" i="12"/>
  <c r="W75" i="12" s="1"/>
  <c r="W142" i="1"/>
  <c r="W248" i="31"/>
  <c r="W252" i="31" s="1"/>
  <c r="W30" i="12" s="1"/>
  <c r="W131" i="12" s="1"/>
  <c r="W219" i="12" s="1"/>
  <c r="W245" i="31"/>
  <c r="W55" i="12" s="1"/>
  <c r="W177" i="1"/>
  <c r="W444" i="1"/>
  <c r="Y74" i="12"/>
  <c r="Y232" i="31"/>
  <c r="Y162" i="1" s="1"/>
  <c r="Y163" i="1" s="1"/>
  <c r="Y164" i="1" s="1"/>
  <c r="Y167" i="1" s="1"/>
  <c r="Y171" i="1" s="1"/>
  <c r="Y172" i="1" s="1"/>
  <c r="Y234" i="31"/>
  <c r="Y141" i="1" s="1"/>
  <c r="AC205" i="31"/>
  <c r="AC538" i="1" s="1"/>
  <c r="AC549" i="1" s="1"/>
  <c r="AB224" i="31"/>
  <c r="AB225" i="31" s="1"/>
  <c r="AH419" i="1"/>
  <c r="AI394" i="1"/>
  <c r="AJ193" i="31"/>
  <c r="AJ539" i="1" s="1"/>
  <c r="AJ550" i="1" s="1"/>
  <c r="AI643" i="1"/>
  <c r="AI646" i="1" s="1"/>
  <c r="AI267" i="12"/>
  <c r="AI166" i="12"/>
  <c r="AI60" i="12"/>
  <c r="AI330" i="1"/>
  <c r="W371" i="1"/>
  <c r="W361" i="1"/>
  <c r="W458" i="1" s="1"/>
  <c r="AC185" i="31" l="1"/>
  <c r="AC537" i="1" s="1"/>
  <c r="AC548" i="1" s="1"/>
  <c r="AB135" i="1"/>
  <c r="AB136" i="1" s="1"/>
  <c r="AB220" i="31"/>
  <c r="AB221" i="31" s="1"/>
  <c r="AB175" i="12" s="1"/>
  <c r="AB212" i="31"/>
  <c r="AB213" i="31" s="1"/>
  <c r="AB230" i="31" s="1"/>
  <c r="X361" i="1"/>
  <c r="X458" i="1" s="1"/>
  <c r="Y262" i="1"/>
  <c r="Y15" i="12"/>
  <c r="Y80" i="12" s="1"/>
  <c r="Y129" i="7" s="1"/>
  <c r="Y130" i="7" s="1"/>
  <c r="Y250" i="31"/>
  <c r="X248" i="31"/>
  <c r="X252" i="31" s="1"/>
  <c r="X30" i="12" s="1"/>
  <c r="X131" i="12" s="1"/>
  <c r="X219" i="12" s="1"/>
  <c r="X483" i="1"/>
  <c r="X245" i="31"/>
  <c r="X55" i="12" s="1"/>
  <c r="X177" i="1"/>
  <c r="Z241" i="31"/>
  <c r="Z262" i="1" s="1"/>
  <c r="Y261" i="1"/>
  <c r="Y487" i="1"/>
  <c r="X252" i="1"/>
  <c r="X444" i="1"/>
  <c r="AA202" i="1"/>
  <c r="X142" i="1"/>
  <c r="Z242" i="31"/>
  <c r="Z77" i="1" s="1"/>
  <c r="Y249" i="31"/>
  <c r="Z235" i="31"/>
  <c r="Z9" i="12" s="1"/>
  <c r="Z74" i="12" s="1"/>
  <c r="V211" i="12"/>
  <c r="V161" i="12"/>
  <c r="Y374" i="1"/>
  <c r="Z163" i="1"/>
  <c r="Z164" i="1" s="1"/>
  <c r="Z167" i="1" s="1"/>
  <c r="Z171" i="1" s="1"/>
  <c r="Z172" i="1" s="1"/>
  <c r="X17" i="12"/>
  <c r="X82" i="12" s="1"/>
  <c r="Z238" i="31"/>
  <c r="Z259" i="1" s="1"/>
  <c r="Z240" i="31"/>
  <c r="Z261" i="1" s="1"/>
  <c r="Y16" i="12"/>
  <c r="Y81" i="12" s="1"/>
  <c r="Y14" i="12"/>
  <c r="Y79" i="12" s="1"/>
  <c r="W128" i="1"/>
  <c r="W186" i="12"/>
  <c r="Y77" i="1"/>
  <c r="Y118" i="1"/>
  <c r="Z239" i="31"/>
  <c r="Z285" i="1" s="1"/>
  <c r="Y8" i="12"/>
  <c r="Y73" i="12" s="1"/>
  <c r="Z234" i="31"/>
  <c r="Z141" i="1" s="1"/>
  <c r="AA69" i="12"/>
  <c r="Y260" i="1"/>
  <c r="Y488" i="1"/>
  <c r="Y460" i="1"/>
  <c r="AA746" i="1"/>
  <c r="AA751" i="1" s="1"/>
  <c r="AA14" i="7" s="1"/>
  <c r="AA27" i="7" s="1"/>
  <c r="Y373" i="1"/>
  <c r="Y485" i="1"/>
  <c r="AA159" i="1"/>
  <c r="AA160" i="1" s="1"/>
  <c r="Y251" i="31"/>
  <c r="Y354" i="1"/>
  <c r="Y360" i="1" s="1"/>
  <c r="Y371" i="1" s="1"/>
  <c r="Y486" i="1"/>
  <c r="Y243" i="31"/>
  <c r="Y17" i="12" s="1"/>
  <c r="Y82" i="12" s="1"/>
  <c r="W778" i="1"/>
  <c r="Y13" i="12"/>
  <c r="Y78" i="12" s="1"/>
  <c r="Y259" i="1"/>
  <c r="Y285" i="1"/>
  <c r="Y12" i="12"/>
  <c r="Y77" i="12" s="1"/>
  <c r="W22" i="12"/>
  <c r="W123" i="12" s="1"/>
  <c r="W178" i="12" s="1"/>
  <c r="W19" i="12"/>
  <c r="W84" i="12" s="1"/>
  <c r="Y236" i="31"/>
  <c r="AD205" i="31"/>
  <c r="AD538" i="1" s="1"/>
  <c r="AD549" i="1" s="1"/>
  <c r="AC224" i="31"/>
  <c r="AC225" i="31" s="1"/>
  <c r="AA235" i="31"/>
  <c r="AA9" i="12" s="1"/>
  <c r="AA240" i="31"/>
  <c r="AA558" i="1" s="1"/>
  <c r="AA234" i="31"/>
  <c r="AA239" i="31"/>
  <c r="AA557" i="1" s="1"/>
  <c r="AA232" i="31"/>
  <c r="AA162" i="1" s="1"/>
  <c r="AA238" i="31"/>
  <c r="AA556" i="1" s="1"/>
  <c r="AA241" i="31"/>
  <c r="AA559" i="1" s="1"/>
  <c r="AA242" i="31"/>
  <c r="AA560" i="1" s="1"/>
  <c r="AK193" i="31"/>
  <c r="AK539" i="1" s="1"/>
  <c r="AK550" i="1" s="1"/>
  <c r="AJ643" i="1"/>
  <c r="AJ646" i="1" s="1"/>
  <c r="AJ267" i="12"/>
  <c r="AJ60" i="12"/>
  <c r="AJ330" i="1"/>
  <c r="AJ166" i="12"/>
  <c r="AI419" i="1"/>
  <c r="AJ394" i="1"/>
  <c r="AC135" i="1" l="1"/>
  <c r="AC136" i="1" s="1"/>
  <c r="AC220" i="31"/>
  <c r="AC221" i="31" s="1"/>
  <c r="AC175" i="12" s="1"/>
  <c r="AC212" i="31"/>
  <c r="AC213" i="31" s="1"/>
  <c r="AD185" i="31"/>
  <c r="AD537" i="1" s="1"/>
  <c r="AD548" i="1" s="1"/>
  <c r="AA163" i="1"/>
  <c r="AA164" i="1" s="1"/>
  <c r="AA167" i="1" s="1"/>
  <c r="AA171" i="1" s="1"/>
  <c r="AA172" i="1" s="1"/>
  <c r="X128" i="1"/>
  <c r="X778" i="1"/>
  <c r="Y245" i="31"/>
  <c r="Y778" i="1" s="1"/>
  <c r="X22" i="12"/>
  <c r="X123" i="12" s="1"/>
  <c r="X161" i="12" s="1"/>
  <c r="X19" i="12"/>
  <c r="X84" i="12" s="1"/>
  <c r="Z460" i="1"/>
  <c r="Z354" i="1"/>
  <c r="Z360" i="1" s="1"/>
  <c r="Z249" i="31"/>
  <c r="Z250" i="31"/>
  <c r="Z488" i="1"/>
  <c r="Z118" i="1"/>
  <c r="Z251" i="31"/>
  <c r="Z15" i="12"/>
  <c r="Z80" i="12" s="1"/>
  <c r="Z129" i="7" s="1"/>
  <c r="Z130" i="7" s="1"/>
  <c r="Z12" i="12"/>
  <c r="Z77" i="12" s="1"/>
  <c r="Z560" i="1"/>
  <c r="Z16" i="12"/>
  <c r="Z81" i="12" s="1"/>
  <c r="Z374" i="1"/>
  <c r="Z485" i="1"/>
  <c r="Z559" i="1"/>
  <c r="Y361" i="1"/>
  <c r="Y458" i="1" s="1"/>
  <c r="Z557" i="1"/>
  <c r="AB746" i="1"/>
  <c r="AB751" i="1" s="1"/>
  <c r="AB14" i="7" s="1"/>
  <c r="AB27" i="7" s="1"/>
  <c r="Z260" i="1"/>
  <c r="Z487" i="1"/>
  <c r="Z558" i="1"/>
  <c r="Z14" i="12"/>
  <c r="Z79" i="12" s="1"/>
  <c r="Z486" i="1"/>
  <c r="Z556" i="1"/>
  <c r="Z243" i="31"/>
  <c r="Z17" i="12" s="1"/>
  <c r="Z82" i="12" s="1"/>
  <c r="Z373" i="1"/>
  <c r="X186" i="12"/>
  <c r="Z236" i="31"/>
  <c r="Z142" i="1" s="1"/>
  <c r="AB159" i="1"/>
  <c r="AB160" i="1" s="1"/>
  <c r="AB69" i="12"/>
  <c r="AB202" i="1"/>
  <c r="Y142" i="1"/>
  <c r="Y177" i="1"/>
  <c r="Z13" i="12"/>
  <c r="Z78" i="12" s="1"/>
  <c r="Y248" i="31"/>
  <c r="Y252" i="31" s="1"/>
  <c r="Y30" i="12" s="1"/>
  <c r="Y131" i="12" s="1"/>
  <c r="AA74" i="12"/>
  <c r="Z8" i="12"/>
  <c r="Z73" i="12" s="1"/>
  <c r="Y483" i="1"/>
  <c r="Y252" i="1"/>
  <c r="Y444" i="1"/>
  <c r="Y10" i="12"/>
  <c r="Y75" i="12" s="1"/>
  <c r="W211" i="12"/>
  <c r="W161" i="12"/>
  <c r="AA251" i="31"/>
  <c r="AA118" i="1"/>
  <c r="AA77" i="1"/>
  <c r="AA16" i="12"/>
  <c r="AA81" i="12" s="1"/>
  <c r="AA373" i="1"/>
  <c r="AA486" i="1"/>
  <c r="AA260" i="1"/>
  <c r="AA285" i="1"/>
  <c r="AA13" i="12"/>
  <c r="AA78" i="12" s="1"/>
  <c r="AD224" i="31"/>
  <c r="AD225" i="31" s="1"/>
  <c r="AE205" i="31"/>
  <c r="AE538" i="1" s="1"/>
  <c r="AE549" i="1" s="1"/>
  <c r="AA250" i="31"/>
  <c r="AA488" i="1"/>
  <c r="AA460" i="1"/>
  <c r="AA15" i="12"/>
  <c r="AA80" i="12" s="1"/>
  <c r="AA129" i="7" s="1"/>
  <c r="AA130" i="7" s="1"/>
  <c r="AA262" i="1"/>
  <c r="AA236" i="31"/>
  <c r="AA141" i="1"/>
  <c r="AA8" i="12"/>
  <c r="AA73" i="12" s="1"/>
  <c r="AA485" i="1"/>
  <c r="AA354" i="1"/>
  <c r="AA360" i="1" s="1"/>
  <c r="AA243" i="31"/>
  <c r="AA259" i="1"/>
  <c r="AA12" i="12"/>
  <c r="AA77" i="12" s="1"/>
  <c r="AA487" i="1"/>
  <c r="AA249" i="31"/>
  <c r="AA374" i="1"/>
  <c r="AA261" i="1"/>
  <c r="AA14" i="12"/>
  <c r="AA79" i="12" s="1"/>
  <c r="AB234" i="31"/>
  <c r="AB241" i="31"/>
  <c r="AB559" i="1" s="1"/>
  <c r="AB240" i="31"/>
  <c r="AB558" i="1" s="1"/>
  <c r="AB239" i="31"/>
  <c r="AB557" i="1" s="1"/>
  <c r="AB235" i="31"/>
  <c r="AB9" i="12" s="1"/>
  <c r="AB238" i="31"/>
  <c r="AB556" i="1" s="1"/>
  <c r="AB232" i="31"/>
  <c r="AB162" i="1" s="1"/>
  <c r="AB242" i="31"/>
  <c r="AB560" i="1" s="1"/>
  <c r="AJ419" i="1"/>
  <c r="AK394" i="1"/>
  <c r="AL193" i="31"/>
  <c r="AL539" i="1" s="1"/>
  <c r="AL550" i="1" s="1"/>
  <c r="AK643" i="1"/>
  <c r="AK646" i="1" s="1"/>
  <c r="AK267" i="12"/>
  <c r="AK166" i="12"/>
  <c r="AK60" i="12"/>
  <c r="AK330" i="1"/>
  <c r="X211" i="12" l="1"/>
  <c r="AD135" i="1"/>
  <c r="AD136" i="1" s="1"/>
  <c r="AD212" i="31"/>
  <c r="AD213" i="31" s="1"/>
  <c r="AD202" i="1" s="1"/>
  <c r="AD220" i="31"/>
  <c r="AD221" i="31" s="1"/>
  <c r="AD175" i="12" s="1"/>
  <c r="AE185" i="31"/>
  <c r="AE537" i="1" s="1"/>
  <c r="AE548" i="1" s="1"/>
  <c r="Y19" i="12"/>
  <c r="Y84" i="12" s="1"/>
  <c r="Y55" i="12"/>
  <c r="Y22" i="12"/>
  <c r="Y123" i="12" s="1"/>
  <c r="Y161" i="12" s="1"/>
  <c r="X178" i="12"/>
  <c r="Z177" i="1"/>
  <c r="Y128" i="1"/>
  <c r="Z248" i="31"/>
  <c r="Z252" i="31" s="1"/>
  <c r="Z30" i="12" s="1"/>
  <c r="Z131" i="12" s="1"/>
  <c r="Z219" i="12" s="1"/>
  <c r="Z483" i="1"/>
  <c r="Z444" i="1"/>
  <c r="Z10" i="12"/>
  <c r="Z75" i="12" s="1"/>
  <c r="Z252" i="1"/>
  <c r="Z245" i="31"/>
  <c r="Z778" i="1" s="1"/>
  <c r="AB74" i="12"/>
  <c r="AC159" i="1"/>
  <c r="AC160" i="1" s="1"/>
  <c r="AC230" i="31"/>
  <c r="AC238" i="31" s="1"/>
  <c r="AC69" i="12"/>
  <c r="AC746" i="1"/>
  <c r="AC751" i="1" s="1"/>
  <c r="AC14" i="7" s="1"/>
  <c r="AC27" i="7" s="1"/>
  <c r="AC202" i="1"/>
  <c r="AB163" i="1"/>
  <c r="AB164" i="1" s="1"/>
  <c r="AB167" i="1" s="1"/>
  <c r="AB171" i="1" s="1"/>
  <c r="AB172" i="1" s="1"/>
  <c r="Y219" i="12"/>
  <c r="Y186" i="12"/>
  <c r="AB251" i="31"/>
  <c r="AB118" i="1"/>
  <c r="AB77" i="1"/>
  <c r="AB16" i="12"/>
  <c r="AB81" i="12" s="1"/>
  <c r="AB486" i="1"/>
  <c r="AB373" i="1"/>
  <c r="AB13" i="12"/>
  <c r="AB78" i="12" s="1"/>
  <c r="AB260" i="1"/>
  <c r="AB285" i="1"/>
  <c r="AB249" i="31"/>
  <c r="AB487" i="1"/>
  <c r="AB374" i="1"/>
  <c r="AB14" i="12"/>
  <c r="AB79" i="12" s="1"/>
  <c r="AB261" i="1"/>
  <c r="AF205" i="31"/>
  <c r="AF538" i="1" s="1"/>
  <c r="AF549" i="1" s="1"/>
  <c r="AE224" i="31"/>
  <c r="AE225" i="31" s="1"/>
  <c r="AB243" i="31"/>
  <c r="AB17" i="12" s="1"/>
  <c r="AB82" i="12" s="1"/>
  <c r="AB485" i="1"/>
  <c r="AB354" i="1"/>
  <c r="AB360" i="1" s="1"/>
  <c r="AB12" i="12"/>
  <c r="AB77" i="12" s="1"/>
  <c r="AB259" i="1"/>
  <c r="AB488" i="1"/>
  <c r="AB460" i="1"/>
  <c r="AB250" i="31"/>
  <c r="AB262" i="1"/>
  <c r="AB15" i="12"/>
  <c r="AB80" i="12" s="1"/>
  <c r="AB129" i="7" s="1"/>
  <c r="AB130" i="7" s="1"/>
  <c r="AA245" i="31"/>
  <c r="AA17" i="12"/>
  <c r="AA82" i="12" s="1"/>
  <c r="AB236" i="31"/>
  <c r="AB8" i="12"/>
  <c r="AB73" i="12" s="1"/>
  <c r="AB141" i="1"/>
  <c r="AA248" i="31"/>
  <c r="AA252" i="31" s="1"/>
  <c r="AA30" i="12" s="1"/>
  <c r="AA131" i="12" s="1"/>
  <c r="AA483" i="1"/>
  <c r="AA252" i="1"/>
  <c r="AA177" i="1"/>
  <c r="AA444" i="1"/>
  <c r="AA10" i="12"/>
  <c r="AA75" i="12" s="1"/>
  <c r="AA142" i="1"/>
  <c r="AL643" i="1"/>
  <c r="AL646" i="1" s="1"/>
  <c r="AM193" i="31"/>
  <c r="AM539" i="1" s="1"/>
  <c r="AM550" i="1" s="1"/>
  <c r="AL267" i="12"/>
  <c r="AL166" i="12"/>
  <c r="AL60" i="12"/>
  <c r="AL330" i="1"/>
  <c r="AK419" i="1"/>
  <c r="AL394" i="1"/>
  <c r="AA371" i="1"/>
  <c r="AA361" i="1"/>
  <c r="AA458" i="1" s="1"/>
  <c r="Z371" i="1"/>
  <c r="Z361" i="1"/>
  <c r="Z458" i="1" s="1"/>
  <c r="AF185" i="31" l="1"/>
  <c r="AF537" i="1" s="1"/>
  <c r="AF548" i="1" s="1"/>
  <c r="AE135" i="1"/>
  <c r="AE136" i="1" s="1"/>
  <c r="AE212" i="31"/>
  <c r="AE213" i="31" s="1"/>
  <c r="AE220" i="31"/>
  <c r="AE221" i="31" s="1"/>
  <c r="AE175" i="12" s="1"/>
  <c r="Y178" i="12"/>
  <c r="Y211" i="12"/>
  <c r="AC235" i="31"/>
  <c r="AC9" i="12" s="1"/>
  <c r="AC74" i="12" s="1"/>
  <c r="Z186" i="12"/>
  <c r="AC241" i="31"/>
  <c r="AC15" i="12" s="1"/>
  <c r="AC80" i="12" s="1"/>
  <c r="AC129" i="7" s="1"/>
  <c r="AC130" i="7" s="1"/>
  <c r="AC232" i="31"/>
  <c r="AC162" i="1" s="1"/>
  <c r="AC163" i="1" s="1"/>
  <c r="AC164" i="1" s="1"/>
  <c r="AC167" i="1" s="1"/>
  <c r="AC171" i="1" s="1"/>
  <c r="AC172" i="1" s="1"/>
  <c r="Z19" i="12"/>
  <c r="Z84" i="12" s="1"/>
  <c r="Z128" i="1"/>
  <c r="Z55" i="12"/>
  <c r="AC240" i="31"/>
  <c r="AC487" i="1" s="1"/>
  <c r="Z22" i="12"/>
  <c r="Z123" i="12" s="1"/>
  <c r="Z178" i="12" s="1"/>
  <c r="AC242" i="31"/>
  <c r="AC118" i="1" s="1"/>
  <c r="AC239" i="31"/>
  <c r="AC13" i="12" s="1"/>
  <c r="AC78" i="12" s="1"/>
  <c r="AC234" i="31"/>
  <c r="AC8" i="12" s="1"/>
  <c r="AC73" i="12" s="1"/>
  <c r="AD746" i="1"/>
  <c r="AD751" i="1" s="1"/>
  <c r="AD14" i="7" s="1"/>
  <c r="AD27" i="7" s="1"/>
  <c r="AD230" i="31"/>
  <c r="AD234" i="31" s="1"/>
  <c r="AD69" i="12"/>
  <c r="AD159" i="1"/>
  <c r="AD160" i="1" s="1"/>
  <c r="AC12" i="12"/>
  <c r="AC77" i="12" s="1"/>
  <c r="AC556" i="1"/>
  <c r="AC259" i="1"/>
  <c r="AC485" i="1"/>
  <c r="AC354" i="1"/>
  <c r="AC360" i="1" s="1"/>
  <c r="AB177" i="1"/>
  <c r="AB483" i="1"/>
  <c r="AB252" i="1"/>
  <c r="AB444" i="1"/>
  <c r="AB248" i="31"/>
  <c r="AB252" i="31" s="1"/>
  <c r="AB30" i="12" s="1"/>
  <c r="AB131" i="12" s="1"/>
  <c r="AB245" i="31"/>
  <c r="AB10" i="12"/>
  <c r="AB75" i="12" s="1"/>
  <c r="AB142" i="1"/>
  <c r="AA778" i="1"/>
  <c r="AA55" i="12"/>
  <c r="AA128" i="1"/>
  <c r="AA19" i="12"/>
  <c r="AA84" i="12" s="1"/>
  <c r="AA22" i="12"/>
  <c r="AA123" i="12" s="1"/>
  <c r="AG205" i="31"/>
  <c r="AG538" i="1" s="1"/>
  <c r="AG549" i="1" s="1"/>
  <c r="AF224" i="31"/>
  <c r="AF225" i="31" s="1"/>
  <c r="AA186" i="12"/>
  <c r="AA219" i="12"/>
  <c r="AL419" i="1"/>
  <c r="AM394" i="1"/>
  <c r="AM643" i="1"/>
  <c r="AM646" i="1" s="1"/>
  <c r="AN193" i="31"/>
  <c r="AN539" i="1" s="1"/>
  <c r="AN550" i="1" s="1"/>
  <c r="AM267" i="12"/>
  <c r="AM166" i="12"/>
  <c r="AM60" i="12"/>
  <c r="AM330" i="1"/>
  <c r="AB371" i="1"/>
  <c r="AB361" i="1"/>
  <c r="AB458" i="1" s="1"/>
  <c r="AF220" i="31" l="1"/>
  <c r="AF221" i="31" s="1"/>
  <c r="AF175" i="12" s="1"/>
  <c r="AG185" i="31"/>
  <c r="AG537" i="1" s="1"/>
  <c r="AG548" i="1" s="1"/>
  <c r="AF212" i="31"/>
  <c r="AF213" i="31" s="1"/>
  <c r="AF159" i="1" s="1"/>
  <c r="AF160" i="1" s="1"/>
  <c r="AF135" i="1"/>
  <c r="AF136" i="1" s="1"/>
  <c r="AC141" i="1"/>
  <c r="AC262" i="1"/>
  <c r="AC559" i="1"/>
  <c r="AC250" i="31"/>
  <c r="AC488" i="1"/>
  <c r="AC460" i="1"/>
  <c r="AD232" i="31"/>
  <c r="AD162" i="1" s="1"/>
  <c r="AD163" i="1" s="1"/>
  <c r="AD164" i="1" s="1"/>
  <c r="AD167" i="1" s="1"/>
  <c r="AD171" i="1" s="1"/>
  <c r="AD172" i="1" s="1"/>
  <c r="AC374" i="1"/>
  <c r="AC236" i="31"/>
  <c r="AC177" i="1" s="1"/>
  <c r="AC243" i="31"/>
  <c r="AC17" i="12" s="1"/>
  <c r="AC82" i="12" s="1"/>
  <c r="AC249" i="31"/>
  <c r="AC77" i="1"/>
  <c r="AC560" i="1"/>
  <c r="AC486" i="1"/>
  <c r="AC557" i="1"/>
  <c r="AC285" i="1"/>
  <c r="AC373" i="1"/>
  <c r="AC558" i="1"/>
  <c r="AD241" i="31"/>
  <c r="AD559" i="1" s="1"/>
  <c r="AC14" i="12"/>
  <c r="AC79" i="12" s="1"/>
  <c r="AC261" i="1"/>
  <c r="Z161" i="12"/>
  <c r="AD239" i="31"/>
  <c r="AD557" i="1" s="1"/>
  <c r="AC260" i="1"/>
  <c r="AC16" i="12"/>
  <c r="AC81" i="12" s="1"/>
  <c r="AC251" i="31"/>
  <c r="Z211" i="12"/>
  <c r="AE69" i="12"/>
  <c r="AE202" i="1"/>
  <c r="AD240" i="31"/>
  <c r="AD558" i="1" s="1"/>
  <c r="AE746" i="1"/>
  <c r="AE751" i="1" s="1"/>
  <c r="AE14" i="7" s="1"/>
  <c r="AE27" i="7" s="1"/>
  <c r="AE230" i="31"/>
  <c r="AE234" i="31" s="1"/>
  <c r="AE8" i="12" s="1"/>
  <c r="AD235" i="31"/>
  <c r="AD9" i="12" s="1"/>
  <c r="AD74" i="12" s="1"/>
  <c r="AE159" i="1"/>
  <c r="AE160" i="1" s="1"/>
  <c r="AD242" i="31"/>
  <c r="AD560" i="1" s="1"/>
  <c r="AD238" i="31"/>
  <c r="AD556" i="1" s="1"/>
  <c r="AH205" i="31"/>
  <c r="AH538" i="1" s="1"/>
  <c r="AH549" i="1" s="1"/>
  <c r="AG224" i="31"/>
  <c r="AG225" i="31" s="1"/>
  <c r="AD8" i="12"/>
  <c r="AD73" i="12" s="1"/>
  <c r="AD141" i="1"/>
  <c r="AB128" i="1"/>
  <c r="AB778" i="1"/>
  <c r="AB19" i="12"/>
  <c r="AB84" i="12" s="1"/>
  <c r="AB22" i="12"/>
  <c r="AB123" i="12" s="1"/>
  <c r="AB55" i="12"/>
  <c r="AA211" i="12"/>
  <c r="AA161" i="12"/>
  <c r="AA178" i="12"/>
  <c r="AB186" i="12"/>
  <c r="AB219" i="12"/>
  <c r="AN643" i="1"/>
  <c r="AN646" i="1" s="1"/>
  <c r="AO193" i="31"/>
  <c r="AO539" i="1" s="1"/>
  <c r="AO550" i="1" s="1"/>
  <c r="AN267" i="12"/>
  <c r="AN166" i="12"/>
  <c r="AN60" i="12"/>
  <c r="AN330" i="1"/>
  <c r="AM419" i="1"/>
  <c r="AN394" i="1"/>
  <c r="AG135" i="1" l="1"/>
  <c r="AG136" i="1" s="1"/>
  <c r="AG220" i="31"/>
  <c r="AG221" i="31" s="1"/>
  <c r="AG175" i="12" s="1"/>
  <c r="AH185" i="31"/>
  <c r="AH537" i="1" s="1"/>
  <c r="AH548" i="1" s="1"/>
  <c r="AG212" i="31"/>
  <c r="AG213" i="31" s="1"/>
  <c r="AG202" i="1" s="1"/>
  <c r="AD262" i="1"/>
  <c r="AC245" i="31"/>
  <c r="AC128" i="1" s="1"/>
  <c r="AC248" i="31"/>
  <c r="AC252" i="31" s="1"/>
  <c r="AC30" i="12" s="1"/>
  <c r="AC131" i="12" s="1"/>
  <c r="AC186" i="12" s="1"/>
  <c r="AC483" i="1"/>
  <c r="AC444" i="1"/>
  <c r="AC252" i="1"/>
  <c r="AC142" i="1"/>
  <c r="AC10" i="12"/>
  <c r="AC75" i="12" s="1"/>
  <c r="AD373" i="1"/>
  <c r="AD250" i="31"/>
  <c r="AD13" i="12"/>
  <c r="AD78" i="12" s="1"/>
  <c r="AD285" i="1"/>
  <c r="AD486" i="1"/>
  <c r="AD460" i="1"/>
  <c r="AF746" i="1"/>
  <c r="AF751" i="1" s="1"/>
  <c r="AF14" i="7" s="1"/>
  <c r="AF27" i="7" s="1"/>
  <c r="AD488" i="1"/>
  <c r="AF230" i="31"/>
  <c r="AF235" i="31" s="1"/>
  <c r="AF9" i="12" s="1"/>
  <c r="AD249" i="31"/>
  <c r="AE242" i="31"/>
  <c r="AE251" i="31" s="1"/>
  <c r="AD260" i="1"/>
  <c r="AD15" i="12"/>
  <c r="AD80" i="12" s="1"/>
  <c r="AD129" i="7" s="1"/>
  <c r="AD130" i="7" s="1"/>
  <c r="AF202" i="1"/>
  <c r="AD14" i="12"/>
  <c r="AD79" i="12" s="1"/>
  <c r="AD374" i="1"/>
  <c r="AF69" i="12"/>
  <c r="AD261" i="1"/>
  <c r="AD487" i="1"/>
  <c r="AE240" i="31"/>
  <c r="AE261" i="1" s="1"/>
  <c r="AD354" i="1"/>
  <c r="AD360" i="1" s="1"/>
  <c r="AD371" i="1" s="1"/>
  <c r="AD485" i="1"/>
  <c r="AE241" i="31"/>
  <c r="AE460" i="1" s="1"/>
  <c r="AE238" i="31"/>
  <c r="AE556" i="1" s="1"/>
  <c r="AD236" i="31"/>
  <c r="AD252" i="1" s="1"/>
  <c r="AE235" i="31"/>
  <c r="AE9" i="12" s="1"/>
  <c r="AE74" i="12" s="1"/>
  <c r="AE232" i="31"/>
  <c r="AE162" i="1" s="1"/>
  <c r="AE163" i="1" s="1"/>
  <c r="AE239" i="31"/>
  <c r="AE13" i="12" s="1"/>
  <c r="AE78" i="12" s="1"/>
  <c r="AD12" i="12"/>
  <c r="AD77" i="12" s="1"/>
  <c r="AD259" i="1"/>
  <c r="AD16" i="12"/>
  <c r="AD81" i="12" s="1"/>
  <c r="AD77" i="1"/>
  <c r="AD243" i="31"/>
  <c r="AD17" i="12" s="1"/>
  <c r="AD82" i="12" s="1"/>
  <c r="AD118" i="1"/>
  <c r="AD251" i="31"/>
  <c r="AE141" i="1"/>
  <c r="AB178" i="12"/>
  <c r="AB211" i="12"/>
  <c r="AB161" i="12"/>
  <c r="AI205" i="31"/>
  <c r="AI538" i="1" s="1"/>
  <c r="AI549" i="1" s="1"/>
  <c r="AH224" i="31"/>
  <c r="AH225" i="31" s="1"/>
  <c r="AN419" i="1"/>
  <c r="AO394" i="1"/>
  <c r="AO643" i="1"/>
  <c r="AO646" i="1" s="1"/>
  <c r="AP193" i="31"/>
  <c r="AP539" i="1" s="1"/>
  <c r="AP550" i="1" s="1"/>
  <c r="AO267" i="12"/>
  <c r="AO60" i="12"/>
  <c r="AO330" i="1"/>
  <c r="AO166" i="12"/>
  <c r="AE73" i="12"/>
  <c r="AC371" i="1"/>
  <c r="AC361" i="1"/>
  <c r="AC458" i="1" s="1"/>
  <c r="AH220" i="31" l="1"/>
  <c r="AH221" i="31" s="1"/>
  <c r="AH175" i="12" s="1"/>
  <c r="AH135" i="1"/>
  <c r="AH136" i="1" s="1"/>
  <c r="AH212" i="31"/>
  <c r="AH213" i="31" s="1"/>
  <c r="AH69" i="12" s="1"/>
  <c r="AI185" i="31"/>
  <c r="AI537" i="1" s="1"/>
  <c r="AI548" i="1" s="1"/>
  <c r="AF240" i="31"/>
  <c r="AF558" i="1" s="1"/>
  <c r="AF241" i="31"/>
  <c r="AF559" i="1" s="1"/>
  <c r="AC55" i="12"/>
  <c r="AC778" i="1"/>
  <c r="AF238" i="31"/>
  <c r="AF556" i="1" s="1"/>
  <c r="AF232" i="31"/>
  <c r="AF162" i="1" s="1"/>
  <c r="AF163" i="1" s="1"/>
  <c r="AF234" i="31"/>
  <c r="AF236" i="31" s="1"/>
  <c r="AC19" i="12"/>
  <c r="AC84" i="12" s="1"/>
  <c r="AE14" i="12"/>
  <c r="AE79" i="12" s="1"/>
  <c r="AD10" i="12"/>
  <c r="AD75" i="12" s="1"/>
  <c r="AE354" i="1"/>
  <c r="AE360" i="1" s="1"/>
  <c r="AD142" i="1"/>
  <c r="AD483" i="1"/>
  <c r="AF239" i="31"/>
  <c r="AF557" i="1" s="1"/>
  <c r="AC22" i="12"/>
  <c r="AC123" i="12" s="1"/>
  <c r="AC178" i="12" s="1"/>
  <c r="AF74" i="12"/>
  <c r="AD245" i="31"/>
  <c r="AD55" i="12" s="1"/>
  <c r="AE485" i="1"/>
  <c r="AE560" i="1"/>
  <c r="AF242" i="31"/>
  <c r="AF560" i="1" s="1"/>
  <c r="AE259" i="1"/>
  <c r="AC219" i="12"/>
  <c r="AD444" i="1"/>
  <c r="AG159" i="1"/>
  <c r="AG160" i="1" s="1"/>
  <c r="AG230" i="31"/>
  <c r="AG239" i="31" s="1"/>
  <c r="AE374" i="1"/>
  <c r="AG69" i="12"/>
  <c r="AE15" i="12"/>
  <c r="AE80" i="12" s="1"/>
  <c r="AE129" i="7" s="1"/>
  <c r="AE130" i="7" s="1"/>
  <c r="AE262" i="1"/>
  <c r="AE559" i="1"/>
  <c r="AE488" i="1"/>
  <c r="AE249" i="31"/>
  <c r="AG746" i="1"/>
  <c r="AG751" i="1" s="1"/>
  <c r="AG14" i="7" s="1"/>
  <c r="AG27" i="7" s="1"/>
  <c r="AE487" i="1"/>
  <c r="AE77" i="1"/>
  <c r="AE118" i="1"/>
  <c r="AE16" i="12"/>
  <c r="AE81" i="12" s="1"/>
  <c r="AE558" i="1"/>
  <c r="AD361" i="1"/>
  <c r="AD458" i="1" s="1"/>
  <c r="AD248" i="31"/>
  <c r="AD252" i="31" s="1"/>
  <c r="AD30" i="12" s="1"/>
  <c r="AD131" i="12" s="1"/>
  <c r="AD186" i="12" s="1"/>
  <c r="AE250" i="31"/>
  <c r="AD177" i="1"/>
  <c r="AE12" i="12"/>
  <c r="AE77" i="12" s="1"/>
  <c r="AE373" i="1"/>
  <c r="AE243" i="31"/>
  <c r="AE17" i="12" s="1"/>
  <c r="AE82" i="12" s="1"/>
  <c r="AE285" i="1"/>
  <c r="AE486" i="1"/>
  <c r="AE236" i="31"/>
  <c r="AE483" i="1" s="1"/>
  <c r="AE557" i="1"/>
  <c r="AE260" i="1"/>
  <c r="AJ205" i="31"/>
  <c r="AJ538" i="1" s="1"/>
  <c r="AJ549" i="1" s="1"/>
  <c r="AI224" i="31"/>
  <c r="AI225" i="31" s="1"/>
  <c r="AQ193" i="31"/>
  <c r="AQ539" i="1" s="1"/>
  <c r="AQ550" i="1" s="1"/>
  <c r="AP643" i="1"/>
  <c r="AP646" i="1" s="1"/>
  <c r="AP267" i="12"/>
  <c r="AP166" i="12"/>
  <c r="AP330" i="1"/>
  <c r="AP60" i="12"/>
  <c r="AO419" i="1"/>
  <c r="AP394" i="1"/>
  <c r="AF374" i="1" l="1"/>
  <c r="AF15" i="12"/>
  <c r="AF80" i="12" s="1"/>
  <c r="AF129" i="7" s="1"/>
  <c r="AF130" i="7" s="1"/>
  <c r="AF250" i="31"/>
  <c r="AF14" i="12"/>
  <c r="AF79" i="12" s="1"/>
  <c r="AF354" i="1"/>
  <c r="AF360" i="1" s="1"/>
  <c r="AF371" i="1" s="1"/>
  <c r="AI212" i="31"/>
  <c r="AI213" i="31" s="1"/>
  <c r="AI746" i="1" s="1"/>
  <c r="AI751" i="1" s="1"/>
  <c r="AI14" i="7" s="1"/>
  <c r="AI27" i="7" s="1"/>
  <c r="AF249" i="31"/>
  <c r="AI220" i="31"/>
  <c r="AI221" i="31" s="1"/>
  <c r="AI175" i="12" s="1"/>
  <c r="AJ185" i="31"/>
  <c r="AJ537" i="1" s="1"/>
  <c r="AJ548" i="1" s="1"/>
  <c r="AI135" i="1"/>
  <c r="AI136" i="1" s="1"/>
  <c r="AF261" i="1"/>
  <c r="AF487" i="1"/>
  <c r="AF460" i="1"/>
  <c r="AF262" i="1"/>
  <c r="AF488" i="1"/>
  <c r="AF485" i="1"/>
  <c r="AF259" i="1"/>
  <c r="AF12" i="12"/>
  <c r="AF77" i="12" s="1"/>
  <c r="AF141" i="1"/>
  <c r="AF8" i="12"/>
  <c r="AF73" i="12" s="1"/>
  <c r="AF13" i="12"/>
  <c r="AF78" i="12" s="1"/>
  <c r="AF285" i="1"/>
  <c r="AD128" i="1"/>
  <c r="AF260" i="1"/>
  <c r="AG235" i="31"/>
  <c r="AG9" i="12" s="1"/>
  <c r="AG74" i="12" s="1"/>
  <c r="AD19" i="12"/>
  <c r="AD84" i="12" s="1"/>
  <c r="AG241" i="31"/>
  <c r="AG15" i="12" s="1"/>
  <c r="AG80" i="12" s="1"/>
  <c r="AG129" i="7" s="1"/>
  <c r="AG130" i="7" s="1"/>
  <c r="AF486" i="1"/>
  <c r="AF373" i="1"/>
  <c r="AC161" i="12"/>
  <c r="AD22" i="12"/>
  <c r="AD123" i="12" s="1"/>
  <c r="AD211" i="12" s="1"/>
  <c r="AG238" i="31"/>
  <c r="AG12" i="12" s="1"/>
  <c r="AG77" i="12" s="1"/>
  <c r="AD778" i="1"/>
  <c r="AG234" i="31"/>
  <c r="AG8" i="12" s="1"/>
  <c r="AG73" i="12" s="1"/>
  <c r="AG240" i="31"/>
  <c r="AG14" i="12" s="1"/>
  <c r="AG79" i="12" s="1"/>
  <c r="AF243" i="31"/>
  <c r="AF17" i="12" s="1"/>
  <c r="AF82" i="12" s="1"/>
  <c r="AH202" i="1"/>
  <c r="AG232" i="31"/>
  <c r="AG162" i="1" s="1"/>
  <c r="AG163" i="1" s="1"/>
  <c r="AG242" i="31"/>
  <c r="AG560" i="1" s="1"/>
  <c r="AC211" i="12"/>
  <c r="AF16" i="12"/>
  <c r="AF81" i="12" s="1"/>
  <c r="AF77" i="1"/>
  <c r="AF251" i="31"/>
  <c r="AF118" i="1"/>
  <c r="AH159" i="1"/>
  <c r="AH160" i="1" s="1"/>
  <c r="AH230" i="31"/>
  <c r="AH232" i="31" s="1"/>
  <c r="AH162" i="1" s="1"/>
  <c r="AH746" i="1"/>
  <c r="AH751" i="1" s="1"/>
  <c r="AH14" i="7" s="1"/>
  <c r="AH27" i="7" s="1"/>
  <c r="AE177" i="1"/>
  <c r="AE252" i="1"/>
  <c r="AE248" i="31"/>
  <c r="AE252" i="31" s="1"/>
  <c r="AE30" i="12" s="1"/>
  <c r="AE131" i="12" s="1"/>
  <c r="AE219" i="12" s="1"/>
  <c r="AE142" i="1"/>
  <c r="AE10" i="12"/>
  <c r="AE75" i="12" s="1"/>
  <c r="AE444" i="1"/>
  <c r="AE245" i="31"/>
  <c r="AE778" i="1" s="1"/>
  <c r="AD219" i="12"/>
  <c r="AG285" i="1"/>
  <c r="AG557" i="1"/>
  <c r="AG13" i="12"/>
  <c r="AG78" i="12" s="1"/>
  <c r="AG260" i="1"/>
  <c r="AJ224" i="31"/>
  <c r="AJ225" i="31" s="1"/>
  <c r="AK205" i="31"/>
  <c r="AK538" i="1" s="1"/>
  <c r="AK549" i="1" s="1"/>
  <c r="AF444" i="1"/>
  <c r="AF483" i="1"/>
  <c r="AF177" i="1"/>
  <c r="AF248" i="31"/>
  <c r="AF252" i="1"/>
  <c r="AF142" i="1"/>
  <c r="AF10" i="12"/>
  <c r="AF75" i="12" s="1"/>
  <c r="AG373" i="1"/>
  <c r="AG486" i="1"/>
  <c r="AP419" i="1"/>
  <c r="AQ394" i="1"/>
  <c r="AP397" i="1"/>
  <c r="AP408" i="1" s="1"/>
  <c r="AQ643" i="1"/>
  <c r="AQ646" i="1" s="1"/>
  <c r="AR193" i="31"/>
  <c r="AR539" i="1" s="1"/>
  <c r="AR550" i="1" s="1"/>
  <c r="AQ267" i="12"/>
  <c r="AQ330" i="1"/>
  <c r="AQ166" i="12"/>
  <c r="AQ60" i="12"/>
  <c r="AE371" i="1"/>
  <c r="AE361" i="1"/>
  <c r="AE458" i="1" s="1"/>
  <c r="AF361" i="1" l="1"/>
  <c r="AF458" i="1" s="1"/>
  <c r="AJ135" i="1"/>
  <c r="AJ136" i="1" s="1"/>
  <c r="AK185" i="31"/>
  <c r="AK537" i="1" s="1"/>
  <c r="AK548" i="1" s="1"/>
  <c r="AJ220" i="31"/>
  <c r="AJ221" i="31" s="1"/>
  <c r="AJ175" i="12" s="1"/>
  <c r="AJ212" i="31"/>
  <c r="AJ213" i="31" s="1"/>
  <c r="AJ202" i="1" s="1"/>
  <c r="AD178" i="12"/>
  <c r="AG77" i="1"/>
  <c r="AG89" i="1" s="1"/>
  <c r="AD161" i="12"/>
  <c r="AG354" i="1"/>
  <c r="AG360" i="1" s="1"/>
  <c r="AH163" i="1"/>
  <c r="AG485" i="1"/>
  <c r="AG259" i="1"/>
  <c r="AG251" i="31"/>
  <c r="AG118" i="1"/>
  <c r="AG16" i="12"/>
  <c r="AG81" i="12" s="1"/>
  <c r="AG261" i="1"/>
  <c r="AG460" i="1"/>
  <c r="AG374" i="1"/>
  <c r="AG488" i="1"/>
  <c r="AG556" i="1"/>
  <c r="AG558" i="1"/>
  <c r="AH241" i="31"/>
  <c r="AH559" i="1" s="1"/>
  <c r="AF252" i="31"/>
  <c r="AF30" i="12" s="1"/>
  <c r="AF131" i="12" s="1"/>
  <c r="AF186" i="12" s="1"/>
  <c r="AG250" i="31"/>
  <c r="AG249" i="31"/>
  <c r="AG559" i="1"/>
  <c r="AG487" i="1"/>
  <c r="AG262" i="1"/>
  <c r="AI230" i="31"/>
  <c r="AI241" i="31" s="1"/>
  <c r="AI559" i="1" s="1"/>
  <c r="AG236" i="31"/>
  <c r="AG10" i="12" s="1"/>
  <c r="AG75" i="12" s="1"/>
  <c r="AF245" i="31"/>
  <c r="AF55" i="12" s="1"/>
  <c r="AI202" i="1"/>
  <c r="AH242" i="31"/>
  <c r="AH560" i="1" s="1"/>
  <c r="AI69" i="12"/>
  <c r="AG141" i="1"/>
  <c r="AG243" i="31"/>
  <c r="AH235" i="31"/>
  <c r="AH9" i="12" s="1"/>
  <c r="AH74" i="12" s="1"/>
  <c r="AH238" i="31"/>
  <c r="AH556" i="1" s="1"/>
  <c r="AH239" i="31"/>
  <c r="AH557" i="1" s="1"/>
  <c r="AI159" i="1"/>
  <c r="AI160" i="1" s="1"/>
  <c r="AH234" i="31"/>
  <c r="AH8" i="12" s="1"/>
  <c r="AH73" i="12" s="1"/>
  <c r="AH240" i="31"/>
  <c r="AH558" i="1" s="1"/>
  <c r="AE186" i="12"/>
  <c r="AE19" i="12"/>
  <c r="AE84" i="12" s="1"/>
  <c r="AE22" i="12"/>
  <c r="AE123" i="12" s="1"/>
  <c r="AE211" i="12" s="1"/>
  <c r="AE55" i="12"/>
  <c r="AE128" i="1"/>
  <c r="AL205" i="31"/>
  <c r="AL538" i="1" s="1"/>
  <c r="AL549" i="1" s="1"/>
  <c r="AK224" i="31"/>
  <c r="AK225" i="31" s="1"/>
  <c r="AQ419" i="1"/>
  <c r="AR394" i="1"/>
  <c r="AQ397" i="1"/>
  <c r="AQ408" i="1" s="1"/>
  <c r="AR643" i="1"/>
  <c r="AR646" i="1" s="1"/>
  <c r="AS193" i="31"/>
  <c r="AS539" i="1" s="1"/>
  <c r="AS550" i="1" s="1"/>
  <c r="AR267" i="12"/>
  <c r="AR166" i="12"/>
  <c r="AR60" i="12"/>
  <c r="AR330" i="1"/>
  <c r="AK135" i="1" l="1"/>
  <c r="AK136" i="1" s="1"/>
  <c r="AK212" i="31"/>
  <c r="AK213" i="31" s="1"/>
  <c r="AL185" i="31"/>
  <c r="AL537" i="1" s="1"/>
  <c r="AL548" i="1" s="1"/>
  <c r="AK220" i="31"/>
  <c r="AK221" i="31" s="1"/>
  <c r="AK175" i="12" s="1"/>
  <c r="AG177" i="1"/>
  <c r="AG252" i="1"/>
  <c r="AH15" i="12"/>
  <c r="AH80" i="12" s="1"/>
  <c r="AH129" i="7" s="1"/>
  <c r="AH130" i="7" s="1"/>
  <c r="AF219" i="12"/>
  <c r="AH354" i="1"/>
  <c r="AH360" i="1" s="1"/>
  <c r="AH371" i="1" s="1"/>
  <c r="AF778" i="1"/>
  <c r="AG483" i="1"/>
  <c r="AG248" i="31"/>
  <c r="AG252" i="31" s="1"/>
  <c r="AG30" i="12" s="1"/>
  <c r="AG131" i="12" s="1"/>
  <c r="AG219" i="12" s="1"/>
  <c r="AF128" i="1"/>
  <c r="AH250" i="31"/>
  <c r="AF19" i="12"/>
  <c r="AF84" i="12" s="1"/>
  <c r="AG142" i="1"/>
  <c r="AH262" i="1"/>
  <c r="AH488" i="1"/>
  <c r="AH460" i="1"/>
  <c r="AJ746" i="1"/>
  <c r="AJ751" i="1" s="1"/>
  <c r="AJ14" i="7" s="1"/>
  <c r="AJ27" i="7" s="1"/>
  <c r="AH259" i="1"/>
  <c r="AH12" i="12"/>
  <c r="AH77" i="12" s="1"/>
  <c r="AF22" i="12"/>
  <c r="AF123" i="12" s="1"/>
  <c r="AF161" i="12" s="1"/>
  <c r="AH485" i="1"/>
  <c r="AI234" i="31"/>
  <c r="AI141" i="1" s="1"/>
  <c r="AG245" i="31"/>
  <c r="AG55" i="12" s="1"/>
  <c r="AI238" i="31"/>
  <c r="AI556" i="1" s="1"/>
  <c r="AI232" i="31"/>
  <c r="AI162" i="1" s="1"/>
  <c r="AI163" i="1" s="1"/>
  <c r="AH251" i="31"/>
  <c r="AH260" i="1"/>
  <c r="AI240" i="31"/>
  <c r="AI558" i="1" s="1"/>
  <c r="AG444" i="1"/>
  <c r="AI242" i="31"/>
  <c r="AI560" i="1" s="1"/>
  <c r="AG17" i="12"/>
  <c r="AG82" i="12" s="1"/>
  <c r="AJ69" i="12"/>
  <c r="AI235" i="31"/>
  <c r="AI9" i="12" s="1"/>
  <c r="AI74" i="12" s="1"/>
  <c r="AH77" i="1"/>
  <c r="AH89" i="1" s="1"/>
  <c r="AI239" i="31"/>
  <c r="AI557" i="1" s="1"/>
  <c r="AH118" i="1"/>
  <c r="AH285" i="1"/>
  <c r="AH487" i="1"/>
  <c r="AH13" i="12"/>
  <c r="AH78" i="12" s="1"/>
  <c r="AJ230" i="31"/>
  <c r="AJ234" i="31" s="1"/>
  <c r="AJ8" i="12" s="1"/>
  <c r="AJ159" i="1"/>
  <c r="AJ160" i="1" s="1"/>
  <c r="AH373" i="1"/>
  <c r="AH16" i="12"/>
  <c r="AH81" i="12" s="1"/>
  <c r="AE178" i="12"/>
  <c r="AE161" i="12"/>
  <c r="AH261" i="1"/>
  <c r="AH141" i="1"/>
  <c r="AH374" i="1"/>
  <c r="AH236" i="31"/>
  <c r="AH252" i="1" s="1"/>
  <c r="AH249" i="31"/>
  <c r="AH486" i="1"/>
  <c r="AH14" i="12"/>
  <c r="AH79" i="12" s="1"/>
  <c r="AH243" i="31"/>
  <c r="AH17" i="12" s="1"/>
  <c r="AH82" i="12" s="1"/>
  <c r="AL224" i="31"/>
  <c r="AL225" i="31" s="1"/>
  <c r="AM205" i="31"/>
  <c r="AM538" i="1" s="1"/>
  <c r="AM549" i="1" s="1"/>
  <c r="AI460" i="1"/>
  <c r="AI488" i="1"/>
  <c r="AI250" i="31"/>
  <c r="AI15" i="12"/>
  <c r="AI80" i="12" s="1"/>
  <c r="AI129" i="7" s="1"/>
  <c r="AI130" i="7" s="1"/>
  <c r="AI262" i="1"/>
  <c r="AR419" i="1"/>
  <c r="AR397" i="1"/>
  <c r="AR408" i="1" s="1"/>
  <c r="AS394" i="1"/>
  <c r="AS643" i="1"/>
  <c r="AS646" i="1" s="1"/>
  <c r="AT193" i="31"/>
  <c r="AT539" i="1" s="1"/>
  <c r="AT550" i="1" s="1"/>
  <c r="AS267" i="12"/>
  <c r="AS330" i="1"/>
  <c r="AS166" i="12"/>
  <c r="AS60" i="12"/>
  <c r="AG371" i="1"/>
  <c r="AG361" i="1"/>
  <c r="AG458" i="1" s="1"/>
  <c r="AH361" i="1" l="1"/>
  <c r="AH458" i="1" s="1"/>
  <c r="AL135" i="1"/>
  <c r="AL136" i="1" s="1"/>
  <c r="AM185" i="31"/>
  <c r="AM537" i="1" s="1"/>
  <c r="AM548" i="1" s="1"/>
  <c r="AL212" i="31"/>
  <c r="AL213" i="31" s="1"/>
  <c r="AL746" i="1" s="1"/>
  <c r="AL751" i="1" s="1"/>
  <c r="AL14" i="7" s="1"/>
  <c r="AL27" i="7" s="1"/>
  <c r="AL220" i="31"/>
  <c r="AL221" i="31" s="1"/>
  <c r="AL175" i="12" s="1"/>
  <c r="AG22" i="12"/>
  <c r="AG123" i="12" s="1"/>
  <c r="AG178" i="12" s="1"/>
  <c r="AI14" i="12"/>
  <c r="AI79" i="12" s="1"/>
  <c r="AI373" i="1"/>
  <c r="AI236" i="31"/>
  <c r="AI177" i="1" s="1"/>
  <c r="AI13" i="12"/>
  <c r="AI78" i="12" s="1"/>
  <c r="AI261" i="1"/>
  <c r="AI374" i="1"/>
  <c r="AF211" i="12"/>
  <c r="AF178" i="12"/>
  <c r="AG186" i="12"/>
  <c r="AI12" i="12"/>
  <c r="AI77" i="12" s="1"/>
  <c r="AI485" i="1"/>
  <c r="AJ241" i="31"/>
  <c r="AJ559" i="1" s="1"/>
  <c r="AG128" i="1"/>
  <c r="AI259" i="1"/>
  <c r="AI8" i="12"/>
  <c r="AI73" i="12" s="1"/>
  <c r="AG19" i="12"/>
  <c r="AG84" i="12" s="1"/>
  <c r="AI285" i="1"/>
  <c r="AG778" i="1"/>
  <c r="AH444" i="1"/>
  <c r="AI354" i="1"/>
  <c r="AI360" i="1" s="1"/>
  <c r="AI371" i="1" s="1"/>
  <c r="AJ239" i="31"/>
  <c r="AJ285" i="1" s="1"/>
  <c r="AH248" i="31"/>
  <c r="AH252" i="31" s="1"/>
  <c r="AH30" i="12" s="1"/>
  <c r="AH131" i="12" s="1"/>
  <c r="AI487" i="1"/>
  <c r="AI251" i="31"/>
  <c r="AI243" i="31"/>
  <c r="AI17" i="12" s="1"/>
  <c r="AI82" i="12" s="1"/>
  <c r="AI118" i="1"/>
  <c r="AI249" i="31"/>
  <c r="AH142" i="1"/>
  <c r="AI260" i="1"/>
  <c r="AJ240" i="31"/>
  <c r="AJ261" i="1" s="1"/>
  <c r="AI16" i="12"/>
  <c r="AI81" i="12" s="1"/>
  <c r="AJ242" i="31"/>
  <c r="AJ77" i="1" s="1"/>
  <c r="AJ89" i="1" s="1"/>
  <c r="AI77" i="1"/>
  <c r="AI89" i="1" s="1"/>
  <c r="AH177" i="1"/>
  <c r="AI486" i="1"/>
  <c r="AH10" i="12"/>
  <c r="AH75" i="12" s="1"/>
  <c r="AJ235" i="31"/>
  <c r="AJ9" i="12" s="1"/>
  <c r="AJ74" i="12" s="1"/>
  <c r="AH483" i="1"/>
  <c r="AJ238" i="31"/>
  <c r="AJ12" i="12" s="1"/>
  <c r="AJ77" i="12" s="1"/>
  <c r="AK746" i="1"/>
  <c r="AK751" i="1" s="1"/>
  <c r="AK14" i="7" s="1"/>
  <c r="AK27" i="7" s="1"/>
  <c r="AJ232" i="31"/>
  <c r="AJ162" i="1" s="1"/>
  <c r="AJ163" i="1" s="1"/>
  <c r="AK202" i="1"/>
  <c r="AH245" i="31"/>
  <c r="AH19" i="12" s="1"/>
  <c r="AH84" i="12" s="1"/>
  <c r="AK159" i="1"/>
  <c r="AK160" i="1" s="1"/>
  <c r="AK230" i="31"/>
  <c r="AK235" i="31" s="1"/>
  <c r="AK9" i="12" s="1"/>
  <c r="AK69" i="12"/>
  <c r="AJ141" i="1"/>
  <c r="AM224" i="31"/>
  <c r="AM225" i="31" s="1"/>
  <c r="AN205" i="31"/>
  <c r="AN538" i="1" s="1"/>
  <c r="AN549" i="1" s="1"/>
  <c r="AS419" i="1"/>
  <c r="AT394" i="1"/>
  <c r="AS397" i="1"/>
  <c r="AS408" i="1" s="1"/>
  <c r="AT643" i="1"/>
  <c r="AT646" i="1" s="1"/>
  <c r="AU193" i="31"/>
  <c r="AU539" i="1" s="1"/>
  <c r="AU550" i="1" s="1"/>
  <c r="AT267" i="12"/>
  <c r="AT166" i="12"/>
  <c r="AT60" i="12"/>
  <c r="AT330" i="1"/>
  <c r="AJ73" i="12"/>
  <c r="AM212" i="31" l="1"/>
  <c r="AM213" i="31" s="1"/>
  <c r="AI483" i="1"/>
  <c r="AI252" i="1"/>
  <c r="AM220" i="31"/>
  <c r="AM221" i="31" s="1"/>
  <c r="AM175" i="12" s="1"/>
  <c r="AM135" i="1"/>
  <c r="AM136" i="1" s="1"/>
  <c r="AN185" i="31"/>
  <c r="AN537" i="1" s="1"/>
  <c r="AN548" i="1" s="1"/>
  <c r="AG161" i="12"/>
  <c r="AG211" i="12"/>
  <c r="AI142" i="1"/>
  <c r="AJ15" i="12"/>
  <c r="AJ80" i="12" s="1"/>
  <c r="AJ129" i="7" s="1"/>
  <c r="AJ130" i="7" s="1"/>
  <c r="AI10" i="12"/>
  <c r="AI75" i="12" s="1"/>
  <c r="AI248" i="31"/>
  <c r="AI252" i="31" s="1"/>
  <c r="AI30" i="12" s="1"/>
  <c r="AI131" i="12" s="1"/>
  <c r="AI219" i="12" s="1"/>
  <c r="AI444" i="1"/>
  <c r="AI361" i="1"/>
  <c r="AI458" i="1" s="1"/>
  <c r="AK234" i="31"/>
  <c r="AK8" i="12" s="1"/>
  <c r="AK73" i="12" s="1"/>
  <c r="AJ13" i="12"/>
  <c r="AJ78" i="12" s="1"/>
  <c r="AJ486" i="1"/>
  <c r="AJ373" i="1"/>
  <c r="AJ557" i="1"/>
  <c r="AJ262" i="1"/>
  <c r="AJ260" i="1"/>
  <c r="AJ460" i="1"/>
  <c r="AJ250" i="31"/>
  <c r="AH219" i="12"/>
  <c r="AH186" i="12"/>
  <c r="AJ488" i="1"/>
  <c r="AI245" i="31"/>
  <c r="AI778" i="1" s="1"/>
  <c r="AJ251" i="31"/>
  <c r="AJ118" i="1"/>
  <c r="AH128" i="1"/>
  <c r="AK232" i="31"/>
  <c r="AK162" i="1" s="1"/>
  <c r="AK163" i="1" s="1"/>
  <c r="AJ558" i="1"/>
  <c r="AJ14" i="12"/>
  <c r="AJ79" i="12" s="1"/>
  <c r="AJ374" i="1"/>
  <c r="AJ487" i="1"/>
  <c r="AJ249" i="31"/>
  <c r="AJ354" i="1"/>
  <c r="AJ360" i="1" s="1"/>
  <c r="AJ485" i="1"/>
  <c r="AL202" i="1"/>
  <c r="AJ16" i="12"/>
  <c r="AJ81" i="12" s="1"/>
  <c r="AL159" i="1"/>
  <c r="AL160" i="1" s="1"/>
  <c r="AJ560" i="1"/>
  <c r="AL230" i="31"/>
  <c r="AL241" i="31" s="1"/>
  <c r="AJ236" i="31"/>
  <c r="AJ444" i="1" s="1"/>
  <c r="AK74" i="12"/>
  <c r="AK239" i="31"/>
  <c r="AK557" i="1" s="1"/>
  <c r="AJ259" i="1"/>
  <c r="AK242" i="31"/>
  <c r="AK560" i="1" s="1"/>
  <c r="AL69" i="12"/>
  <c r="AK240" i="31"/>
  <c r="AK558" i="1" s="1"/>
  <c r="AK238" i="31"/>
  <c r="AK556" i="1" s="1"/>
  <c r="AH55" i="12"/>
  <c r="AH778" i="1"/>
  <c r="AH22" i="12"/>
  <c r="AH123" i="12" s="1"/>
  <c r="AH211" i="12" s="1"/>
  <c r="AJ556" i="1"/>
  <c r="AK241" i="31"/>
  <c r="AK559" i="1" s="1"/>
  <c r="AJ243" i="31"/>
  <c r="AJ17" i="12" s="1"/>
  <c r="AJ82" i="12" s="1"/>
  <c r="AO205" i="31"/>
  <c r="AO538" i="1" s="1"/>
  <c r="AO549" i="1" s="1"/>
  <c r="AN224" i="31"/>
  <c r="AN225" i="31" s="1"/>
  <c r="AT397" i="1"/>
  <c r="AT408" i="1" s="1"/>
  <c r="AT419" i="1"/>
  <c r="AU394" i="1"/>
  <c r="AU643" i="1"/>
  <c r="AU646" i="1" s="1"/>
  <c r="AV193" i="31"/>
  <c r="AV539" i="1" s="1"/>
  <c r="AV550" i="1" s="1"/>
  <c r="AU267" i="12"/>
  <c r="AU166" i="12"/>
  <c r="AU60" i="12"/>
  <c r="AU330" i="1"/>
  <c r="AN220" i="31" l="1"/>
  <c r="AN221" i="31" s="1"/>
  <c r="AN175" i="12" s="1"/>
  <c r="AN135" i="1"/>
  <c r="AN136" i="1" s="1"/>
  <c r="AO185" i="31"/>
  <c r="AO537" i="1" s="1"/>
  <c r="AO548" i="1" s="1"/>
  <c r="AN212" i="31"/>
  <c r="AN213" i="31" s="1"/>
  <c r="AN159" i="1" s="1"/>
  <c r="AN160" i="1" s="1"/>
  <c r="AK141" i="1"/>
  <c r="AK236" i="31"/>
  <c r="AK444" i="1" s="1"/>
  <c r="AI22" i="12"/>
  <c r="AI123" i="12" s="1"/>
  <c r="AI161" i="12" s="1"/>
  <c r="AI128" i="1"/>
  <c r="AI55" i="12"/>
  <c r="AI19" i="12"/>
  <c r="AI84" i="12" s="1"/>
  <c r="AI186" i="12"/>
  <c r="AJ252" i="1"/>
  <c r="AK118" i="1"/>
  <c r="AK251" i="31"/>
  <c r="AJ248" i="31"/>
  <c r="AJ252" i="31" s="1"/>
  <c r="AJ30" i="12" s="1"/>
  <c r="AJ131" i="12" s="1"/>
  <c r="AJ186" i="12" s="1"/>
  <c r="AL234" i="31"/>
  <c r="AL8" i="12" s="1"/>
  <c r="AL73" i="12" s="1"/>
  <c r="AL239" i="31"/>
  <c r="AL285" i="1" s="1"/>
  <c r="AL238" i="31"/>
  <c r="AL12" i="12" s="1"/>
  <c r="AL77" i="12" s="1"/>
  <c r="AK487" i="1"/>
  <c r="AL232" i="31"/>
  <c r="AL162" i="1" s="1"/>
  <c r="AL163" i="1" s="1"/>
  <c r="AK16" i="12"/>
  <c r="AK81" i="12" s="1"/>
  <c r="AK249" i="31"/>
  <c r="AJ142" i="1"/>
  <c r="AM746" i="1"/>
  <c r="AM751" i="1" s="1"/>
  <c r="AM14" i="7" s="1"/>
  <c r="AM27" i="7" s="1"/>
  <c r="AK285" i="1"/>
  <c r="AH161" i="12"/>
  <c r="AH178" i="12"/>
  <c r="AK373" i="1"/>
  <c r="AM202" i="1"/>
  <c r="AJ10" i="12"/>
  <c r="AJ75" i="12" s="1"/>
  <c r="AL235" i="31"/>
  <c r="AL9" i="12" s="1"/>
  <c r="AL74" i="12" s="1"/>
  <c r="AM159" i="1"/>
  <c r="AM160" i="1" s="1"/>
  <c r="AL240" i="31"/>
  <c r="AL558" i="1" s="1"/>
  <c r="AL242" i="31"/>
  <c r="AL77" i="1" s="1"/>
  <c r="AK486" i="1"/>
  <c r="AK260" i="1"/>
  <c r="AJ177" i="1"/>
  <c r="AK77" i="1"/>
  <c r="AK89" i="1" s="1"/>
  <c r="AK13" i="12"/>
  <c r="AK78" i="12" s="1"/>
  <c r="AJ483" i="1"/>
  <c r="AK261" i="1"/>
  <c r="AK374" i="1"/>
  <c r="AK485" i="1"/>
  <c r="AK259" i="1"/>
  <c r="AK262" i="1"/>
  <c r="AK12" i="12"/>
  <c r="AK77" i="12" s="1"/>
  <c r="AK243" i="31"/>
  <c r="AK17" i="12" s="1"/>
  <c r="AK82" i="12" s="1"/>
  <c r="AM230" i="31"/>
  <c r="AM232" i="31" s="1"/>
  <c r="AM162" i="1" s="1"/>
  <c r="AK354" i="1"/>
  <c r="AK360" i="1" s="1"/>
  <c r="AK371" i="1" s="1"/>
  <c r="AK15" i="12"/>
  <c r="AK80" i="12" s="1"/>
  <c r="AK129" i="7" s="1"/>
  <c r="AK130" i="7" s="1"/>
  <c r="AM69" i="12"/>
  <c r="AK14" i="12"/>
  <c r="AK79" i="12" s="1"/>
  <c r="AK460" i="1"/>
  <c r="AK488" i="1"/>
  <c r="AK250" i="31"/>
  <c r="AJ245" i="31"/>
  <c r="AJ778" i="1" s="1"/>
  <c r="AL262" i="1"/>
  <c r="AL559" i="1"/>
  <c r="AL15" i="12"/>
  <c r="AL80" i="12" s="1"/>
  <c r="AL129" i="7" s="1"/>
  <c r="AL130" i="7" s="1"/>
  <c r="AO224" i="31"/>
  <c r="AO225" i="31" s="1"/>
  <c r="AP205" i="31"/>
  <c r="AP538" i="1" s="1"/>
  <c r="AP549" i="1" s="1"/>
  <c r="AL250" i="31"/>
  <c r="AL460" i="1"/>
  <c r="AL488" i="1"/>
  <c r="AU397" i="1"/>
  <c r="AU408" i="1" s="1"/>
  <c r="AU419" i="1"/>
  <c r="AV394" i="1"/>
  <c r="AV643" i="1"/>
  <c r="AV646" i="1" s="1"/>
  <c r="AW193" i="31"/>
  <c r="AW539" i="1" s="1"/>
  <c r="AW550" i="1" s="1"/>
  <c r="AV267" i="12"/>
  <c r="AV330" i="1"/>
  <c r="AV166" i="12"/>
  <c r="AV60" i="12"/>
  <c r="AJ371" i="1"/>
  <c r="AJ361" i="1"/>
  <c r="AJ458" i="1" s="1"/>
  <c r="AO212" i="31" l="1"/>
  <c r="AO213" i="31" s="1"/>
  <c r="AO135" i="1"/>
  <c r="AO136" i="1" s="1"/>
  <c r="AO220" i="31"/>
  <c r="AO221" i="31" s="1"/>
  <c r="AO175" i="12" s="1"/>
  <c r="AP185" i="31"/>
  <c r="AP537" i="1" s="1"/>
  <c r="AP548" i="1" s="1"/>
  <c r="AM163" i="1"/>
  <c r="AK483" i="1"/>
  <c r="AK248" i="31"/>
  <c r="AK252" i="31" s="1"/>
  <c r="AK30" i="12" s="1"/>
  <c r="AK131" i="12" s="1"/>
  <c r="AK219" i="12" s="1"/>
  <c r="AK142" i="1"/>
  <c r="AK252" i="1"/>
  <c r="AK177" i="1"/>
  <c r="AK10" i="12"/>
  <c r="AK75" i="12" s="1"/>
  <c r="AL13" i="12"/>
  <c r="AL78" i="12" s="1"/>
  <c r="AL141" i="1"/>
  <c r="AI178" i="12"/>
  <c r="AI211" i="12"/>
  <c r="AL373" i="1"/>
  <c r="AJ219" i="12"/>
  <c r="AL374" i="1"/>
  <c r="AL259" i="1"/>
  <c r="AL261" i="1"/>
  <c r="AL236" i="31"/>
  <c r="AL248" i="31" s="1"/>
  <c r="AL249" i="31"/>
  <c r="AL485" i="1"/>
  <c r="AL354" i="1"/>
  <c r="AL360" i="1" s="1"/>
  <c r="AL486" i="1"/>
  <c r="AL260" i="1"/>
  <c r="AL556" i="1"/>
  <c r="AL557" i="1"/>
  <c r="AL118" i="1"/>
  <c r="AN69" i="12"/>
  <c r="AN746" i="1"/>
  <c r="AN751" i="1" s="1"/>
  <c r="AN14" i="7" s="1"/>
  <c r="AN27" i="7" s="1"/>
  <c r="AN230" i="31"/>
  <c r="AN235" i="31" s="1"/>
  <c r="AN9" i="12" s="1"/>
  <c r="AN202" i="1"/>
  <c r="AL251" i="31"/>
  <c r="AL243" i="31"/>
  <c r="AL17" i="12" s="1"/>
  <c r="AL82" i="12" s="1"/>
  <c r="AL487" i="1"/>
  <c r="AK245" i="31"/>
  <c r="AK55" i="12" s="1"/>
  <c r="AL560" i="1"/>
  <c r="AM238" i="31"/>
  <c r="AM259" i="1" s="1"/>
  <c r="AL16" i="12"/>
  <c r="AL81" i="12" s="1"/>
  <c r="AK361" i="1"/>
  <c r="AK458" i="1" s="1"/>
  <c r="AL14" i="12"/>
  <c r="AL79" i="12" s="1"/>
  <c r="AM234" i="31"/>
  <c r="AM8" i="12" s="1"/>
  <c r="AM73" i="12" s="1"/>
  <c r="AJ22" i="12"/>
  <c r="AJ123" i="12" s="1"/>
  <c r="AJ161" i="12" s="1"/>
  <c r="AJ128" i="1"/>
  <c r="AM239" i="31"/>
  <c r="AM260" i="1" s="1"/>
  <c r="AJ19" i="12"/>
  <c r="AJ84" i="12" s="1"/>
  <c r="AM235" i="31"/>
  <c r="AM9" i="12" s="1"/>
  <c r="AM74" i="12" s="1"/>
  <c r="AM240" i="31"/>
  <c r="AM261" i="1" s="1"/>
  <c r="AM241" i="31"/>
  <c r="AM15" i="12" s="1"/>
  <c r="AM80" i="12" s="1"/>
  <c r="AM129" i="7" s="1"/>
  <c r="AM130" i="7" s="1"/>
  <c r="AM242" i="31"/>
  <c r="AM16" i="12" s="1"/>
  <c r="AM81" i="12" s="1"/>
  <c r="AJ55" i="12"/>
  <c r="AP224" i="31"/>
  <c r="AP225" i="31" s="1"/>
  <c r="AQ205" i="31"/>
  <c r="AQ538" i="1" s="1"/>
  <c r="AQ549" i="1" s="1"/>
  <c r="AV419" i="1"/>
  <c r="AW394" i="1"/>
  <c r="AV397" i="1"/>
  <c r="AV408" i="1" s="1"/>
  <c r="AW643" i="1"/>
  <c r="AW646" i="1" s="1"/>
  <c r="AX193" i="31"/>
  <c r="AX539" i="1" s="1"/>
  <c r="AX550" i="1" s="1"/>
  <c r="F550" i="1" s="1"/>
  <c r="AW267" i="12"/>
  <c r="AW166" i="12"/>
  <c r="AW60" i="12"/>
  <c r="AW330" i="1"/>
  <c r="AP212" i="31" l="1"/>
  <c r="AP213" i="31" s="1"/>
  <c r="AP230" i="31" s="1"/>
  <c r="AP220" i="31"/>
  <c r="AP221" i="31" s="1"/>
  <c r="AP175" i="12" s="1"/>
  <c r="AQ185" i="31"/>
  <c r="AQ537" i="1" s="1"/>
  <c r="AQ548" i="1" s="1"/>
  <c r="AP135" i="1"/>
  <c r="AP136" i="1" s="1"/>
  <c r="AO159" i="1"/>
  <c r="AO160" i="1" s="1"/>
  <c r="AN238" i="31"/>
  <c r="AN556" i="1" s="1"/>
  <c r="AK19" i="12"/>
  <c r="AK84" i="12" s="1"/>
  <c r="AK778" i="1"/>
  <c r="AL252" i="1"/>
  <c r="AL177" i="1"/>
  <c r="AJ178" i="12"/>
  <c r="AL444" i="1"/>
  <c r="AL142" i="1"/>
  <c r="AK128" i="1"/>
  <c r="AJ211" i="12"/>
  <c r="AL10" i="12"/>
  <c r="AL75" i="12" s="1"/>
  <c r="AM251" i="31"/>
  <c r="AM118" i="1"/>
  <c r="AM141" i="1"/>
  <c r="AN74" i="12"/>
  <c r="AN232" i="31"/>
  <c r="AN162" i="1" s="1"/>
  <c r="AN163" i="1" s="1"/>
  <c r="AN240" i="31"/>
  <c r="AN558" i="1" s="1"/>
  <c r="AO69" i="12"/>
  <c r="AO202" i="1"/>
  <c r="AO746" i="1"/>
  <c r="AO751" i="1" s="1"/>
  <c r="AO14" i="7" s="1"/>
  <c r="AO27" i="7" s="1"/>
  <c r="AN241" i="31"/>
  <c r="AN559" i="1" s="1"/>
  <c r="AK22" i="12"/>
  <c r="AK123" i="12" s="1"/>
  <c r="AK178" i="12" s="1"/>
  <c r="AL252" i="31"/>
  <c r="AL30" i="12" s="1"/>
  <c r="AL131" i="12" s="1"/>
  <c r="AL186" i="12" s="1"/>
  <c r="AK186" i="12"/>
  <c r="AO230" i="31"/>
  <c r="AO241" i="31" s="1"/>
  <c r="AM485" i="1"/>
  <c r="AM77" i="1"/>
  <c r="AN242" i="31"/>
  <c r="AN560" i="1" s="1"/>
  <c r="AL483" i="1"/>
  <c r="AM354" i="1"/>
  <c r="AM360" i="1" s="1"/>
  <c r="AN234" i="31"/>
  <c r="AN8" i="12" s="1"/>
  <c r="AN73" i="12" s="1"/>
  <c r="AM13" i="12"/>
  <c r="AM78" i="12" s="1"/>
  <c r="AL245" i="31"/>
  <c r="AL55" i="12" s="1"/>
  <c r="AM14" i="12"/>
  <c r="AM79" i="12" s="1"/>
  <c r="AM560" i="1"/>
  <c r="AM460" i="1"/>
  <c r="AM374" i="1"/>
  <c r="AN239" i="31"/>
  <c r="AN557" i="1" s="1"/>
  <c r="AM556" i="1"/>
  <c r="AM487" i="1"/>
  <c r="AM249" i="31"/>
  <c r="AM12" i="12"/>
  <c r="AM77" i="12" s="1"/>
  <c r="AM236" i="31"/>
  <c r="AM10" i="12" s="1"/>
  <c r="AM75" i="12" s="1"/>
  <c r="AM243" i="31"/>
  <c r="AM17" i="12" s="1"/>
  <c r="AM82" i="12" s="1"/>
  <c r="AM486" i="1"/>
  <c r="AM373" i="1"/>
  <c r="AM285" i="1"/>
  <c r="AM262" i="1"/>
  <c r="AM559" i="1"/>
  <c r="AM558" i="1"/>
  <c r="AM557" i="1"/>
  <c r="AM488" i="1"/>
  <c r="AM250" i="31"/>
  <c r="AQ224" i="31"/>
  <c r="AQ225" i="31" s="1"/>
  <c r="AR205" i="31"/>
  <c r="AR538" i="1" s="1"/>
  <c r="AR549" i="1" s="1"/>
  <c r="AW419" i="1"/>
  <c r="AX394" i="1"/>
  <c r="AW397" i="1"/>
  <c r="AW408" i="1" s="1"/>
  <c r="AX643" i="1"/>
  <c r="AX646" i="1" s="1"/>
  <c r="I646" i="1" s="1"/>
  <c r="AX267" i="12"/>
  <c r="AX60" i="12"/>
  <c r="AX330" i="1"/>
  <c r="AX166" i="12"/>
  <c r="AL371" i="1"/>
  <c r="AL361" i="1"/>
  <c r="AL458" i="1" s="1"/>
  <c r="AQ220" i="31" l="1"/>
  <c r="AQ221" i="31" s="1"/>
  <c r="AQ175" i="12" s="1"/>
  <c r="AQ135" i="1"/>
  <c r="AQ136" i="1" s="1"/>
  <c r="AR185" i="31"/>
  <c r="AR537" i="1" s="1"/>
  <c r="AR548" i="1" s="1"/>
  <c r="AQ212" i="31"/>
  <c r="AQ213" i="31" s="1"/>
  <c r="AQ230" i="31" s="1"/>
  <c r="AP202" i="1"/>
  <c r="AN259" i="1"/>
  <c r="AN12" i="12"/>
  <c r="AN77" i="12" s="1"/>
  <c r="AN485" i="1"/>
  <c r="AN354" i="1"/>
  <c r="AN360" i="1" s="1"/>
  <c r="AN371" i="1" s="1"/>
  <c r="AN250" i="31"/>
  <c r="AN77" i="1"/>
  <c r="AN236" i="31"/>
  <c r="AN483" i="1" s="1"/>
  <c r="AN262" i="1"/>
  <c r="AN261" i="1"/>
  <c r="AN14" i="12"/>
  <c r="AN79" i="12" s="1"/>
  <c r="AO239" i="31"/>
  <c r="AO557" i="1" s="1"/>
  <c r="AO235" i="31"/>
  <c r="AO9" i="12" s="1"/>
  <c r="AO74" i="12" s="1"/>
  <c r="AN249" i="31"/>
  <c r="AN374" i="1"/>
  <c r="AO234" i="31"/>
  <c r="AO8" i="12" s="1"/>
  <c r="AO73" i="12" s="1"/>
  <c r="AO242" i="31"/>
  <c r="AO251" i="31" s="1"/>
  <c r="AL219" i="12"/>
  <c r="AM177" i="1"/>
  <c r="AM444" i="1"/>
  <c r="AN141" i="1"/>
  <c r="AO238" i="31"/>
  <c r="AO259" i="1" s="1"/>
  <c r="AN16" i="12"/>
  <c r="AN81" i="12" s="1"/>
  <c r="AN487" i="1"/>
  <c r="AO240" i="31"/>
  <c r="AO261" i="1" s="1"/>
  <c r="AO232" i="31"/>
  <c r="AO162" i="1" s="1"/>
  <c r="AO163" i="1" s="1"/>
  <c r="AK211" i="12"/>
  <c r="AN260" i="1"/>
  <c r="AP159" i="1"/>
  <c r="AP160" i="1" s="1"/>
  <c r="AN15" i="12"/>
  <c r="AN80" i="12" s="1"/>
  <c r="AN129" i="7" s="1"/>
  <c r="AN130" i="7" s="1"/>
  <c r="AP746" i="1"/>
  <c r="AP751" i="1" s="1"/>
  <c r="AP14" i="7" s="1"/>
  <c r="AP27" i="7" s="1"/>
  <c r="AN118" i="1"/>
  <c r="AN488" i="1"/>
  <c r="AP69" i="12"/>
  <c r="AN13" i="12"/>
  <c r="AN78" i="12" s="1"/>
  <c r="AN285" i="1"/>
  <c r="AN251" i="31"/>
  <c r="AN460" i="1"/>
  <c r="AK161" i="12"/>
  <c r="AM252" i="1"/>
  <c r="AL22" i="12"/>
  <c r="AL123" i="12" s="1"/>
  <c r="AL178" i="12" s="1"/>
  <c r="AL778" i="1"/>
  <c r="AM245" i="31"/>
  <c r="AM778" i="1" s="1"/>
  <c r="AM483" i="1"/>
  <c r="AL128" i="1"/>
  <c r="AM142" i="1"/>
  <c r="AL19" i="12"/>
  <c r="AL84" i="12" s="1"/>
  <c r="AN373" i="1"/>
  <c r="AM248" i="31"/>
  <c r="AM252" i="31" s="1"/>
  <c r="AM30" i="12" s="1"/>
  <c r="AM131" i="12" s="1"/>
  <c r="AM219" i="12" s="1"/>
  <c r="AN486" i="1"/>
  <c r="AN243" i="31"/>
  <c r="AN17" i="12" s="1"/>
  <c r="AN82" i="12" s="1"/>
  <c r="AO262" i="1"/>
  <c r="AO559" i="1"/>
  <c r="AO15" i="12"/>
  <c r="AO80" i="12" s="1"/>
  <c r="AO129" i="7" s="1"/>
  <c r="AO130" i="7" s="1"/>
  <c r="AS205" i="31"/>
  <c r="AS538" i="1" s="1"/>
  <c r="AS549" i="1" s="1"/>
  <c r="AR224" i="31"/>
  <c r="AR225" i="31" s="1"/>
  <c r="AO250" i="31"/>
  <c r="AO488" i="1"/>
  <c r="AO460" i="1"/>
  <c r="AP239" i="31"/>
  <c r="AP557" i="1" s="1"/>
  <c r="AP238" i="31"/>
  <c r="AP556" i="1" s="1"/>
  <c r="AP232" i="31"/>
  <c r="AP162" i="1" s="1"/>
  <c r="AP242" i="31"/>
  <c r="AP560" i="1" s="1"/>
  <c r="AP241" i="31"/>
  <c r="AP559" i="1" s="1"/>
  <c r="AP235" i="31"/>
  <c r="AP9" i="12" s="1"/>
  <c r="AP240" i="31"/>
  <c r="AP558" i="1" s="1"/>
  <c r="AP234" i="31"/>
  <c r="AX397" i="1"/>
  <c r="AX408" i="1" s="1"/>
  <c r="AX419" i="1"/>
  <c r="AM371" i="1"/>
  <c r="AM361" i="1"/>
  <c r="AM458" i="1" s="1"/>
  <c r="P421" i="1" l="1"/>
  <c r="Q421" i="1"/>
  <c r="O421" i="1"/>
  <c r="N421" i="1"/>
  <c r="K421" i="1"/>
  <c r="L421" i="1"/>
  <c r="M421" i="1"/>
  <c r="AX421" i="1"/>
  <c r="AP421" i="1"/>
  <c r="AQ421" i="1"/>
  <c r="AR421" i="1"/>
  <c r="AV421" i="1"/>
  <c r="AS421" i="1"/>
  <c r="AU421" i="1"/>
  <c r="AT421" i="1"/>
  <c r="AW421" i="1"/>
  <c r="AQ746" i="1"/>
  <c r="AQ751" i="1" s="1"/>
  <c r="AQ14" i="7" s="1"/>
  <c r="AQ27" i="7" s="1"/>
  <c r="AQ159" i="1"/>
  <c r="AQ160" i="1" s="1"/>
  <c r="AR220" i="31"/>
  <c r="AR221" i="31" s="1"/>
  <c r="AR175" i="12" s="1"/>
  <c r="AR212" i="31"/>
  <c r="AR213" i="31" s="1"/>
  <c r="AR159" i="1" s="1"/>
  <c r="AR160" i="1" s="1"/>
  <c r="AR135" i="1"/>
  <c r="AR136" i="1" s="1"/>
  <c r="AQ69" i="12"/>
  <c r="AQ202" i="1"/>
  <c r="AS185" i="31"/>
  <c r="AS537" i="1" s="1"/>
  <c r="AS548" i="1" s="1"/>
  <c r="AN361" i="1"/>
  <c r="AN458" i="1" s="1"/>
  <c r="AO260" i="1"/>
  <c r="AO77" i="1"/>
  <c r="AN248" i="31"/>
  <c r="AN252" i="31" s="1"/>
  <c r="AN30" i="12" s="1"/>
  <c r="AN131" i="12" s="1"/>
  <c r="AN186" i="12" s="1"/>
  <c r="AN444" i="1"/>
  <c r="AO141" i="1"/>
  <c r="AN142" i="1"/>
  <c r="AN10" i="12"/>
  <c r="AN75" i="12" s="1"/>
  <c r="AN252" i="1"/>
  <c r="AN177" i="1"/>
  <c r="AP163" i="1"/>
  <c r="AO285" i="1"/>
  <c r="AO13" i="12"/>
  <c r="AO78" i="12" s="1"/>
  <c r="AO373" i="1"/>
  <c r="AO486" i="1"/>
  <c r="AM22" i="12"/>
  <c r="AM123" i="12" s="1"/>
  <c r="AM178" i="12" s="1"/>
  <c r="AO354" i="1"/>
  <c r="AO360" i="1" s="1"/>
  <c r="AO236" i="31"/>
  <c r="AO142" i="1" s="1"/>
  <c r="AO485" i="1"/>
  <c r="AL161" i="12"/>
  <c r="AM128" i="1"/>
  <c r="AO12" i="12"/>
  <c r="AO77" i="12" s="1"/>
  <c r="AP74" i="12"/>
  <c r="AL211" i="12"/>
  <c r="AO560" i="1"/>
  <c r="AO16" i="12"/>
  <c r="AO81" i="12" s="1"/>
  <c r="AM55" i="12"/>
  <c r="AO249" i="31"/>
  <c r="AO118" i="1"/>
  <c r="AO487" i="1"/>
  <c r="AO374" i="1"/>
  <c r="AM19" i="12"/>
  <c r="AM84" i="12" s="1"/>
  <c r="AO558" i="1"/>
  <c r="AO243" i="31"/>
  <c r="AO17" i="12" s="1"/>
  <c r="AO82" i="12" s="1"/>
  <c r="AO14" i="12"/>
  <c r="AO79" i="12" s="1"/>
  <c r="AO556" i="1"/>
  <c r="AN245" i="31"/>
  <c r="AN19" i="12" s="1"/>
  <c r="AN84" i="12" s="1"/>
  <c r="AM186" i="12"/>
  <c r="AP236" i="31"/>
  <c r="AP8" i="12"/>
  <c r="AP73" i="12" s="1"/>
  <c r="AP141" i="1"/>
  <c r="AP249" i="31"/>
  <c r="AP487" i="1"/>
  <c r="AP374" i="1"/>
  <c r="AP261" i="1"/>
  <c r="AP14" i="12"/>
  <c r="AP79" i="12" s="1"/>
  <c r="AP243" i="31"/>
  <c r="AP485" i="1"/>
  <c r="AP354" i="1"/>
  <c r="AP360" i="1" s="1"/>
  <c r="AP259" i="1"/>
  <c r="AP12" i="12"/>
  <c r="AP77" i="12" s="1"/>
  <c r="AQ240" i="31"/>
  <c r="AQ242" i="31"/>
  <c r="AQ232" i="31"/>
  <c r="AQ162" i="1" s="1"/>
  <c r="AQ239" i="31"/>
  <c r="AQ235" i="31"/>
  <c r="AQ9" i="12" s="1"/>
  <c r="AQ234" i="31"/>
  <c r="AQ241" i="31"/>
  <c r="AQ238" i="31"/>
  <c r="AP118" i="1"/>
  <c r="AP251" i="31"/>
  <c r="AP77" i="1"/>
  <c r="AP16" i="12"/>
  <c r="AP81" i="12" s="1"/>
  <c r="AP250" i="31"/>
  <c r="AP488" i="1"/>
  <c r="AP460" i="1"/>
  <c r="AP262" i="1"/>
  <c r="AP15" i="12"/>
  <c r="AP80" i="12" s="1"/>
  <c r="AP129" i="7" s="1"/>
  <c r="AP130" i="7" s="1"/>
  <c r="AP486" i="1"/>
  <c r="AP373" i="1"/>
  <c r="AP285" i="1"/>
  <c r="AP13" i="12"/>
  <c r="AP78" i="12" s="1"/>
  <c r="AP260" i="1"/>
  <c r="AT205" i="31"/>
  <c r="AT538" i="1" s="1"/>
  <c r="AT549" i="1" s="1"/>
  <c r="AS224" i="31"/>
  <c r="AS225" i="31" s="1"/>
  <c r="AQ163" i="1" l="1"/>
  <c r="AQ74" i="12"/>
  <c r="AR746" i="1"/>
  <c r="AR751" i="1" s="1"/>
  <c r="AR14" i="7" s="1"/>
  <c r="AR27" i="7" s="1"/>
  <c r="AR69" i="12"/>
  <c r="AR202" i="1"/>
  <c r="AR230" i="31"/>
  <c r="AR232" i="31" s="1"/>
  <c r="AR162" i="1" s="1"/>
  <c r="AR163" i="1" s="1"/>
  <c r="AS212" i="31"/>
  <c r="AS213" i="31" s="1"/>
  <c r="AS69" i="12" s="1"/>
  <c r="AT185" i="31"/>
  <c r="AT537" i="1" s="1"/>
  <c r="AT548" i="1" s="1"/>
  <c r="AS135" i="1"/>
  <c r="AS136" i="1" s="1"/>
  <c r="AS220" i="31"/>
  <c r="AS221" i="31" s="1"/>
  <c r="AS175" i="12" s="1"/>
  <c r="AM211" i="12"/>
  <c r="AM161" i="12"/>
  <c r="AN128" i="1"/>
  <c r="AO177" i="1"/>
  <c r="AO10" i="12"/>
  <c r="AO75" i="12" s="1"/>
  <c r="AO483" i="1"/>
  <c r="AO248" i="31"/>
  <c r="AO252" i="31" s="1"/>
  <c r="AO30" i="12" s="1"/>
  <c r="AO131" i="12" s="1"/>
  <c r="AO219" i="12" s="1"/>
  <c r="AO252" i="1"/>
  <c r="AN55" i="12"/>
  <c r="AN219" i="12"/>
  <c r="AO444" i="1"/>
  <c r="AO245" i="31"/>
  <c r="AO55" i="12" s="1"/>
  <c r="AN22" i="12"/>
  <c r="AN123" i="12" s="1"/>
  <c r="AN211" i="12" s="1"/>
  <c r="AN778" i="1"/>
  <c r="AQ14" i="12"/>
  <c r="AQ79" i="12" s="1"/>
  <c r="AQ558" i="1"/>
  <c r="AQ12" i="12"/>
  <c r="AQ77" i="12" s="1"/>
  <c r="AQ556" i="1"/>
  <c r="AQ285" i="1"/>
  <c r="AQ557" i="1"/>
  <c r="AQ262" i="1"/>
  <c r="AQ559" i="1"/>
  <c r="AQ16" i="12"/>
  <c r="AQ81" i="12" s="1"/>
  <c r="AQ560" i="1"/>
  <c r="AQ261" i="1"/>
  <c r="AQ15" i="12"/>
  <c r="AQ80" i="12" s="1"/>
  <c r="AQ129" i="7" s="1"/>
  <c r="AQ130" i="7" s="1"/>
  <c r="AQ260" i="1"/>
  <c r="AQ236" i="31"/>
  <c r="AQ252" i="1" s="1"/>
  <c r="AQ8" i="12"/>
  <c r="AQ73" i="12" s="1"/>
  <c r="AQ13" i="12"/>
  <c r="AQ78" i="12" s="1"/>
  <c r="AQ259" i="1"/>
  <c r="AQ141" i="1"/>
  <c r="AU205" i="31"/>
  <c r="AU538" i="1" s="1"/>
  <c r="AU549" i="1" s="1"/>
  <c r="AT224" i="31"/>
  <c r="AT225" i="31" s="1"/>
  <c r="AQ485" i="1"/>
  <c r="AQ354" i="1"/>
  <c r="AQ360" i="1" s="1"/>
  <c r="AQ243" i="31"/>
  <c r="AQ486" i="1"/>
  <c r="AQ373" i="1"/>
  <c r="AP245" i="31"/>
  <c r="AP17" i="12"/>
  <c r="AP82" i="12" s="1"/>
  <c r="AQ250" i="31"/>
  <c r="AQ460" i="1"/>
  <c r="AQ488" i="1"/>
  <c r="AQ118" i="1"/>
  <c r="AQ251" i="31"/>
  <c r="AQ77" i="1"/>
  <c r="AQ249" i="31"/>
  <c r="AQ487" i="1"/>
  <c r="AQ374" i="1"/>
  <c r="AP177" i="1"/>
  <c r="AP252" i="1"/>
  <c r="AP248" i="31"/>
  <c r="AP252" i="31" s="1"/>
  <c r="AP30" i="12" s="1"/>
  <c r="AP131" i="12" s="1"/>
  <c r="AP444" i="1"/>
  <c r="AP483" i="1"/>
  <c r="AP10" i="12"/>
  <c r="AP75" i="12" s="1"/>
  <c r="AP142" i="1"/>
  <c r="AO371" i="1"/>
  <c r="AO361" i="1"/>
  <c r="AO458" i="1" s="1"/>
  <c r="AP371" i="1"/>
  <c r="AP361" i="1"/>
  <c r="AP458" i="1" s="1"/>
  <c r="AR242" i="31" l="1"/>
  <c r="AR560" i="1" s="1"/>
  <c r="AR235" i="31"/>
  <c r="AR9" i="12" s="1"/>
  <c r="AR74" i="12" s="1"/>
  <c r="AR239" i="31"/>
  <c r="AR557" i="1" s="1"/>
  <c r="AR240" i="31"/>
  <c r="AR14" i="12" s="1"/>
  <c r="AR79" i="12" s="1"/>
  <c r="AR234" i="31"/>
  <c r="AR8" i="12" s="1"/>
  <c r="AR73" i="12" s="1"/>
  <c r="AR241" i="31"/>
  <c r="AR559" i="1" s="1"/>
  <c r="AR238" i="31"/>
  <c r="AR485" i="1" s="1"/>
  <c r="AS230" i="31"/>
  <c r="AS238" i="31" s="1"/>
  <c r="AS556" i="1" s="1"/>
  <c r="AS746" i="1"/>
  <c r="AS751" i="1" s="1"/>
  <c r="AS14" i="7" s="1"/>
  <c r="AS27" i="7" s="1"/>
  <c r="AS202" i="1"/>
  <c r="AS159" i="1"/>
  <c r="AS160" i="1" s="1"/>
  <c r="AT135" i="1"/>
  <c r="AT136" i="1" s="1"/>
  <c r="AT212" i="31"/>
  <c r="AT213" i="31" s="1"/>
  <c r="AT746" i="1" s="1"/>
  <c r="AT751" i="1" s="1"/>
  <c r="AT14" i="7" s="1"/>
  <c r="AT27" i="7" s="1"/>
  <c r="AU185" i="31"/>
  <c r="AU537" i="1" s="1"/>
  <c r="AU548" i="1" s="1"/>
  <c r="AT220" i="31"/>
  <c r="AT221" i="31" s="1"/>
  <c r="AT175" i="12" s="1"/>
  <c r="AO128" i="1"/>
  <c r="AO186" i="12"/>
  <c r="AN161" i="12"/>
  <c r="AO22" i="12"/>
  <c r="AO123" i="12" s="1"/>
  <c r="AO178" i="12" s="1"/>
  <c r="AN178" i="12"/>
  <c r="AO19" i="12"/>
  <c r="AO84" i="12" s="1"/>
  <c r="AO778" i="1"/>
  <c r="AQ483" i="1"/>
  <c r="AQ10" i="12"/>
  <c r="AQ75" i="12" s="1"/>
  <c r="AQ142" i="1"/>
  <c r="AQ248" i="31"/>
  <c r="AQ252" i="31" s="1"/>
  <c r="AQ30" i="12" s="1"/>
  <c r="AQ131" i="12" s="1"/>
  <c r="AQ219" i="12" s="1"/>
  <c r="AQ444" i="1"/>
  <c r="AQ177" i="1"/>
  <c r="AQ245" i="31"/>
  <c r="AQ55" i="12" s="1"/>
  <c r="AQ17" i="12"/>
  <c r="AQ82" i="12" s="1"/>
  <c r="AP219" i="12"/>
  <c r="AP186" i="12"/>
  <c r="AP55" i="12"/>
  <c r="AP778" i="1"/>
  <c r="AP128" i="1"/>
  <c r="AP19" i="12"/>
  <c r="AP84" i="12" s="1"/>
  <c r="AP22" i="12"/>
  <c r="AP123" i="12" s="1"/>
  <c r="AP178" i="12" s="1"/>
  <c r="AU224" i="31"/>
  <c r="AU225" i="31" s="1"/>
  <c r="AV205" i="31"/>
  <c r="AV538" i="1" s="1"/>
  <c r="AV549" i="1" s="1"/>
  <c r="AR13" i="12" l="1"/>
  <c r="AR78" i="12" s="1"/>
  <c r="AR285" i="1"/>
  <c r="AR486" i="1"/>
  <c r="AR373" i="1"/>
  <c r="AR77" i="1"/>
  <c r="AR89" i="1" s="1"/>
  <c r="AR118" i="1"/>
  <c r="AR16" i="12"/>
  <c r="AR81" i="12" s="1"/>
  <c r="AR251" i="31"/>
  <c r="AR354" i="1"/>
  <c r="AR360" i="1" s="1"/>
  <c r="AR259" i="1"/>
  <c r="AS235" i="31"/>
  <c r="AS9" i="12" s="1"/>
  <c r="AS74" i="12" s="1"/>
  <c r="AR141" i="1"/>
  <c r="AR15" i="12"/>
  <c r="AR80" i="12" s="1"/>
  <c r="AR129" i="7" s="1"/>
  <c r="AR130" i="7" s="1"/>
  <c r="AR236" i="31"/>
  <c r="AR10" i="12" s="1"/>
  <c r="AR75" i="12" s="1"/>
  <c r="AR487" i="1"/>
  <c r="AR262" i="1"/>
  <c r="AR488" i="1"/>
  <c r="AR250" i="31"/>
  <c r="AR249" i="31"/>
  <c r="AR558" i="1"/>
  <c r="AR460" i="1"/>
  <c r="AR374" i="1"/>
  <c r="AR261" i="1"/>
  <c r="AS234" i="31"/>
  <c r="AS239" i="31"/>
  <c r="AS557" i="1" s="1"/>
  <c r="AS232" i="31"/>
  <c r="AS162" i="1" s="1"/>
  <c r="AS163" i="1" s="1"/>
  <c r="AR556" i="1"/>
  <c r="AR243" i="31"/>
  <c r="AS241" i="31"/>
  <c r="AS559" i="1" s="1"/>
  <c r="AR12" i="12"/>
  <c r="AR77" i="12" s="1"/>
  <c r="AS242" i="31"/>
  <c r="AS560" i="1" s="1"/>
  <c r="AR260" i="1"/>
  <c r="AS240" i="31"/>
  <c r="AS558" i="1" s="1"/>
  <c r="AT159" i="1"/>
  <c r="AT160" i="1" s="1"/>
  <c r="AT69" i="12"/>
  <c r="AT202" i="1"/>
  <c r="AV185" i="31"/>
  <c r="AV537" i="1" s="1"/>
  <c r="AV548" i="1" s="1"/>
  <c r="AU212" i="31"/>
  <c r="AU213" i="31" s="1"/>
  <c r="AU69" i="12" s="1"/>
  <c r="AT230" i="31"/>
  <c r="AT241" i="31" s="1"/>
  <c r="AT559" i="1" s="1"/>
  <c r="AU220" i="31"/>
  <c r="AU221" i="31" s="1"/>
  <c r="AU175" i="12" s="1"/>
  <c r="AU135" i="1"/>
  <c r="AU136" i="1" s="1"/>
  <c r="AO211" i="12"/>
  <c r="AO161" i="12"/>
  <c r="AQ19" i="12"/>
  <c r="AQ84" i="12" s="1"/>
  <c r="AQ22" i="12"/>
  <c r="AQ123" i="12" s="1"/>
  <c r="AQ211" i="12" s="1"/>
  <c r="AQ186" i="12"/>
  <c r="AP161" i="12"/>
  <c r="AQ778" i="1"/>
  <c r="AP211" i="12"/>
  <c r="AQ128" i="1"/>
  <c r="AW205" i="31"/>
  <c r="AW538" i="1" s="1"/>
  <c r="AW549" i="1" s="1"/>
  <c r="AV224" i="31"/>
  <c r="AV225" i="31" s="1"/>
  <c r="AS485" i="1"/>
  <c r="AS354" i="1"/>
  <c r="AS360" i="1" s="1"/>
  <c r="AS12" i="12"/>
  <c r="AS77" i="12" s="1"/>
  <c r="AS259" i="1"/>
  <c r="AQ371" i="1"/>
  <c r="AQ361" i="1"/>
  <c r="AQ458" i="1" s="1"/>
  <c r="AS285" i="1" l="1"/>
  <c r="AS13" i="12"/>
  <c r="AS78" i="12" s="1"/>
  <c r="AS260" i="1"/>
  <c r="AS486" i="1"/>
  <c r="AS487" i="1"/>
  <c r="AS374" i="1"/>
  <c r="AS373" i="1"/>
  <c r="AS236" i="31"/>
  <c r="AS483" i="1" s="1"/>
  <c r="AS14" i="12"/>
  <c r="AS79" i="12" s="1"/>
  <c r="AS261" i="1"/>
  <c r="AS249" i="31"/>
  <c r="AS250" i="31"/>
  <c r="AR177" i="1"/>
  <c r="AR248" i="31"/>
  <c r="AR252" i="31" s="1"/>
  <c r="AR30" i="12" s="1"/>
  <c r="AR131" i="12" s="1"/>
  <c r="AR186" i="12" s="1"/>
  <c r="AR444" i="1"/>
  <c r="AR483" i="1"/>
  <c r="AR245" i="31"/>
  <c r="AR778" i="1" s="1"/>
  <c r="AR252" i="1"/>
  <c r="AS118" i="1"/>
  <c r="AR142" i="1"/>
  <c r="AS8" i="12"/>
  <c r="AS73" i="12" s="1"/>
  <c r="AS141" i="1"/>
  <c r="AS15" i="12"/>
  <c r="AS80" i="12" s="1"/>
  <c r="AS129" i="7" s="1"/>
  <c r="AS130" i="7" s="1"/>
  <c r="AR17" i="12"/>
  <c r="AR82" i="12" s="1"/>
  <c r="AV220" i="31"/>
  <c r="AV221" i="31" s="1"/>
  <c r="AV175" i="12" s="1"/>
  <c r="AV212" i="31"/>
  <c r="AV213" i="31" s="1"/>
  <c r="AV746" i="1" s="1"/>
  <c r="AV751" i="1" s="1"/>
  <c r="AV14" i="7" s="1"/>
  <c r="AV27" i="7" s="1"/>
  <c r="AS488" i="1"/>
  <c r="AS262" i="1"/>
  <c r="AU746" i="1"/>
  <c r="AU751" i="1" s="1"/>
  <c r="AU14" i="7" s="1"/>
  <c r="AU27" i="7" s="1"/>
  <c r="AS16" i="12"/>
  <c r="AS81" i="12" s="1"/>
  <c r="AS77" i="1"/>
  <c r="AS243" i="31"/>
  <c r="AS17" i="12" s="1"/>
  <c r="AS82" i="12" s="1"/>
  <c r="AS251" i="31"/>
  <c r="AS460" i="1"/>
  <c r="AU202" i="1"/>
  <c r="AT235" i="31"/>
  <c r="AT9" i="12" s="1"/>
  <c r="AT74" i="12" s="1"/>
  <c r="AT232" i="31"/>
  <c r="AT162" i="1" s="1"/>
  <c r="AT163" i="1" s="1"/>
  <c r="AW185" i="31"/>
  <c r="AW537" i="1" s="1"/>
  <c r="AW548" i="1" s="1"/>
  <c r="AU159" i="1"/>
  <c r="AU160" i="1" s="1"/>
  <c r="AT238" i="31"/>
  <c r="AT556" i="1" s="1"/>
  <c r="AU230" i="31"/>
  <c r="AU238" i="31" s="1"/>
  <c r="AU556" i="1" s="1"/>
  <c r="AT239" i="31"/>
  <c r="AT557" i="1" s="1"/>
  <c r="AT242" i="31"/>
  <c r="AT560" i="1" s="1"/>
  <c r="AV135" i="1"/>
  <c r="AV136" i="1" s="1"/>
  <c r="AT234" i="31"/>
  <c r="AT240" i="31"/>
  <c r="AT558" i="1" s="1"/>
  <c r="AQ178" i="12"/>
  <c r="AQ161" i="12"/>
  <c r="AT460" i="1"/>
  <c r="AT250" i="31"/>
  <c r="AT488" i="1"/>
  <c r="AT262" i="1"/>
  <c r="AT15" i="12"/>
  <c r="AT80" i="12" s="1"/>
  <c r="AT129" i="7" s="1"/>
  <c r="AT130" i="7" s="1"/>
  <c r="AW224" i="31"/>
  <c r="AW225" i="31" s="1"/>
  <c r="AX205" i="31"/>
  <c r="AS371" i="1"/>
  <c r="AS361" i="1"/>
  <c r="AS458" i="1" s="1"/>
  <c r="AR371" i="1"/>
  <c r="AR361" i="1"/>
  <c r="AR458" i="1" s="1"/>
  <c r="AS177" i="1" l="1"/>
  <c r="AR19" i="12"/>
  <c r="AR84" i="12" s="1"/>
  <c r="AS142" i="1"/>
  <c r="AS10" i="12"/>
  <c r="AS75" i="12" s="1"/>
  <c r="AS252" i="1"/>
  <c r="AS444" i="1"/>
  <c r="AR22" i="12"/>
  <c r="AR123" i="12" s="1"/>
  <c r="AR178" i="12" s="1"/>
  <c r="AS248" i="31"/>
  <c r="AS252" i="31" s="1"/>
  <c r="AS30" i="12" s="1"/>
  <c r="AS131" i="12" s="1"/>
  <c r="AS245" i="31"/>
  <c r="AS55" i="12" s="1"/>
  <c r="AR219" i="12"/>
  <c r="AW220" i="31"/>
  <c r="AW221" i="31" s="1"/>
  <c r="AW175" i="12" s="1"/>
  <c r="AV202" i="1"/>
  <c r="AR128" i="1"/>
  <c r="AR55" i="12"/>
  <c r="AV159" i="1"/>
  <c r="AV160" i="1" s="1"/>
  <c r="AV230" i="31"/>
  <c r="AV238" i="31" s="1"/>
  <c r="AV556" i="1" s="1"/>
  <c r="AV69" i="12"/>
  <c r="AT16" i="12"/>
  <c r="AT81" i="12" s="1"/>
  <c r="AT251" i="31"/>
  <c r="AU235" i="31"/>
  <c r="AU9" i="12" s="1"/>
  <c r="AU74" i="12" s="1"/>
  <c r="AW135" i="1"/>
  <c r="AW136" i="1" s="1"/>
  <c r="AT118" i="1"/>
  <c r="AW212" i="31"/>
  <c r="AW213" i="31" s="1"/>
  <c r="AW159" i="1" s="1"/>
  <c r="AW160" i="1" s="1"/>
  <c r="AX185" i="31"/>
  <c r="AT236" i="31"/>
  <c r="AT483" i="1" s="1"/>
  <c r="AU242" i="31"/>
  <c r="AU560" i="1" s="1"/>
  <c r="AT8" i="12"/>
  <c r="AT73" i="12" s="1"/>
  <c r="AT486" i="1"/>
  <c r="AT354" i="1"/>
  <c r="AT360" i="1" s="1"/>
  <c r="AT371" i="1" s="1"/>
  <c r="AU234" i="31"/>
  <c r="AU8" i="12" s="1"/>
  <c r="AU73" i="12" s="1"/>
  <c r="AT485" i="1"/>
  <c r="AU239" i="31"/>
  <c r="AU557" i="1" s="1"/>
  <c r="AU240" i="31"/>
  <c r="AU558" i="1" s="1"/>
  <c r="AT14" i="12"/>
  <c r="AT79" i="12" s="1"/>
  <c r="AT259" i="1"/>
  <c r="AT12" i="12"/>
  <c r="AT77" i="12" s="1"/>
  <c r="AU241" i="31"/>
  <c r="AU559" i="1" s="1"/>
  <c r="AT374" i="1"/>
  <c r="AT243" i="31"/>
  <c r="AU232" i="31"/>
  <c r="AU162" i="1" s="1"/>
  <c r="AU163" i="1" s="1"/>
  <c r="AT260" i="1"/>
  <c r="AT13" i="12"/>
  <c r="AT78" i="12" s="1"/>
  <c r="AT285" i="1"/>
  <c r="AT77" i="1"/>
  <c r="AT261" i="1"/>
  <c r="AT141" i="1"/>
  <c r="AT249" i="31"/>
  <c r="AT373" i="1"/>
  <c r="AT487" i="1"/>
  <c r="AX224" i="31"/>
  <c r="AX225" i="31" s="1"/>
  <c r="AX538" i="1"/>
  <c r="AX549" i="1" s="1"/>
  <c r="F549" i="1" s="1"/>
  <c r="AU354" i="1"/>
  <c r="AU360" i="1" s="1"/>
  <c r="AU371" i="1" s="1"/>
  <c r="AU485" i="1"/>
  <c r="AU259" i="1"/>
  <c r="AU12" i="12"/>
  <c r="AU77" i="12" s="1"/>
  <c r="AX537" i="1" l="1"/>
  <c r="AX548" i="1" s="1"/>
  <c r="F548" i="1" s="1"/>
  <c r="F553" i="1" s="1" a="1"/>
  <c r="F553" i="1" s="1"/>
  <c r="AB553" i="1" s="1"/>
  <c r="AB569" i="1" s="1"/>
  <c r="F186" i="31"/>
  <c r="AV232" i="31"/>
  <c r="AV162" i="1" s="1"/>
  <c r="AV163" i="1" s="1"/>
  <c r="AV241" i="31"/>
  <c r="AV559" i="1" s="1"/>
  <c r="AS128" i="1"/>
  <c r="AS22" i="12"/>
  <c r="AS123" i="12" s="1"/>
  <c r="AS211" i="12" s="1"/>
  <c r="AS778" i="1"/>
  <c r="AS19" i="12"/>
  <c r="AS84" i="12" s="1"/>
  <c r="AR161" i="12"/>
  <c r="AS219" i="12"/>
  <c r="AS186" i="12"/>
  <c r="AR211" i="12"/>
  <c r="AV239" i="31"/>
  <c r="AV557" i="1" s="1"/>
  <c r="AV234" i="31"/>
  <c r="AV8" i="12" s="1"/>
  <c r="AV73" i="12" s="1"/>
  <c r="AV235" i="31"/>
  <c r="AV9" i="12" s="1"/>
  <c r="AV74" i="12" s="1"/>
  <c r="AV242" i="31"/>
  <c r="AV560" i="1" s="1"/>
  <c r="AV240" i="31"/>
  <c r="AV558" i="1" s="1"/>
  <c r="AT361" i="1"/>
  <c r="AT458" i="1" s="1"/>
  <c r="AU236" i="31"/>
  <c r="AU177" i="1" s="1"/>
  <c r="AT10" i="12"/>
  <c r="AT75" i="12" s="1"/>
  <c r="AT248" i="31"/>
  <c r="AT252" i="31" s="1"/>
  <c r="AT30" i="12" s="1"/>
  <c r="AT131" i="12" s="1"/>
  <c r="AT186" i="12" s="1"/>
  <c r="AT142" i="1"/>
  <c r="AT444" i="1"/>
  <c r="AW202" i="1"/>
  <c r="AX135" i="1"/>
  <c r="AX136" i="1" s="1"/>
  <c r="AW230" i="31"/>
  <c r="AW242" i="31" s="1"/>
  <c r="AW560" i="1" s="1"/>
  <c r="AX212" i="31"/>
  <c r="AX213" i="31" s="1"/>
  <c r="AX230" i="31" s="1"/>
  <c r="AW69" i="12"/>
  <c r="AU250" i="31"/>
  <c r="AW746" i="1"/>
  <c r="AW751" i="1" s="1"/>
  <c r="AW14" i="7" s="1"/>
  <c r="AX220" i="31"/>
  <c r="AX221" i="31" s="1"/>
  <c r="AX175" i="12" s="1"/>
  <c r="AT252" i="1"/>
  <c r="AU285" i="1"/>
  <c r="AT177" i="1"/>
  <c r="AU16" i="12"/>
  <c r="AU81" i="12" s="1"/>
  <c r="AU77" i="1"/>
  <c r="AU89" i="1" s="1"/>
  <c r="AU118" i="1"/>
  <c r="AT245" i="31"/>
  <c r="AT128" i="1" s="1"/>
  <c r="AU251" i="31"/>
  <c r="AU260" i="1"/>
  <c r="AU488" i="1"/>
  <c r="AU261" i="1"/>
  <c r="AU141" i="1"/>
  <c r="AU243" i="31"/>
  <c r="AU17" i="12" s="1"/>
  <c r="AU82" i="12" s="1"/>
  <c r="AU249" i="31"/>
  <c r="AU13" i="12"/>
  <c r="AU78" i="12" s="1"/>
  <c r="AU487" i="1"/>
  <c r="AU14" i="12"/>
  <c r="AU79" i="12" s="1"/>
  <c r="AU262" i="1"/>
  <c r="AU373" i="1"/>
  <c r="AU460" i="1"/>
  <c r="AU486" i="1"/>
  <c r="AT17" i="12"/>
  <c r="AT82" i="12" s="1"/>
  <c r="AU374" i="1"/>
  <c r="AU15" i="12"/>
  <c r="AU80" i="12" s="1"/>
  <c r="AU129" i="7" s="1"/>
  <c r="AU130" i="7" s="1"/>
  <c r="AU361" i="1"/>
  <c r="AU458" i="1" s="1"/>
  <c r="AV485" i="1"/>
  <c r="AV354" i="1"/>
  <c r="AV360" i="1" s="1"/>
  <c r="AV259" i="1"/>
  <c r="AV12" i="12"/>
  <c r="AV77" i="12" s="1"/>
  <c r="Z553" i="1" l="1"/>
  <c r="Z569" i="1" s="1"/>
  <c r="AN553" i="1"/>
  <c r="AN569" i="1" s="1"/>
  <c r="W553" i="1"/>
  <c r="W567" i="1" s="1"/>
  <c r="AF553" i="1"/>
  <c r="AF568" i="1" s="1"/>
  <c r="AB567" i="1"/>
  <c r="AB570" i="1"/>
  <c r="AU553" i="1"/>
  <c r="AU566" i="1" s="1"/>
  <c r="AT553" i="1"/>
  <c r="AT567" i="1" s="1"/>
  <c r="AB568" i="1"/>
  <c r="AE553" i="1"/>
  <c r="AE568" i="1" s="1"/>
  <c r="AB566" i="1"/>
  <c r="Y553" i="1"/>
  <c r="Y567" i="1" s="1"/>
  <c r="S553" i="1"/>
  <c r="S570" i="1" s="1"/>
  <c r="AV553" i="1"/>
  <c r="AV566" i="1" s="1"/>
  <c r="AA553" i="1"/>
  <c r="AA568" i="1" s="1"/>
  <c r="AX553" i="1"/>
  <c r="AI553" i="1"/>
  <c r="AI569" i="1" s="1"/>
  <c r="AJ553" i="1"/>
  <c r="AJ568" i="1" s="1"/>
  <c r="AH553" i="1"/>
  <c r="AH566" i="1" s="1"/>
  <c r="R553" i="1"/>
  <c r="R569" i="1" s="1"/>
  <c r="AP553" i="1"/>
  <c r="AP568" i="1" s="1"/>
  <c r="AW553" i="1"/>
  <c r="AW570" i="1" s="1"/>
  <c r="AM553" i="1"/>
  <c r="AM567" i="1" s="1"/>
  <c r="N553" i="1"/>
  <c r="N566" i="1" s="1"/>
  <c r="AR553" i="1"/>
  <c r="AR567" i="1" s="1"/>
  <c r="AO553" i="1"/>
  <c r="AO567" i="1" s="1"/>
  <c r="O553" i="1"/>
  <c r="O568" i="1" s="1"/>
  <c r="K553" i="1"/>
  <c r="K570" i="1" s="1"/>
  <c r="L553" i="1"/>
  <c r="L566" i="1" s="1"/>
  <c r="AG553" i="1"/>
  <c r="AG567" i="1" s="1"/>
  <c r="AD553" i="1"/>
  <c r="AD569" i="1" s="1"/>
  <c r="T553" i="1"/>
  <c r="T567" i="1" s="1"/>
  <c r="P553" i="1"/>
  <c r="P570" i="1" s="1"/>
  <c r="M553" i="1"/>
  <c r="M569" i="1" s="1"/>
  <c r="U553" i="1"/>
  <c r="U568" i="1" s="1"/>
  <c r="AQ553" i="1"/>
  <c r="AQ567" i="1" s="1"/>
  <c r="AC553" i="1"/>
  <c r="AC568" i="1" s="1"/>
  <c r="Q553" i="1"/>
  <c r="Q569" i="1" s="1"/>
  <c r="AS553" i="1"/>
  <c r="AS570" i="1" s="1"/>
  <c r="AL553" i="1"/>
  <c r="AL568" i="1" s="1"/>
  <c r="X553" i="1"/>
  <c r="X569" i="1" s="1"/>
  <c r="AK553" i="1"/>
  <c r="AK568" i="1" s="1"/>
  <c r="V553" i="1"/>
  <c r="V569" i="1" s="1"/>
  <c r="AV260" i="1"/>
  <c r="AV250" i="31"/>
  <c r="AV262" i="1"/>
  <c r="AV15" i="12"/>
  <c r="AV80" i="12" s="1"/>
  <c r="AV129" i="7" s="1"/>
  <c r="AV130" i="7" s="1"/>
  <c r="AV488" i="1"/>
  <c r="AV460" i="1"/>
  <c r="AU10" i="12"/>
  <c r="AU75" i="12" s="1"/>
  <c r="AU483" i="1"/>
  <c r="AU252" i="1"/>
  <c r="AV13" i="12"/>
  <c r="AV78" i="12" s="1"/>
  <c r="AV285" i="1"/>
  <c r="AS178" i="12"/>
  <c r="AV486" i="1"/>
  <c r="AV373" i="1"/>
  <c r="AS161" i="12"/>
  <c r="AV14" i="12"/>
  <c r="AV79" i="12" s="1"/>
  <c r="AV261" i="1"/>
  <c r="AV249" i="31"/>
  <c r="AV251" i="31"/>
  <c r="AV374" i="1"/>
  <c r="AV487" i="1"/>
  <c r="AV141" i="1"/>
  <c r="AV236" i="31"/>
  <c r="AV483" i="1" s="1"/>
  <c r="AU444" i="1"/>
  <c r="AU248" i="31"/>
  <c r="AU252" i="31" s="1"/>
  <c r="AU30" i="12" s="1"/>
  <c r="AU131" i="12" s="1"/>
  <c r="AU219" i="12" s="1"/>
  <c r="AU142" i="1"/>
  <c r="AW241" i="31"/>
  <c r="AW559" i="1" s="1"/>
  <c r="AW240" i="31"/>
  <c r="AW558" i="1" s="1"/>
  <c r="AW234" i="31"/>
  <c r="AW141" i="1" s="1"/>
  <c r="AV16" i="12"/>
  <c r="AV81" i="12" s="1"/>
  <c r="AV77" i="1"/>
  <c r="AV89" i="1" s="1"/>
  <c r="AV118" i="1"/>
  <c r="AT19" i="12"/>
  <c r="AT84" i="12" s="1"/>
  <c r="AV243" i="31"/>
  <c r="AV17" i="12" s="1"/>
  <c r="AV82" i="12" s="1"/>
  <c r="AU245" i="31"/>
  <c r="AU55" i="12" s="1"/>
  <c r="AX69" i="12"/>
  <c r="AX159" i="1"/>
  <c r="AX160" i="1" s="1"/>
  <c r="AW238" i="31"/>
  <c r="AW556" i="1" s="1"/>
  <c r="AW232" i="31"/>
  <c r="AW162" i="1" s="1"/>
  <c r="AW163" i="1" s="1"/>
  <c r="AW235" i="31"/>
  <c r="AX202" i="1"/>
  <c r="AX746" i="1"/>
  <c r="AX751" i="1" s="1"/>
  <c r="AX14" i="7" s="1"/>
  <c r="AX27" i="7" s="1"/>
  <c r="AW239" i="31"/>
  <c r="AW557" i="1" s="1"/>
  <c r="AT778" i="1"/>
  <c r="AT22" i="12"/>
  <c r="AT123" i="12" s="1"/>
  <c r="AT211" i="12" s="1"/>
  <c r="AT55" i="12"/>
  <c r="AT219" i="12"/>
  <c r="AX240" i="31"/>
  <c r="AX235" i="31"/>
  <c r="AX9" i="12" s="1"/>
  <c r="AX239" i="31"/>
  <c r="AX238" i="31"/>
  <c r="AX232" i="31"/>
  <c r="AX162" i="1" s="1"/>
  <c r="AX234" i="31"/>
  <c r="AX242" i="31"/>
  <c r="AX241" i="31"/>
  <c r="AW27" i="7"/>
  <c r="AW251" i="31"/>
  <c r="AW118" i="1"/>
  <c r="AW77" i="1"/>
  <c r="AW16" i="12"/>
  <c r="AW81" i="12" s="1"/>
  <c r="AV371" i="1"/>
  <c r="AV361" i="1"/>
  <c r="AV458" i="1" s="1"/>
  <c r="G130" i="7" l="1"/>
  <c r="F116" i="7"/>
  <c r="AN570" i="1"/>
  <c r="Z568" i="1"/>
  <c r="AH568" i="1"/>
  <c r="AH570" i="1"/>
  <c r="AI566" i="1"/>
  <c r="Z567" i="1"/>
  <c r="AI568" i="1"/>
  <c r="AR570" i="1"/>
  <c r="AJ570" i="1"/>
  <c r="AE567" i="1"/>
  <c r="AN568" i="1"/>
  <c r="AB571" i="1"/>
  <c r="AB585" i="1" s="1"/>
  <c r="R566" i="1"/>
  <c r="AF569" i="1"/>
  <c r="Y570" i="1"/>
  <c r="O570" i="1"/>
  <c r="Y569" i="1"/>
  <c r="R567" i="1"/>
  <c r="K568" i="1"/>
  <c r="R570" i="1"/>
  <c r="AF567" i="1"/>
  <c r="AF570" i="1"/>
  <c r="O567" i="1"/>
  <c r="W570" i="1"/>
  <c r="N568" i="1"/>
  <c r="W569" i="1"/>
  <c r="O566" i="1"/>
  <c r="W566" i="1"/>
  <c r="O569" i="1"/>
  <c r="M567" i="1"/>
  <c r="W568" i="1"/>
  <c r="AH569" i="1"/>
  <c r="AH567" i="1"/>
  <c r="S566" i="1"/>
  <c r="AD570" i="1"/>
  <c r="N567" i="1"/>
  <c r="AT566" i="1"/>
  <c r="AT570" i="1"/>
  <c r="S569" i="1"/>
  <c r="AD566" i="1"/>
  <c r="AT569" i="1"/>
  <c r="AS566" i="1"/>
  <c r="N569" i="1"/>
  <c r="AS568" i="1"/>
  <c r="S567" i="1"/>
  <c r="AF566" i="1"/>
  <c r="N570" i="1"/>
  <c r="AS569" i="1"/>
  <c r="AA570" i="1"/>
  <c r="AV568" i="1"/>
  <c r="AW566" i="1"/>
  <c r="AA569" i="1"/>
  <c r="AV570" i="1"/>
  <c r="AD567" i="1"/>
  <c r="AT568" i="1"/>
  <c r="AM566" i="1"/>
  <c r="AA567" i="1"/>
  <c r="AM569" i="1"/>
  <c r="AU567" i="1"/>
  <c r="AM570" i="1"/>
  <c r="AU569" i="1"/>
  <c r="AU570" i="1"/>
  <c r="AA566" i="1"/>
  <c r="AU568" i="1"/>
  <c r="AM568" i="1"/>
  <c r="Y566" i="1"/>
  <c r="S568" i="1"/>
  <c r="AD568" i="1"/>
  <c r="Y568" i="1"/>
  <c r="AW569" i="1"/>
  <c r="AR568" i="1"/>
  <c r="AO568" i="1"/>
  <c r="AE570" i="1"/>
  <c r="X568" i="1"/>
  <c r="AE569" i="1"/>
  <c r="AW567" i="1"/>
  <c r="AV567" i="1"/>
  <c r="AJ567" i="1"/>
  <c r="AV569" i="1"/>
  <c r="AJ569" i="1"/>
  <c r="AR569" i="1"/>
  <c r="AR566" i="1"/>
  <c r="AE566" i="1"/>
  <c r="AO566" i="1"/>
  <c r="AJ566" i="1"/>
  <c r="AI567" i="1"/>
  <c r="AN566" i="1"/>
  <c r="AN567" i="1"/>
  <c r="AI570" i="1"/>
  <c r="AW568" i="1"/>
  <c r="Z570" i="1"/>
  <c r="Z566" i="1"/>
  <c r="AQ566" i="1"/>
  <c r="AP567" i="1"/>
  <c r="L570" i="1"/>
  <c r="AQ568" i="1"/>
  <c r="AP566" i="1"/>
  <c r="AP569" i="1"/>
  <c r="R568" i="1"/>
  <c r="AP570" i="1"/>
  <c r="K567" i="1"/>
  <c r="V566" i="1"/>
  <c r="V568" i="1"/>
  <c r="K569" i="1"/>
  <c r="U570" i="1"/>
  <c r="V567" i="1"/>
  <c r="V570" i="1"/>
  <c r="AO570" i="1"/>
  <c r="K566" i="1"/>
  <c r="L567" i="1"/>
  <c r="L568" i="1"/>
  <c r="L569" i="1"/>
  <c r="AQ569" i="1"/>
  <c r="AQ570" i="1"/>
  <c r="AO569" i="1"/>
  <c r="Q570" i="1"/>
  <c r="AG570" i="1"/>
  <c r="AG569" i="1"/>
  <c r="AG568" i="1"/>
  <c r="AG566" i="1"/>
  <c r="Q568" i="1"/>
  <c r="AC567" i="1"/>
  <c r="AC570" i="1"/>
  <c r="P568" i="1"/>
  <c r="P569" i="1"/>
  <c r="X567" i="1"/>
  <c r="P567" i="1"/>
  <c r="X570" i="1"/>
  <c r="AC569" i="1"/>
  <c r="Q567" i="1"/>
  <c r="T566" i="1"/>
  <c r="Q566" i="1"/>
  <c r="AS567" i="1"/>
  <c r="T568" i="1"/>
  <c r="AC566" i="1"/>
  <c r="AL570" i="1"/>
  <c r="AL569" i="1"/>
  <c r="X566" i="1"/>
  <c r="P566" i="1"/>
  <c r="U569" i="1"/>
  <c r="AK570" i="1"/>
  <c r="M568" i="1"/>
  <c r="AK566" i="1"/>
  <c r="M570" i="1"/>
  <c r="AL567" i="1"/>
  <c r="T570" i="1"/>
  <c r="AK569" i="1"/>
  <c r="AK567" i="1"/>
  <c r="M566" i="1"/>
  <c r="AL566" i="1"/>
  <c r="T569" i="1"/>
  <c r="U567" i="1"/>
  <c r="U566" i="1"/>
  <c r="AW488" i="1"/>
  <c r="AV142" i="1"/>
  <c r="AV444" i="1"/>
  <c r="AW250" i="31"/>
  <c r="AW460" i="1"/>
  <c r="AV10" i="12"/>
  <c r="AV75" i="12" s="1"/>
  <c r="AV252" i="1"/>
  <c r="AW13" i="12"/>
  <c r="AW78" i="12" s="1"/>
  <c r="AV248" i="31"/>
  <c r="AV252" i="31" s="1"/>
  <c r="AV30" i="12" s="1"/>
  <c r="AV131" i="12" s="1"/>
  <c r="AV186" i="12" s="1"/>
  <c r="AV177" i="1"/>
  <c r="AW285" i="1"/>
  <c r="AW373" i="1"/>
  <c r="AW486" i="1"/>
  <c r="AW12" i="12"/>
  <c r="AW77" i="12" s="1"/>
  <c r="AW261" i="1"/>
  <c r="AW260" i="1"/>
  <c r="AV245" i="31"/>
  <c r="AV22" i="12" s="1"/>
  <c r="AV123" i="12" s="1"/>
  <c r="I234" i="31"/>
  <c r="AU778" i="1"/>
  <c r="AU19" i="12"/>
  <c r="AU84" i="12" s="1"/>
  <c r="AW8" i="12"/>
  <c r="AW73" i="12" s="1"/>
  <c r="AU22" i="12"/>
  <c r="AU123" i="12" s="1"/>
  <c r="AU211" i="12" s="1"/>
  <c r="AW14" i="12"/>
  <c r="AW79" i="12" s="1"/>
  <c r="AU128" i="1"/>
  <c r="AW374" i="1"/>
  <c r="AW487" i="1"/>
  <c r="AX163" i="1"/>
  <c r="AW249" i="31"/>
  <c r="AW15" i="12"/>
  <c r="AW80" i="12" s="1"/>
  <c r="AW129" i="7" s="1"/>
  <c r="AW130" i="7" s="1"/>
  <c r="AW262" i="1"/>
  <c r="AX74" i="12"/>
  <c r="AW236" i="31"/>
  <c r="AW483" i="1" s="1"/>
  <c r="AW243" i="31"/>
  <c r="AW17" i="12" s="1"/>
  <c r="AW82" i="12" s="1"/>
  <c r="AW259" i="1"/>
  <c r="F764" i="1"/>
  <c r="O22" i="5" s="1"/>
  <c r="T70" i="5" s="1"/>
  <c r="AW485" i="1"/>
  <c r="AW354" i="1"/>
  <c r="AW360" i="1" s="1"/>
  <c r="AW371" i="1" s="1"/>
  <c r="I751" i="1"/>
  <c r="I14" i="7" s="1"/>
  <c r="I27" i="7" s="1"/>
  <c r="AW9" i="12"/>
  <c r="AW74" i="12" s="1"/>
  <c r="F62" i="7"/>
  <c r="AT161" i="12"/>
  <c r="AT178" i="12"/>
  <c r="AU186" i="12"/>
  <c r="I238" i="31"/>
  <c r="I556" i="1" s="1"/>
  <c r="AX556" i="1"/>
  <c r="AX566" i="1" s="1"/>
  <c r="F260" i="31"/>
  <c r="AX558" i="1"/>
  <c r="F261" i="31"/>
  <c r="AX559" i="1"/>
  <c r="F262" i="31"/>
  <c r="AX560" i="1"/>
  <c r="F259" i="31"/>
  <c r="AX557" i="1"/>
  <c r="I241" i="31"/>
  <c r="AW89" i="1"/>
  <c r="AX250" i="31"/>
  <c r="AX460" i="1"/>
  <c r="AX488" i="1"/>
  <c r="AX262" i="1"/>
  <c r="AX15" i="12"/>
  <c r="AX80" i="12" s="1"/>
  <c r="AX485" i="1"/>
  <c r="AX243" i="31"/>
  <c r="AX17" i="12" s="1"/>
  <c r="AX82" i="12" s="1"/>
  <c r="AX354" i="1"/>
  <c r="AX360" i="1" s="1"/>
  <c r="AX12" i="12"/>
  <c r="AX77" i="12" s="1"/>
  <c r="AX259" i="1"/>
  <c r="F258" i="31"/>
  <c r="AX118" i="1"/>
  <c r="AX251" i="31"/>
  <c r="AX77" i="1"/>
  <c r="K82" i="1" s="1"/>
  <c r="K102" i="1" s="1"/>
  <c r="K103" i="1" s="1"/>
  <c r="K107" i="1" s="1"/>
  <c r="AX16" i="12"/>
  <c r="AX81" i="12" s="1"/>
  <c r="AX373" i="1"/>
  <c r="AX486" i="1"/>
  <c r="AX13" i="12"/>
  <c r="AX78" i="12" s="1"/>
  <c r="AX285" i="1"/>
  <c r="AX260" i="1"/>
  <c r="I235" i="31"/>
  <c r="I9" i="12" s="1"/>
  <c r="I240" i="31"/>
  <c r="I558" i="1" s="1"/>
  <c r="AX236" i="31"/>
  <c r="AX8" i="12"/>
  <c r="AX73" i="12" s="1"/>
  <c r="AX141" i="1"/>
  <c r="F255" i="31"/>
  <c r="F256" i="31"/>
  <c r="I239" i="31"/>
  <c r="I557" i="1" s="1"/>
  <c r="AX487" i="1"/>
  <c r="AX374" i="1"/>
  <c r="AX249" i="31"/>
  <c r="AX261" i="1"/>
  <c r="AX14" i="12"/>
  <c r="AX79" i="12" s="1"/>
  <c r="I242" i="31"/>
  <c r="I560" i="1" s="1"/>
  <c r="K8" i="12"/>
  <c r="K141" i="1"/>
  <c r="F87" i="12" l="1"/>
  <c r="F108" i="12" s="1"/>
  <c r="P6" i="5" s="1"/>
  <c r="AB573" i="1"/>
  <c r="AI571" i="1"/>
  <c r="AI573" i="1" s="1"/>
  <c r="N571" i="1"/>
  <c r="N573" i="1" s="1"/>
  <c r="AF571" i="1"/>
  <c r="AF573" i="1" s="1"/>
  <c r="AU571" i="1"/>
  <c r="AU585" i="1" s="1"/>
  <c r="R571" i="1"/>
  <c r="R585" i="1" s="1"/>
  <c r="AE571" i="1"/>
  <c r="AE585" i="1" s="1"/>
  <c r="L571" i="1"/>
  <c r="L573" i="1" s="1"/>
  <c r="AW571" i="1"/>
  <c r="AW573" i="1" s="1"/>
  <c r="AG571" i="1"/>
  <c r="AG573" i="1" s="1"/>
  <c r="AM571" i="1"/>
  <c r="AM573" i="1" s="1"/>
  <c r="AD571" i="1"/>
  <c r="AD585" i="1" s="1"/>
  <c r="AH571" i="1"/>
  <c r="AH573" i="1" s="1"/>
  <c r="AV571" i="1"/>
  <c r="AV573" i="1" s="1"/>
  <c r="AA571" i="1"/>
  <c r="AA573" i="1" s="1"/>
  <c r="P571" i="1"/>
  <c r="P585" i="1" s="1"/>
  <c r="X571" i="1"/>
  <c r="X585" i="1" s="1"/>
  <c r="AR571" i="1"/>
  <c r="AR585" i="1" s="1"/>
  <c r="Y571" i="1"/>
  <c r="Y585" i="1" s="1"/>
  <c r="AS571" i="1"/>
  <c r="AS585" i="1" s="1"/>
  <c r="S571" i="1"/>
  <c r="S585" i="1" s="1"/>
  <c r="T571" i="1"/>
  <c r="T585" i="1" s="1"/>
  <c r="O571" i="1"/>
  <c r="O573" i="1" s="1"/>
  <c r="U571" i="1"/>
  <c r="U573" i="1" s="1"/>
  <c r="AP571" i="1"/>
  <c r="AP573" i="1" s="1"/>
  <c r="AN571" i="1"/>
  <c r="AN573" i="1" s="1"/>
  <c r="V571" i="1"/>
  <c r="V585" i="1" s="1"/>
  <c r="K571" i="1"/>
  <c r="K573" i="1" s="1"/>
  <c r="AQ571" i="1"/>
  <c r="AQ573" i="1" s="1"/>
  <c r="AJ571" i="1"/>
  <c r="AJ585" i="1" s="1"/>
  <c r="AT571" i="1"/>
  <c r="AT573" i="1" s="1"/>
  <c r="Z571" i="1"/>
  <c r="Z585" i="1" s="1"/>
  <c r="AO571" i="1"/>
  <c r="AO573" i="1" s="1"/>
  <c r="W571" i="1"/>
  <c r="W573" i="1" s="1"/>
  <c r="AC571" i="1"/>
  <c r="AC573" i="1" s="1"/>
  <c r="AL571" i="1"/>
  <c r="AL585" i="1" s="1"/>
  <c r="M571" i="1"/>
  <c r="M585" i="1" s="1"/>
  <c r="Q571" i="1"/>
  <c r="Q585" i="1" s="1"/>
  <c r="AK571" i="1"/>
  <c r="AK573" i="1" s="1"/>
  <c r="G756" i="1"/>
  <c r="G750" i="1"/>
  <c r="G752" i="1"/>
  <c r="G755" i="1"/>
  <c r="G754" i="1"/>
  <c r="G753" i="1"/>
  <c r="G749" i="1"/>
  <c r="G758" i="1"/>
  <c r="G757" i="1"/>
  <c r="G751" i="1"/>
  <c r="G759" i="1"/>
  <c r="O19" i="5"/>
  <c r="G73" i="12"/>
  <c r="G86" i="12" s="1"/>
  <c r="G80" i="12"/>
  <c r="G81" i="12"/>
  <c r="G94" i="12" s="1"/>
  <c r="G130" i="12"/>
  <c r="G157" i="12" s="1"/>
  <c r="G126" i="12"/>
  <c r="G158" i="12" s="1"/>
  <c r="O3" i="5"/>
  <c r="G123" i="12"/>
  <c r="G154" i="12" s="1"/>
  <c r="G79" i="12"/>
  <c r="G92" i="12" s="1"/>
  <c r="G128" i="12"/>
  <c r="G155" i="12" s="1"/>
  <c r="G129" i="12"/>
  <c r="G156" i="12" s="1"/>
  <c r="G74" i="12"/>
  <c r="G87" i="12" s="1"/>
  <c r="G131" i="12"/>
  <c r="G84" i="12"/>
  <c r="G97" i="12" s="1"/>
  <c r="G124" i="12"/>
  <c r="G78" i="12"/>
  <c r="G91" i="12" s="1"/>
  <c r="G125" i="12"/>
  <c r="G75" i="12"/>
  <c r="G88" i="12" s="1"/>
  <c r="G77" i="12"/>
  <c r="G90" i="12" s="1"/>
  <c r="G82" i="12"/>
  <c r="G95" i="12" s="1"/>
  <c r="G127" i="12"/>
  <c r="AW361" i="1"/>
  <c r="AW458" i="1" s="1"/>
  <c r="AU178" i="12"/>
  <c r="I74" i="12"/>
  <c r="AU161" i="12"/>
  <c r="AV128" i="1"/>
  <c r="AV55" i="12"/>
  <c r="AV219" i="12"/>
  <c r="AV778" i="1"/>
  <c r="AV19" i="12"/>
  <c r="AV84" i="12" s="1"/>
  <c r="AW245" i="31"/>
  <c r="AW778" i="1" s="1"/>
  <c r="AW444" i="1"/>
  <c r="AW248" i="31"/>
  <c r="AW252" i="31" s="1"/>
  <c r="AW30" i="12" s="1"/>
  <c r="AW131" i="12" s="1"/>
  <c r="AW219" i="12" s="1"/>
  <c r="AW177" i="1"/>
  <c r="AW252" i="1"/>
  <c r="AW10" i="12"/>
  <c r="AW75" i="12" s="1"/>
  <c r="AW142" i="1"/>
  <c r="AX570" i="1"/>
  <c r="AX568" i="1"/>
  <c r="I568" i="1" s="1"/>
  <c r="AX567" i="1"/>
  <c r="I567" i="1" s="1"/>
  <c r="AX569" i="1"/>
  <c r="I569" i="1" s="1"/>
  <c r="I485" i="1"/>
  <c r="I354" i="1"/>
  <c r="I12" i="12"/>
  <c r="I566" i="1"/>
  <c r="I259" i="1"/>
  <c r="I15" i="12"/>
  <c r="I559" i="1"/>
  <c r="I250" i="31"/>
  <c r="I488" i="1"/>
  <c r="I460" i="1"/>
  <c r="I262" i="1"/>
  <c r="AS82" i="1"/>
  <c r="AS102" i="1" s="1"/>
  <c r="AL82" i="1"/>
  <c r="AL102" i="1" s="1"/>
  <c r="AQ82" i="1"/>
  <c r="AQ102" i="1" s="1"/>
  <c r="AN82" i="1"/>
  <c r="AN102" i="1" s="1"/>
  <c r="V82" i="1"/>
  <c r="V102" i="1" s="1"/>
  <c r="AB82" i="1"/>
  <c r="AB102" i="1" s="1"/>
  <c r="AC82" i="1"/>
  <c r="AC102" i="1" s="1"/>
  <c r="AR82" i="1"/>
  <c r="AR102" i="1" s="1"/>
  <c r="M82" i="1"/>
  <c r="M102" i="1" s="1"/>
  <c r="L82" i="1"/>
  <c r="L102" i="1" s="1"/>
  <c r="Y82" i="1"/>
  <c r="Y102" i="1" s="1"/>
  <c r="I486" i="1"/>
  <c r="I373" i="1"/>
  <c r="I13" i="12"/>
  <c r="I260" i="1"/>
  <c r="I285" i="1"/>
  <c r="I243" i="31"/>
  <c r="I17" i="12" s="1"/>
  <c r="F92" i="12"/>
  <c r="I79" i="12"/>
  <c r="AV211" i="12"/>
  <c r="AV178" i="12"/>
  <c r="AV161" i="12"/>
  <c r="AT82" i="1"/>
  <c r="AT102" i="1" s="1"/>
  <c r="AJ82" i="1"/>
  <c r="AJ102" i="1" s="1"/>
  <c r="P82" i="1"/>
  <c r="P102" i="1" s="1"/>
  <c r="AP82" i="1"/>
  <c r="AP102" i="1" s="1"/>
  <c r="AA82" i="1"/>
  <c r="AA102" i="1" s="1"/>
  <c r="AU82" i="1"/>
  <c r="AU102" i="1" s="1"/>
  <c r="AD82" i="1"/>
  <c r="AD102" i="1" s="1"/>
  <c r="N82" i="1"/>
  <c r="N102" i="1" s="1"/>
  <c r="AF82" i="1"/>
  <c r="AF102" i="1" s="1"/>
  <c r="Q82" i="1"/>
  <c r="Q102" i="1" s="1"/>
  <c r="I118" i="1"/>
  <c r="I251" i="31"/>
  <c r="I77" i="1"/>
  <c r="I16" i="12"/>
  <c r="F94" i="12"/>
  <c r="I81" i="12"/>
  <c r="X82" i="1"/>
  <c r="X102" i="1" s="1"/>
  <c r="F78" i="1"/>
  <c r="AG82" i="1"/>
  <c r="AG102" i="1" s="1"/>
  <c r="S82" i="1"/>
  <c r="S102" i="1" s="1"/>
  <c r="AK82" i="1"/>
  <c r="AK102" i="1" s="1"/>
  <c r="W82" i="1"/>
  <c r="W102" i="1" s="1"/>
  <c r="AO82" i="1"/>
  <c r="AO102" i="1" s="1"/>
  <c r="Z82" i="1"/>
  <c r="Z102" i="1" s="1"/>
  <c r="F95" i="12"/>
  <c r="I82" i="12"/>
  <c r="AX483" i="1"/>
  <c r="AX245" i="31"/>
  <c r="AX252" i="1"/>
  <c r="AX444" i="1"/>
  <c r="AX248" i="31"/>
  <c r="AX252" i="31" s="1"/>
  <c r="AX177" i="1"/>
  <c r="AX142" i="1"/>
  <c r="AX10" i="12"/>
  <c r="AX75" i="12" s="1"/>
  <c r="I236" i="31"/>
  <c r="I374" i="1"/>
  <c r="I249" i="31"/>
  <c r="I487" i="1"/>
  <c r="I261" i="1"/>
  <c r="I14" i="12"/>
  <c r="I78" i="12"/>
  <c r="F91" i="12"/>
  <c r="AW82" i="1"/>
  <c r="AW102" i="1" s="1"/>
  <c r="AX89" i="1"/>
  <c r="AX82" i="1"/>
  <c r="AX102" i="1" s="1"/>
  <c r="F90" i="12"/>
  <c r="I77" i="12"/>
  <c r="F93" i="12"/>
  <c r="AX129" i="7"/>
  <c r="AX130" i="7" s="1"/>
  <c r="I80" i="12"/>
  <c r="I129" i="7" s="1"/>
  <c r="AI82" i="1"/>
  <c r="AI102" i="1" s="1"/>
  <c r="T82" i="1"/>
  <c r="T102" i="1" s="1"/>
  <c r="AV82" i="1"/>
  <c r="AV102" i="1" s="1"/>
  <c r="AE82" i="1"/>
  <c r="AE102" i="1" s="1"/>
  <c r="O82" i="1"/>
  <c r="O102" i="1" s="1"/>
  <c r="AH82" i="1"/>
  <c r="AH102" i="1" s="1"/>
  <c r="R82" i="1"/>
  <c r="R102" i="1" s="1"/>
  <c r="AM82" i="1"/>
  <c r="AM102" i="1" s="1"/>
  <c r="U82" i="1"/>
  <c r="U102" i="1" s="1"/>
  <c r="K73" i="12"/>
  <c r="I73" i="12" s="1"/>
  <c r="AX361" i="1"/>
  <c r="K30" i="12"/>
  <c r="K131" i="12" s="1"/>
  <c r="K142" i="1"/>
  <c r="I8" i="12"/>
  <c r="I141" i="1"/>
  <c r="K10" i="12"/>
  <c r="K75" i="12" s="1"/>
  <c r="K87" i="7"/>
  <c r="K88" i="7" s="1"/>
  <c r="F88" i="7" s="1"/>
  <c r="F152" i="7" s="1"/>
  <c r="F154" i="7" s="1"/>
  <c r="K9" i="34" s="1"/>
  <c r="F91" i="35" s="1"/>
  <c r="J91" i="35" s="1"/>
  <c r="I91" i="35" s="1"/>
  <c r="AB581" i="1" l="1"/>
  <c r="AB582" i="1" s="1"/>
  <c r="AB586" i="1" s="1"/>
  <c r="AB587" i="1" s="1"/>
  <c r="AC581" i="1"/>
  <c r="AC582" i="1" s="1"/>
  <c r="AC586" i="1" s="1"/>
  <c r="AJ573" i="1"/>
  <c r="AJ581" i="1" s="1"/>
  <c r="AJ582" i="1" s="1"/>
  <c r="AJ586" i="1" s="1"/>
  <c r="AJ587" i="1" s="1"/>
  <c r="AJ597" i="1" s="1"/>
  <c r="AI581" i="1"/>
  <c r="AI582" i="1" s="1"/>
  <c r="AI586" i="1" s="1"/>
  <c r="AI585" i="1"/>
  <c r="O581" i="1"/>
  <c r="O582" i="1" s="1"/>
  <c r="O586" i="1" s="1"/>
  <c r="N585" i="1"/>
  <c r="R573" i="1"/>
  <c r="AP581" i="1"/>
  <c r="AP582" i="1" s="1"/>
  <c r="AP586" i="1" s="1"/>
  <c r="AF585" i="1"/>
  <c r="AW585" i="1"/>
  <c r="AP585" i="1"/>
  <c r="AW581" i="1"/>
  <c r="AW582" i="1" s="1"/>
  <c r="AW586" i="1" s="1"/>
  <c r="T573" i="1"/>
  <c r="U581" i="1" s="1"/>
  <c r="U582" i="1" s="1"/>
  <c r="U586" i="1" s="1"/>
  <c r="AV585" i="1"/>
  <c r="U585" i="1"/>
  <c r="AO581" i="1"/>
  <c r="AO582" i="1" s="1"/>
  <c r="AO586" i="1" s="1"/>
  <c r="X573" i="1"/>
  <c r="X581" i="1" s="1"/>
  <c r="X582" i="1" s="1"/>
  <c r="X586" i="1" s="1"/>
  <c r="X587" i="1" s="1"/>
  <c r="X588" i="1" s="1"/>
  <c r="X740" i="1" s="1"/>
  <c r="X756" i="1" s="1"/>
  <c r="X19" i="7" s="1"/>
  <c r="X32" i="7" s="1"/>
  <c r="AG581" i="1"/>
  <c r="AG582" i="1" s="1"/>
  <c r="AG586" i="1" s="1"/>
  <c r="AU573" i="1"/>
  <c r="AV581" i="1" s="1"/>
  <c r="AV582" i="1" s="1"/>
  <c r="AV586" i="1" s="1"/>
  <c r="P573" i="1"/>
  <c r="P581" i="1" s="1"/>
  <c r="P582" i="1" s="1"/>
  <c r="P586" i="1" s="1"/>
  <c r="P587" i="1" s="1"/>
  <c r="P588" i="1" s="1"/>
  <c r="P740" i="1" s="1"/>
  <c r="P756" i="1" s="1"/>
  <c r="P19" i="7" s="1"/>
  <c r="P32" i="7" s="1"/>
  <c r="L585" i="1"/>
  <c r="Z573" i="1"/>
  <c r="AA581" i="1" s="1"/>
  <c r="AA582" i="1" s="1"/>
  <c r="AA586" i="1" s="1"/>
  <c r="AM585" i="1"/>
  <c r="V573" i="1"/>
  <c r="V581" i="1" s="1"/>
  <c r="V582" i="1" s="1"/>
  <c r="V586" i="1" s="1"/>
  <c r="V587" i="1" s="1"/>
  <c r="V588" i="1" s="1"/>
  <c r="V740" i="1" s="1"/>
  <c r="V756" i="1" s="1"/>
  <c r="V19" i="7" s="1"/>
  <c r="V32" i="7" s="1"/>
  <c r="AN585" i="1"/>
  <c r="AR573" i="1"/>
  <c r="AR581" i="1" s="1"/>
  <c r="AR582" i="1" s="1"/>
  <c r="AR586" i="1" s="1"/>
  <c r="AR587" i="1" s="1"/>
  <c r="AG585" i="1"/>
  <c r="L581" i="1"/>
  <c r="L582" i="1" s="1"/>
  <c r="L586" i="1" s="1"/>
  <c r="AQ581" i="1"/>
  <c r="AQ582" i="1" s="1"/>
  <c r="AQ586" i="1" s="1"/>
  <c r="AE573" i="1"/>
  <c r="AF581" i="1" s="1"/>
  <c r="AF582" i="1" s="1"/>
  <c r="AF586" i="1" s="1"/>
  <c r="AA585" i="1"/>
  <c r="AT585" i="1"/>
  <c r="AN581" i="1"/>
  <c r="AN582" i="1" s="1"/>
  <c r="AN586" i="1" s="1"/>
  <c r="K585" i="1"/>
  <c r="AH581" i="1"/>
  <c r="AH582" i="1" s="1"/>
  <c r="AH586" i="1" s="1"/>
  <c r="S573" i="1"/>
  <c r="W585" i="1"/>
  <c r="Y573" i="1"/>
  <c r="AO585" i="1"/>
  <c r="AQ585" i="1"/>
  <c r="AH585" i="1"/>
  <c r="K581" i="1"/>
  <c r="K582" i="1" s="1"/>
  <c r="K586" i="1" s="1"/>
  <c r="AS573" i="1"/>
  <c r="AT581" i="1" s="1"/>
  <c r="AT582" i="1" s="1"/>
  <c r="AT586" i="1" s="1"/>
  <c r="AD573" i="1"/>
  <c r="O585" i="1"/>
  <c r="M573" i="1"/>
  <c r="M581" i="1" s="1"/>
  <c r="AL573" i="1"/>
  <c r="AL581" i="1" s="1"/>
  <c r="AL582" i="1" s="1"/>
  <c r="AL586" i="1" s="1"/>
  <c r="AL587" i="1" s="1"/>
  <c r="AL597" i="1" s="1"/>
  <c r="Q573" i="1"/>
  <c r="AC585" i="1"/>
  <c r="AK585" i="1"/>
  <c r="G21" i="7"/>
  <c r="G33" i="7" s="1"/>
  <c r="G771" i="1"/>
  <c r="G219" i="12"/>
  <c r="G232" i="12" s="1"/>
  <c r="G186" i="12"/>
  <c r="G199" i="12" s="1"/>
  <c r="S188" i="5" s="1"/>
  <c r="G144" i="12"/>
  <c r="G93" i="12"/>
  <c r="G129" i="7"/>
  <c r="G762" i="1"/>
  <c r="G12" i="7"/>
  <c r="G25" i="7" s="1"/>
  <c r="G163" i="12"/>
  <c r="G161" i="12"/>
  <c r="G211" i="12"/>
  <c r="G224" i="12" s="1"/>
  <c r="G136" i="12"/>
  <c r="G178" i="12"/>
  <c r="G133" i="12"/>
  <c r="G766" i="1"/>
  <c r="G16" i="7"/>
  <c r="G29" i="7" s="1"/>
  <c r="G46" i="35"/>
  <c r="G49" i="35"/>
  <c r="G44" i="35"/>
  <c r="G51" i="35"/>
  <c r="G45" i="35"/>
  <c r="G41" i="35"/>
  <c r="G42" i="35"/>
  <c r="G47" i="35"/>
  <c r="G43" i="35"/>
  <c r="G48" i="35"/>
  <c r="G17" i="7"/>
  <c r="G30" i="7" s="1"/>
  <c r="G767" i="1"/>
  <c r="G139" i="12"/>
  <c r="G214" i="12"/>
  <c r="G227" i="12" s="1"/>
  <c r="G259" i="12" s="1"/>
  <c r="G181" i="12"/>
  <c r="G194" i="12" s="1"/>
  <c r="S183" i="5" s="1"/>
  <c r="G63" i="35"/>
  <c r="G61" i="35"/>
  <c r="S78" i="5"/>
  <c r="S73" i="5"/>
  <c r="G60" i="35"/>
  <c r="G59" i="35"/>
  <c r="S69" i="5"/>
  <c r="B70" i="5" s="1"/>
  <c r="G57" i="35"/>
  <c r="G62" i="35"/>
  <c r="S77" i="5"/>
  <c r="S71" i="5"/>
  <c r="S79" i="5"/>
  <c r="G66" i="35"/>
  <c r="S74" i="5"/>
  <c r="S75" i="5"/>
  <c r="G64" i="35"/>
  <c r="G58" i="35"/>
  <c r="G67" i="35"/>
  <c r="S76" i="5"/>
  <c r="S70" i="5"/>
  <c r="S72" i="5"/>
  <c r="G65" i="35"/>
  <c r="G18" i="7"/>
  <c r="G31" i="7" s="1"/>
  <c r="G768" i="1"/>
  <c r="G213" i="12"/>
  <c r="G226" i="12" s="1"/>
  <c r="G138" i="12"/>
  <c r="G180" i="12"/>
  <c r="G193" i="12" s="1"/>
  <c r="S182" i="5" s="1"/>
  <c r="G217" i="12"/>
  <c r="G230" i="12" s="1"/>
  <c r="G257" i="12" s="1"/>
  <c r="G184" i="12"/>
  <c r="G197" i="12" s="1"/>
  <c r="S186" i="5" s="1"/>
  <c r="G142" i="12"/>
  <c r="G162" i="12"/>
  <c r="G185" i="12"/>
  <c r="G198" i="12" s="1"/>
  <c r="S187" i="5" s="1"/>
  <c r="G218" i="12"/>
  <c r="G231" i="12" s="1"/>
  <c r="G258" i="12" s="1"/>
  <c r="G143" i="12"/>
  <c r="S99" i="5"/>
  <c r="G22" i="7"/>
  <c r="G772" i="1"/>
  <c r="G15" i="7"/>
  <c r="G28" i="7" s="1"/>
  <c r="G765" i="1"/>
  <c r="G215" i="12"/>
  <c r="G228" i="12" s="1"/>
  <c r="G182" i="12"/>
  <c r="G195" i="12" s="1"/>
  <c r="S184" i="5" s="1"/>
  <c r="G140" i="12"/>
  <c r="G216" i="12"/>
  <c r="G229" i="12" s="1"/>
  <c r="G256" i="12" s="1"/>
  <c r="G164" i="12"/>
  <c r="G183" i="12"/>
  <c r="G196" i="12" s="1"/>
  <c r="S185" i="5" s="1"/>
  <c r="G141" i="12"/>
  <c r="G764" i="1"/>
  <c r="G14" i="7"/>
  <c r="G27" i="7" s="1"/>
  <c r="G13" i="7"/>
  <c r="G763" i="1"/>
  <c r="G212" i="12"/>
  <c r="G225" i="12" s="1"/>
  <c r="G255" i="12" s="1"/>
  <c r="G137" i="12"/>
  <c r="G179" i="12"/>
  <c r="G192" i="12" s="1"/>
  <c r="S181" i="5" s="1"/>
  <c r="G770" i="1"/>
  <c r="G20" i="7"/>
  <c r="G769" i="1"/>
  <c r="G19" i="7"/>
  <c r="G32" i="7" s="1"/>
  <c r="O6" i="5"/>
  <c r="F42" i="35" s="1"/>
  <c r="J42" i="35" s="1"/>
  <c r="I42" i="35" s="1"/>
  <c r="AW128" i="1"/>
  <c r="AW55" i="12"/>
  <c r="AW186" i="12"/>
  <c r="AW19" i="12"/>
  <c r="AW84" i="12" s="1"/>
  <c r="I245" i="31"/>
  <c r="AW22" i="12"/>
  <c r="AW123" i="12" s="1"/>
  <c r="AW211" i="12" s="1"/>
  <c r="AX571" i="1"/>
  <c r="AX585" i="1" s="1"/>
  <c r="I570" i="1"/>
  <c r="I75" i="12"/>
  <c r="F111" i="12"/>
  <c r="P9" i="5" s="1"/>
  <c r="O9" i="5"/>
  <c r="F44" i="35" s="1"/>
  <c r="J44" i="35" s="1"/>
  <c r="I44" i="35" s="1"/>
  <c r="I483" i="1"/>
  <c r="I252" i="1"/>
  <c r="I177" i="1"/>
  <c r="I248" i="31"/>
  <c r="I444" i="1"/>
  <c r="I252" i="31"/>
  <c r="I30" i="12" s="1"/>
  <c r="AX30" i="12"/>
  <c r="AX131" i="12" s="1"/>
  <c r="F113" i="12"/>
  <c r="P11" i="5" s="1"/>
  <c r="O11" i="5"/>
  <c r="F46" i="35" s="1"/>
  <c r="J46" i="35" s="1"/>
  <c r="I46" i="35" s="1"/>
  <c r="F112" i="12"/>
  <c r="P10" i="5" s="1"/>
  <c r="O10" i="5"/>
  <c r="F45" i="35" s="1"/>
  <c r="J45" i="35" s="1"/>
  <c r="I45" i="35" s="1"/>
  <c r="F115" i="12"/>
  <c r="P13" i="5" s="1"/>
  <c r="O13" i="5"/>
  <c r="F48" i="35" s="1"/>
  <c r="J48" i="35" s="1"/>
  <c r="I48" i="35" s="1"/>
  <c r="F114" i="12"/>
  <c r="P12" i="5" s="1"/>
  <c r="O12" i="5"/>
  <c r="F47" i="35" s="1"/>
  <c r="J47" i="35" s="1"/>
  <c r="I47" i="35" s="1"/>
  <c r="AX778" i="1"/>
  <c r="AX19" i="12"/>
  <c r="AX84" i="12" s="1"/>
  <c r="AX128" i="1"/>
  <c r="AX22" i="12"/>
  <c r="AX123" i="12" s="1"/>
  <c r="AX211" i="12" s="1"/>
  <c r="AX55" i="12"/>
  <c r="F116" i="12"/>
  <c r="P14" i="5" s="1"/>
  <c r="O14" i="5"/>
  <c r="F49" i="35" s="1"/>
  <c r="J49" i="35" s="1"/>
  <c r="I49" i="35" s="1"/>
  <c r="F264" i="31"/>
  <c r="F266" i="31" s="1"/>
  <c r="F288" i="31" s="1"/>
  <c r="F290" i="31" s="1"/>
  <c r="K10" i="34" s="1"/>
  <c r="F92" i="35" s="1"/>
  <c r="J92" i="35" s="1"/>
  <c r="I92" i="35" s="1"/>
  <c r="F86" i="12"/>
  <c r="I361" i="1"/>
  <c r="I458" i="1" s="1"/>
  <c r="AX458" i="1"/>
  <c r="I360" i="1"/>
  <c r="I371" i="1" s="1"/>
  <c r="AX371" i="1"/>
  <c r="F88" i="12"/>
  <c r="I87" i="7"/>
  <c r="K55" i="12"/>
  <c r="AK581" i="1" l="1"/>
  <c r="AK582" i="1" s="1"/>
  <c r="AK586" i="1" s="1"/>
  <c r="AK587" i="1" s="1"/>
  <c r="AK588" i="1" s="1"/>
  <c r="AK740" i="1" s="1"/>
  <c r="AK756" i="1" s="1"/>
  <c r="AK19" i="7" s="1"/>
  <c r="AK32" i="7" s="1"/>
  <c r="G76" i="35"/>
  <c r="G72" i="35"/>
  <c r="G74" i="35"/>
  <c r="G73" i="35"/>
  <c r="G75" i="35"/>
  <c r="F107" i="12"/>
  <c r="P5" i="5" s="1"/>
  <c r="K587" i="1"/>
  <c r="K597" i="1" s="1"/>
  <c r="AN587" i="1"/>
  <c r="AN597" i="1" s="1"/>
  <c r="AI587" i="1"/>
  <c r="AI597" i="1" s="1"/>
  <c r="R581" i="1"/>
  <c r="R582" i="1" s="1"/>
  <c r="R586" i="1" s="1"/>
  <c r="R587" i="1" s="1"/>
  <c r="R588" i="1" s="1"/>
  <c r="R740" i="1" s="1"/>
  <c r="R756" i="1" s="1"/>
  <c r="R19" i="7" s="1"/>
  <c r="R32" i="7" s="1"/>
  <c r="S581" i="1"/>
  <c r="S582" i="1" s="1"/>
  <c r="S586" i="1" s="1"/>
  <c r="S587" i="1" s="1"/>
  <c r="S597" i="1" s="1"/>
  <c r="AW587" i="1"/>
  <c r="AW588" i="1" s="1"/>
  <c r="AW740" i="1" s="1"/>
  <c r="AW756" i="1" s="1"/>
  <c r="AW19" i="7" s="1"/>
  <c r="AW32" i="7" s="1"/>
  <c r="U587" i="1"/>
  <c r="U588" i="1" s="1"/>
  <c r="U740" i="1" s="1"/>
  <c r="U756" i="1" s="1"/>
  <c r="U19" i="7" s="1"/>
  <c r="U32" i="7" s="1"/>
  <c r="L587" i="1"/>
  <c r="L597" i="1" s="1"/>
  <c r="AF587" i="1"/>
  <c r="AF588" i="1" s="1"/>
  <c r="AF740" i="1" s="1"/>
  <c r="AF756" i="1" s="1"/>
  <c r="AF19" i="7" s="1"/>
  <c r="AF32" i="7" s="1"/>
  <c r="Q581" i="1"/>
  <c r="Q582" i="1" s="1"/>
  <c r="Q586" i="1" s="1"/>
  <c r="Q587" i="1" s="1"/>
  <c r="Q597" i="1" s="1"/>
  <c r="AG587" i="1"/>
  <c r="AG588" i="1" s="1"/>
  <c r="AG740" i="1" s="1"/>
  <c r="AG756" i="1" s="1"/>
  <c r="AG19" i="7" s="1"/>
  <c r="AG32" i="7" s="1"/>
  <c r="AP587" i="1"/>
  <c r="AP588" i="1" s="1"/>
  <c r="AP740" i="1" s="1"/>
  <c r="AP756" i="1" s="1"/>
  <c r="AP19" i="7" s="1"/>
  <c r="AP32" i="7" s="1"/>
  <c r="AV587" i="1"/>
  <c r="AV588" i="1" s="1"/>
  <c r="AV740" i="1" s="1"/>
  <c r="AV756" i="1" s="1"/>
  <c r="AV19" i="7" s="1"/>
  <c r="AV32" i="7" s="1"/>
  <c r="AE581" i="1"/>
  <c r="AE582" i="1" s="1"/>
  <c r="AE586" i="1" s="1"/>
  <c r="AE587" i="1" s="1"/>
  <c r="AE597" i="1" s="1"/>
  <c r="AU581" i="1"/>
  <c r="AU582" i="1" s="1"/>
  <c r="AU586" i="1" s="1"/>
  <c r="AU587" i="1" s="1"/>
  <c r="AU597" i="1" s="1"/>
  <c r="AT587" i="1"/>
  <c r="AT588" i="1" s="1"/>
  <c r="AT740" i="1" s="1"/>
  <c r="AT756" i="1" s="1"/>
  <c r="AT19" i="7" s="1"/>
  <c r="AT32" i="7" s="1"/>
  <c r="Z581" i="1"/>
  <c r="Z582" i="1" s="1"/>
  <c r="Z586" i="1" s="1"/>
  <c r="Z587" i="1" s="1"/>
  <c r="Z597" i="1" s="1"/>
  <c r="W581" i="1"/>
  <c r="W582" i="1" s="1"/>
  <c r="W586" i="1" s="1"/>
  <c r="W587" i="1" s="1"/>
  <c r="W588" i="1" s="1"/>
  <c r="W740" i="1" s="1"/>
  <c r="W756" i="1" s="1"/>
  <c r="W19" i="7" s="1"/>
  <c r="W32" i="7" s="1"/>
  <c r="AA587" i="1"/>
  <c r="AA588" i="1" s="1"/>
  <c r="AA740" i="1" s="1"/>
  <c r="AA756" i="1" s="1"/>
  <c r="AA19" i="7" s="1"/>
  <c r="AA32" i="7" s="1"/>
  <c r="Y581" i="1"/>
  <c r="Y582" i="1" s="1"/>
  <c r="Y586" i="1" s="1"/>
  <c r="Y587" i="1" s="1"/>
  <c r="Y588" i="1" s="1"/>
  <c r="Y740" i="1" s="1"/>
  <c r="Y756" i="1" s="1"/>
  <c r="Y19" i="7" s="1"/>
  <c r="Y32" i="7" s="1"/>
  <c r="AH587" i="1"/>
  <c r="AH588" i="1" s="1"/>
  <c r="AH740" i="1" s="1"/>
  <c r="AH756" i="1" s="1"/>
  <c r="AH19" i="7" s="1"/>
  <c r="AH32" i="7" s="1"/>
  <c r="T581" i="1"/>
  <c r="T582" i="1" s="1"/>
  <c r="T586" i="1" s="1"/>
  <c r="T587" i="1" s="1"/>
  <c r="T597" i="1" s="1"/>
  <c r="AO587" i="1"/>
  <c r="AO597" i="1" s="1"/>
  <c r="AQ587" i="1"/>
  <c r="AQ597" i="1" s="1"/>
  <c r="N581" i="1"/>
  <c r="N582" i="1" s="1"/>
  <c r="N586" i="1" s="1"/>
  <c r="N587" i="1" s="1"/>
  <c r="N588" i="1" s="1"/>
  <c r="N740" i="1" s="1"/>
  <c r="N756" i="1" s="1"/>
  <c r="N19" i="7" s="1"/>
  <c r="N32" i="7" s="1"/>
  <c r="AM581" i="1"/>
  <c r="AM582" i="1" s="1"/>
  <c r="AM586" i="1" s="1"/>
  <c r="AM587" i="1" s="1"/>
  <c r="AM597" i="1" s="1"/>
  <c r="AS581" i="1"/>
  <c r="AS582" i="1" s="1"/>
  <c r="AS586" i="1" s="1"/>
  <c r="AS587" i="1" s="1"/>
  <c r="AS597" i="1" s="1"/>
  <c r="AD581" i="1"/>
  <c r="AD582" i="1" s="1"/>
  <c r="AD586" i="1" s="1"/>
  <c r="AD587" i="1" s="1"/>
  <c r="AD588" i="1" s="1"/>
  <c r="AD740" i="1" s="1"/>
  <c r="AD756" i="1" s="1"/>
  <c r="AD19" i="7" s="1"/>
  <c r="AD32" i="7" s="1"/>
  <c r="O587" i="1"/>
  <c r="O597" i="1" s="1"/>
  <c r="AC587" i="1"/>
  <c r="AC588" i="1" s="1"/>
  <c r="AC740" i="1" s="1"/>
  <c r="AC756" i="1" s="1"/>
  <c r="AC19" i="7" s="1"/>
  <c r="AC32" i="7" s="1"/>
  <c r="G264" i="12"/>
  <c r="G280" i="12"/>
  <c r="G293" i="12" s="1"/>
  <c r="G238" i="12"/>
  <c r="G234" i="12"/>
  <c r="G242" i="12"/>
  <c r="G284" i="12"/>
  <c r="G297" i="12" s="1"/>
  <c r="G265" i="12"/>
  <c r="S102" i="5"/>
  <c r="B99" i="5"/>
  <c r="G188" i="12"/>
  <c r="G191" i="12"/>
  <c r="S180" i="5" s="1"/>
  <c r="G26" i="7"/>
  <c r="F8" i="7"/>
  <c r="G285" i="12"/>
  <c r="G298" i="12" s="1"/>
  <c r="G243" i="12"/>
  <c r="G262" i="12"/>
  <c r="G279" i="12"/>
  <c r="G237" i="12"/>
  <c r="G283" i="12"/>
  <c r="G296" i="12" s="1"/>
  <c r="G241" i="12"/>
  <c r="G263" i="12"/>
  <c r="G244" i="12"/>
  <c r="G286" i="12"/>
  <c r="G299" i="12" s="1"/>
  <c r="G239" i="12"/>
  <c r="G281" i="12"/>
  <c r="G294" i="12" s="1"/>
  <c r="G245" i="12"/>
  <c r="G287" i="12"/>
  <c r="G300" i="12" s="1"/>
  <c r="G240" i="12"/>
  <c r="G282" i="12"/>
  <c r="G295" i="12" s="1"/>
  <c r="AW161" i="12"/>
  <c r="AW178" i="12"/>
  <c r="X597" i="1"/>
  <c r="AL588" i="1"/>
  <c r="AL740" i="1" s="1"/>
  <c r="AL756" i="1" s="1"/>
  <c r="AL19" i="7" s="1"/>
  <c r="AL32" i="7" s="1"/>
  <c r="AJ588" i="1"/>
  <c r="AJ740" i="1" s="1"/>
  <c r="AJ756" i="1" s="1"/>
  <c r="AJ19" i="7" s="1"/>
  <c r="AJ32" i="7" s="1"/>
  <c r="P597" i="1"/>
  <c r="AX573" i="1"/>
  <c r="AX581" i="1" s="1"/>
  <c r="AX582" i="1" s="1"/>
  <c r="AX586" i="1" s="1"/>
  <c r="AX587" i="1" s="1"/>
  <c r="AX597" i="1" s="1"/>
  <c r="I571" i="1"/>
  <c r="I585" i="1" s="1"/>
  <c r="V597" i="1"/>
  <c r="AB588" i="1"/>
  <c r="AB740" i="1" s="1"/>
  <c r="AB756" i="1" s="1"/>
  <c r="AB19" i="7" s="1"/>
  <c r="AB32" i="7" s="1"/>
  <c r="AB597" i="1"/>
  <c r="AR597" i="1"/>
  <c r="AR588" i="1"/>
  <c r="AR740" i="1" s="1"/>
  <c r="AR756" i="1" s="1"/>
  <c r="AR19" i="7" s="1"/>
  <c r="AR32" i="7" s="1"/>
  <c r="F43" i="12"/>
  <c r="AX178" i="12"/>
  <c r="AX161" i="12"/>
  <c r="AX186" i="12"/>
  <c r="AX219" i="12"/>
  <c r="K219" i="12"/>
  <c r="K186" i="12"/>
  <c r="O5" i="5"/>
  <c r="F41" i="35" s="1"/>
  <c r="J41" i="35" s="1"/>
  <c r="I41" i="35" s="1"/>
  <c r="F109" i="12"/>
  <c r="P7" i="5" s="1"/>
  <c r="K128" i="1"/>
  <c r="K778" i="1"/>
  <c r="O7" i="5"/>
  <c r="F43" i="35" s="1"/>
  <c r="J43" i="35" s="1"/>
  <c r="I43" i="35" s="1"/>
  <c r="I142" i="1"/>
  <c r="I10" i="12"/>
  <c r="F144" i="12"/>
  <c r="I131" i="12"/>
  <c r="I219" i="12" s="1"/>
  <c r="K22" i="12"/>
  <c r="K19" i="12"/>
  <c r="K84" i="12" s="1"/>
  <c r="I55" i="12"/>
  <c r="K588" i="1" l="1"/>
  <c r="K740" i="1" s="1"/>
  <c r="K756" i="1" s="1"/>
  <c r="K19" i="7" s="1"/>
  <c r="K32" i="7" s="1"/>
  <c r="AN588" i="1"/>
  <c r="AN740" i="1" s="1"/>
  <c r="AN756" i="1" s="1"/>
  <c r="AN19" i="7" s="1"/>
  <c r="AN32" i="7" s="1"/>
  <c r="AW597" i="1"/>
  <c r="AI588" i="1"/>
  <c r="AI740" i="1" s="1"/>
  <c r="AI756" i="1" s="1"/>
  <c r="AI19" i="7" s="1"/>
  <c r="AI32" i="7" s="1"/>
  <c r="S588" i="1"/>
  <c r="S740" i="1" s="1"/>
  <c r="S756" i="1" s="1"/>
  <c r="S19" i="7" s="1"/>
  <c r="S32" i="7" s="1"/>
  <c r="AF597" i="1"/>
  <c r="R597" i="1"/>
  <c r="L588" i="1"/>
  <c r="L740" i="1" s="1"/>
  <c r="L756" i="1" s="1"/>
  <c r="L19" i="7" s="1"/>
  <c r="L32" i="7" s="1"/>
  <c r="AG597" i="1"/>
  <c r="Q588" i="1"/>
  <c r="Q740" i="1" s="1"/>
  <c r="Q756" i="1" s="1"/>
  <c r="Q19" i="7" s="1"/>
  <c r="Q32" i="7" s="1"/>
  <c r="U597" i="1"/>
  <c r="AP597" i="1"/>
  <c r="AQ588" i="1"/>
  <c r="AQ740" i="1" s="1"/>
  <c r="AQ756" i="1" s="1"/>
  <c r="AQ19" i="7" s="1"/>
  <c r="AQ32" i="7" s="1"/>
  <c r="AE588" i="1"/>
  <c r="AE740" i="1" s="1"/>
  <c r="AE756" i="1" s="1"/>
  <c r="AE19" i="7" s="1"/>
  <c r="AE32" i="7" s="1"/>
  <c r="W597" i="1"/>
  <c r="AV597" i="1"/>
  <c r="Z588" i="1"/>
  <c r="Z740" i="1" s="1"/>
  <c r="Z756" i="1" s="1"/>
  <c r="Z19" i="7" s="1"/>
  <c r="Z32" i="7" s="1"/>
  <c r="AU588" i="1"/>
  <c r="AU740" i="1" s="1"/>
  <c r="AU756" i="1" s="1"/>
  <c r="AU19" i="7" s="1"/>
  <c r="AU32" i="7" s="1"/>
  <c r="AT597" i="1"/>
  <c r="AA597" i="1"/>
  <c r="Y597" i="1"/>
  <c r="AH597" i="1"/>
  <c r="T588" i="1"/>
  <c r="T740" i="1" s="1"/>
  <c r="T756" i="1" s="1"/>
  <c r="T19" i="7" s="1"/>
  <c r="T32" i="7" s="1"/>
  <c r="O588" i="1"/>
  <c r="O740" i="1" s="1"/>
  <c r="O756" i="1" s="1"/>
  <c r="O19" i="7" s="1"/>
  <c r="O32" i="7" s="1"/>
  <c r="AO588" i="1"/>
  <c r="AO740" i="1" s="1"/>
  <c r="AO756" i="1" s="1"/>
  <c r="AO19" i="7" s="1"/>
  <c r="AO32" i="7" s="1"/>
  <c r="AM588" i="1"/>
  <c r="AM740" i="1" s="1"/>
  <c r="AM756" i="1" s="1"/>
  <c r="AM19" i="7" s="1"/>
  <c r="AM32" i="7" s="1"/>
  <c r="AS588" i="1"/>
  <c r="AS740" i="1" s="1"/>
  <c r="AS756" i="1" s="1"/>
  <c r="AS19" i="7" s="1"/>
  <c r="AS32" i="7" s="1"/>
  <c r="N597" i="1"/>
  <c r="AD597" i="1"/>
  <c r="AC597" i="1"/>
  <c r="AK597" i="1"/>
  <c r="G289" i="12"/>
  <c r="G292" i="12"/>
  <c r="I573" i="1"/>
  <c r="AY581" i="1"/>
  <c r="M582" i="1" s="1"/>
  <c r="M586" i="1" s="1"/>
  <c r="M587" i="1" s="1"/>
  <c r="M597" i="1" s="1"/>
  <c r="AX588" i="1"/>
  <c r="F199" i="12"/>
  <c r="T188" i="5" s="1"/>
  <c r="I128" i="1"/>
  <c r="I778" i="1"/>
  <c r="I19" i="12"/>
  <c r="I22" i="12"/>
  <c r="F97" i="12"/>
  <c r="F99" i="12" s="1"/>
  <c r="I84" i="12"/>
  <c r="F35" i="12"/>
  <c r="F48" i="12"/>
  <c r="K57" i="12"/>
  <c r="K61" i="12" s="1"/>
  <c r="K123" i="12"/>
  <c r="BH582" i="1" l="1"/>
  <c r="BE582" i="1"/>
  <c r="BB582" i="1"/>
  <c r="BF582" i="1"/>
  <c r="BA582" i="1"/>
  <c r="BD582" i="1"/>
  <c r="BG582" i="1"/>
  <c r="BC582" i="1"/>
  <c r="AZ582" i="1"/>
  <c r="AY582" i="1"/>
  <c r="I581" i="1"/>
  <c r="M588" i="1"/>
  <c r="M740" i="1" s="1"/>
  <c r="M756" i="1" s="1"/>
  <c r="M19" i="7" s="1"/>
  <c r="M32" i="7" s="1"/>
  <c r="I587" i="1"/>
  <c r="I597" i="1" s="1"/>
  <c r="AX740" i="1"/>
  <c r="AX756" i="1" s="1"/>
  <c r="AX19" i="7" s="1"/>
  <c r="K211" i="12"/>
  <c r="K178" i="12"/>
  <c r="F191" i="12" s="1"/>
  <c r="O16" i="5"/>
  <c r="F118" i="12"/>
  <c r="L57" i="12"/>
  <c r="F136" i="12"/>
  <c r="I123" i="12"/>
  <c r="I211" i="12" s="1"/>
  <c r="F154" i="12"/>
  <c r="G5" i="5" s="1"/>
  <c r="K161" i="12"/>
  <c r="K163" i="12" s="1"/>
  <c r="F314" i="12"/>
  <c r="I582" i="1" l="1"/>
  <c r="I586" i="1" s="1"/>
  <c r="I588" i="1"/>
  <c r="I740" i="1" s="1"/>
  <c r="AX32" i="7"/>
  <c r="F67" i="7"/>
  <c r="I756" i="1"/>
  <c r="I19" i="7" s="1"/>
  <c r="I32" i="7" s="1"/>
  <c r="F769" i="1"/>
  <c r="O27" i="5" s="1"/>
  <c r="F51" i="35"/>
  <c r="J51" i="35" s="1"/>
  <c r="I51" i="35" s="1"/>
  <c r="P16" i="5"/>
  <c r="F120" i="12"/>
  <c r="F315" i="12" s="1"/>
  <c r="T180" i="5"/>
  <c r="M57" i="12"/>
  <c r="M61" i="12" s="1"/>
  <c r="L61" i="12"/>
  <c r="L163" i="12"/>
  <c r="L167" i="12" s="1"/>
  <c r="K167" i="12"/>
  <c r="I161" i="12"/>
  <c r="T76" i="5" l="1"/>
  <c r="F63" i="35"/>
  <c r="N57" i="12"/>
  <c r="N61" i="12" s="1"/>
  <c r="M163" i="12"/>
  <c r="M167" i="12" s="1"/>
  <c r="O57" i="12" l="1"/>
  <c r="O61" i="12" s="1"/>
  <c r="N163" i="12"/>
  <c r="N167" i="12" s="1"/>
  <c r="P57" i="12" l="1"/>
  <c r="P61" i="12" s="1"/>
  <c r="O163" i="12"/>
  <c r="O167" i="12" s="1"/>
  <c r="F144" i="1"/>
  <c r="E148" i="1" s="1"/>
  <c r="AV92" i="1" l="1"/>
  <c r="AX92" i="1"/>
  <c r="AU92" i="1"/>
  <c r="AW92" i="1"/>
  <c r="K84" i="1"/>
  <c r="L84" i="1" s="1"/>
  <c r="M84" i="1" s="1"/>
  <c r="N84" i="1" s="1"/>
  <c r="O84" i="1" s="1"/>
  <c r="P84" i="1" s="1"/>
  <c r="Q84" i="1" s="1"/>
  <c r="R84" i="1" s="1"/>
  <c r="S84" i="1" s="1"/>
  <c r="T84" i="1" s="1"/>
  <c r="U84" i="1" s="1"/>
  <c r="Q57" i="12"/>
  <c r="Q61" i="12" s="1"/>
  <c r="P163" i="12"/>
  <c r="P167" i="12" s="1"/>
  <c r="L148" i="1"/>
  <c r="M148" i="1"/>
  <c r="N148" i="1"/>
  <c r="P148" i="1"/>
  <c r="O148" i="1"/>
  <c r="Q148" i="1"/>
  <c r="R148" i="1"/>
  <c r="S148" i="1"/>
  <c r="T148" i="1"/>
  <c r="U148" i="1"/>
  <c r="V148" i="1"/>
  <c r="X148" i="1"/>
  <c r="W148" i="1"/>
  <c r="Y148" i="1"/>
  <c r="AA148" i="1"/>
  <c r="Z148" i="1"/>
  <c r="AB148" i="1"/>
  <c r="AC148" i="1"/>
  <c r="AD148" i="1"/>
  <c r="AF148" i="1"/>
  <c r="AE148" i="1"/>
  <c r="AH148" i="1"/>
  <c r="AG148" i="1"/>
  <c r="AI148" i="1"/>
  <c r="AK148" i="1"/>
  <c r="AJ148" i="1"/>
  <c r="AL148" i="1"/>
  <c r="AM148" i="1"/>
  <c r="AN148" i="1"/>
  <c r="AO148" i="1"/>
  <c r="AP148" i="1"/>
  <c r="AQ148" i="1"/>
  <c r="AR148" i="1"/>
  <c r="AS148" i="1"/>
  <c r="AU148" i="1"/>
  <c r="AT148" i="1"/>
  <c r="AV148" i="1"/>
  <c r="AW148" i="1"/>
  <c r="AX148" i="1"/>
  <c r="K148" i="1"/>
  <c r="K174" i="1" s="1"/>
  <c r="K178" i="1" s="1"/>
  <c r="K179" i="1" s="1"/>
  <c r="L364" i="1"/>
  <c r="L367" i="1" s="1"/>
  <c r="M364" i="1"/>
  <c r="M367" i="1" s="1"/>
  <c r="N364" i="1"/>
  <c r="N367" i="1" s="1"/>
  <c r="O364" i="1"/>
  <c r="O367" i="1" s="1"/>
  <c r="P364" i="1"/>
  <c r="P367" i="1" s="1"/>
  <c r="Q364" i="1"/>
  <c r="Q367" i="1" s="1"/>
  <c r="R364" i="1"/>
  <c r="R367" i="1" s="1"/>
  <c r="S364" i="1"/>
  <c r="S367" i="1" s="1"/>
  <c r="T364" i="1"/>
  <c r="T367" i="1" s="1"/>
  <c r="U364" i="1"/>
  <c r="U367" i="1" s="1"/>
  <c r="V364" i="1"/>
  <c r="V367" i="1" s="1"/>
  <c r="X364" i="1"/>
  <c r="X367" i="1" s="1"/>
  <c r="Y364" i="1"/>
  <c r="Y367" i="1" s="1"/>
  <c r="Z364" i="1"/>
  <c r="Z367" i="1" s="1"/>
  <c r="AA364" i="1"/>
  <c r="AA367" i="1" s="1"/>
  <c r="AB364" i="1"/>
  <c r="AB367" i="1" s="1"/>
  <c r="AC364" i="1"/>
  <c r="AC367" i="1" s="1"/>
  <c r="AD364" i="1"/>
  <c r="AD367" i="1" s="1"/>
  <c r="AE364" i="1"/>
  <c r="AE367" i="1" s="1"/>
  <c r="AF364" i="1"/>
  <c r="AF367" i="1" s="1"/>
  <c r="AG364" i="1"/>
  <c r="AG367" i="1" s="1"/>
  <c r="AH364" i="1"/>
  <c r="AH367" i="1" s="1"/>
  <c r="AI364" i="1"/>
  <c r="AI367" i="1" s="1"/>
  <c r="AJ364" i="1"/>
  <c r="AJ367" i="1" s="1"/>
  <c r="AK364" i="1"/>
  <c r="AK367" i="1" s="1"/>
  <c r="AL364" i="1"/>
  <c r="AL367" i="1" s="1"/>
  <c r="AM364" i="1"/>
  <c r="AM367" i="1" s="1"/>
  <c r="AN364" i="1"/>
  <c r="AN367" i="1" s="1"/>
  <c r="AO364" i="1"/>
  <c r="AO367" i="1" s="1"/>
  <c r="AP364" i="1"/>
  <c r="AP367" i="1" s="1"/>
  <c r="AQ364" i="1"/>
  <c r="AQ367" i="1" s="1"/>
  <c r="AR364" i="1"/>
  <c r="AR367" i="1" s="1"/>
  <c r="AS364" i="1"/>
  <c r="AS367" i="1" s="1"/>
  <c r="AT364" i="1"/>
  <c r="AT367" i="1" s="1"/>
  <c r="AU364" i="1"/>
  <c r="AU367" i="1" s="1"/>
  <c r="AV364" i="1"/>
  <c r="AV367" i="1" s="1"/>
  <c r="AW364" i="1"/>
  <c r="AW367" i="1" s="1"/>
  <c r="AX364" i="1"/>
  <c r="AX367" i="1" s="1"/>
  <c r="I82" i="1"/>
  <c r="I102" i="1" s="1"/>
  <c r="F85" i="1"/>
  <c r="AV464" i="1" l="1"/>
  <c r="AV174" i="1"/>
  <c r="AR492" i="1"/>
  <c r="AR174" i="1"/>
  <c r="AN464" i="1"/>
  <c r="AN174" i="1"/>
  <c r="AK492" i="1"/>
  <c r="AK174" i="1"/>
  <c r="AE464" i="1"/>
  <c r="AE174" i="1"/>
  <c r="AB464" i="1"/>
  <c r="AB174" i="1"/>
  <c r="W464" i="1"/>
  <c r="W174" i="1"/>
  <c r="T492" i="1"/>
  <c r="T174" i="1"/>
  <c r="O492" i="1"/>
  <c r="O174" i="1"/>
  <c r="L464" i="1"/>
  <c r="L174" i="1"/>
  <c r="AT464" i="1"/>
  <c r="AT174" i="1"/>
  <c r="AQ464" i="1"/>
  <c r="AQ174" i="1"/>
  <c r="AM492" i="1"/>
  <c r="AM174" i="1"/>
  <c r="AI492" i="1"/>
  <c r="AI174" i="1"/>
  <c r="AF492" i="1"/>
  <c r="AF174" i="1"/>
  <c r="Z464" i="1"/>
  <c r="Z174" i="1"/>
  <c r="X492" i="1"/>
  <c r="X174" i="1"/>
  <c r="S464" i="1"/>
  <c r="S174" i="1"/>
  <c r="P492" i="1"/>
  <c r="P174" i="1"/>
  <c r="AX464" i="1"/>
  <c r="AX174" i="1"/>
  <c r="AU492" i="1"/>
  <c r="AU174" i="1"/>
  <c r="AP464" i="1"/>
  <c r="AP174" i="1"/>
  <c r="AL492" i="1"/>
  <c r="AL174" i="1"/>
  <c r="AG464" i="1"/>
  <c r="AG174" i="1"/>
  <c r="AD492" i="1"/>
  <c r="AD174" i="1"/>
  <c r="AA492" i="1"/>
  <c r="AA174" i="1"/>
  <c r="V492" i="1"/>
  <c r="V174" i="1"/>
  <c r="R492" i="1"/>
  <c r="R174" i="1"/>
  <c r="N492" i="1"/>
  <c r="N174" i="1"/>
  <c r="AW492" i="1"/>
  <c r="AW174" i="1"/>
  <c r="AS464" i="1"/>
  <c r="AS174" i="1"/>
  <c r="AO464" i="1"/>
  <c r="AO174" i="1"/>
  <c r="AJ464" i="1"/>
  <c r="AJ174" i="1"/>
  <c r="AH464" i="1"/>
  <c r="AH174" i="1"/>
  <c r="AC464" i="1"/>
  <c r="AC174" i="1"/>
  <c r="Y464" i="1"/>
  <c r="Y174" i="1"/>
  <c r="U464" i="1"/>
  <c r="U174" i="1"/>
  <c r="Q464" i="1"/>
  <c r="Q174" i="1"/>
  <c r="M464" i="1"/>
  <c r="M174" i="1"/>
  <c r="V84" i="1"/>
  <c r="W84" i="1" s="1"/>
  <c r="X84" i="1" s="1"/>
  <c r="Y84" i="1" s="1"/>
  <c r="U89" i="1"/>
  <c r="AE733" i="1"/>
  <c r="N733" i="1"/>
  <c r="AD733" i="1"/>
  <c r="AS733" i="1"/>
  <c r="AK733" i="1"/>
  <c r="AC733" i="1"/>
  <c r="U733" i="1"/>
  <c r="M733" i="1"/>
  <c r="AM733" i="1"/>
  <c r="O733" i="1"/>
  <c r="AR733" i="1"/>
  <c r="AJ733" i="1"/>
  <c r="AB733" i="1"/>
  <c r="T733" i="1"/>
  <c r="L733" i="1"/>
  <c r="AQ733" i="1"/>
  <c r="AI733" i="1"/>
  <c r="AA733" i="1"/>
  <c r="S733" i="1"/>
  <c r="AL733" i="1"/>
  <c r="AX733" i="1"/>
  <c r="AP733" i="1"/>
  <c r="AH733" i="1"/>
  <c r="Z733" i="1"/>
  <c r="R733" i="1"/>
  <c r="AU733" i="1"/>
  <c r="AT733" i="1"/>
  <c r="AW733" i="1"/>
  <c r="AO733" i="1"/>
  <c r="AG733" i="1"/>
  <c r="Y733" i="1"/>
  <c r="Q733" i="1"/>
  <c r="V733" i="1"/>
  <c r="AV733" i="1"/>
  <c r="AN733" i="1"/>
  <c r="AF733" i="1"/>
  <c r="X733" i="1"/>
  <c r="P733" i="1"/>
  <c r="Q163" i="12"/>
  <c r="Q167" i="12" s="1"/>
  <c r="R57" i="12"/>
  <c r="R61" i="12" s="1"/>
  <c r="K364" i="1"/>
  <c r="K367" i="1" s="1"/>
  <c r="AT264" i="1"/>
  <c r="AL264" i="1"/>
  <c r="AD264" i="1"/>
  <c r="V264" i="1"/>
  <c r="N264" i="1"/>
  <c r="AW264" i="1"/>
  <c r="AO264" i="1"/>
  <c r="AG264" i="1"/>
  <c r="Y264" i="1"/>
  <c r="Q264" i="1"/>
  <c r="AV264" i="1"/>
  <c r="AR264" i="1"/>
  <c r="AN264" i="1"/>
  <c r="AJ264" i="1"/>
  <c r="AF264" i="1"/>
  <c r="AB264" i="1"/>
  <c r="X264" i="1"/>
  <c r="T264" i="1"/>
  <c r="P264" i="1"/>
  <c r="L264" i="1"/>
  <c r="AX264" i="1"/>
  <c r="AP264" i="1"/>
  <c r="AH264" i="1"/>
  <c r="Z264" i="1"/>
  <c r="R264" i="1"/>
  <c r="AS264" i="1"/>
  <c r="AK264" i="1"/>
  <c r="AC264" i="1"/>
  <c r="U264" i="1"/>
  <c r="M264" i="1"/>
  <c r="AU264" i="1"/>
  <c r="AQ264" i="1"/>
  <c r="AM264" i="1"/>
  <c r="AI264" i="1"/>
  <c r="AE264" i="1"/>
  <c r="AA264" i="1"/>
  <c r="S264" i="1"/>
  <c r="O264" i="1"/>
  <c r="W364" i="1"/>
  <c r="W367" i="1" s="1"/>
  <c r="K492" i="1"/>
  <c r="I148" i="1"/>
  <c r="Y734" i="1" l="1"/>
  <c r="Y750" i="1" s="1"/>
  <c r="Y13" i="7" s="1"/>
  <c r="Y26" i="7" s="1"/>
  <c r="Y178" i="1"/>
  <c r="Y179" i="1" s="1"/>
  <c r="AO734" i="1"/>
  <c r="AO750" i="1" s="1"/>
  <c r="AO13" i="7" s="1"/>
  <c r="AO26" i="7" s="1"/>
  <c r="AO178" i="1"/>
  <c r="AO179" i="1" s="1"/>
  <c r="R178" i="1"/>
  <c r="R179" i="1" s="1"/>
  <c r="R257" i="1" s="1"/>
  <c r="AG178" i="1"/>
  <c r="AG179" i="1" s="1"/>
  <c r="AG257" i="1" s="1"/>
  <c r="AX178" i="1"/>
  <c r="AX179" i="1" s="1"/>
  <c r="AX257" i="1" s="1"/>
  <c r="Z734" i="1"/>
  <c r="Z750" i="1" s="1"/>
  <c r="Z13" i="7" s="1"/>
  <c r="Z26" i="7" s="1"/>
  <c r="Z178" i="1"/>
  <c r="Z179" i="1" s="1"/>
  <c r="AQ178" i="1"/>
  <c r="AQ179" i="1" s="1"/>
  <c r="AQ257" i="1" s="1"/>
  <c r="T734" i="1"/>
  <c r="T750" i="1" s="1"/>
  <c r="T13" i="7" s="1"/>
  <c r="T26" i="7" s="1"/>
  <c r="T178" i="1"/>
  <c r="T179" i="1" s="1"/>
  <c r="AK734" i="1"/>
  <c r="AK750" i="1" s="1"/>
  <c r="AK13" i="7" s="1"/>
  <c r="AK26" i="7" s="1"/>
  <c r="AK178" i="1"/>
  <c r="AK179" i="1" s="1"/>
  <c r="M447" i="1"/>
  <c r="M450" i="1" s="1"/>
  <c r="M463" i="1" s="1"/>
  <c r="M178" i="1"/>
  <c r="M179" i="1" s="1"/>
  <c r="AC447" i="1"/>
  <c r="AC450" i="1" s="1"/>
  <c r="AC463" i="1" s="1"/>
  <c r="AC178" i="1"/>
  <c r="AC179" i="1" s="1"/>
  <c r="AS447" i="1"/>
  <c r="AS450" i="1" s="1"/>
  <c r="AS463" i="1" s="1"/>
  <c r="AS178" i="1"/>
  <c r="AS179" i="1" s="1"/>
  <c r="V734" i="1"/>
  <c r="V750" i="1" s="1"/>
  <c r="V13" i="7" s="1"/>
  <c r="V26" i="7" s="1"/>
  <c r="V178" i="1"/>
  <c r="V179" i="1" s="1"/>
  <c r="AL447" i="1"/>
  <c r="AL450" i="1" s="1"/>
  <c r="AL463" i="1" s="1"/>
  <c r="AL178" i="1"/>
  <c r="AL179" i="1" s="1"/>
  <c r="P178" i="1"/>
  <c r="P179" i="1" s="1"/>
  <c r="P257" i="1" s="1"/>
  <c r="AF734" i="1"/>
  <c r="AF750" i="1" s="1"/>
  <c r="AF13" i="7" s="1"/>
  <c r="AF26" i="7" s="1"/>
  <c r="AF178" i="1"/>
  <c r="AF179" i="1" s="1"/>
  <c r="AT734" i="1"/>
  <c r="AT750" i="1" s="1"/>
  <c r="AT13" i="7" s="1"/>
  <c r="AT26" i="7" s="1"/>
  <c r="AT178" i="1"/>
  <c r="AT179" i="1" s="1"/>
  <c r="W734" i="1"/>
  <c r="W750" i="1" s="1"/>
  <c r="W13" i="7" s="1"/>
  <c r="W26" i="7" s="1"/>
  <c r="W178" i="1"/>
  <c r="W179" i="1" s="1"/>
  <c r="AN734" i="1"/>
  <c r="AN750" i="1" s="1"/>
  <c r="AN13" i="7" s="1"/>
  <c r="AN26" i="7" s="1"/>
  <c r="AN178" i="1"/>
  <c r="AN179" i="1" s="1"/>
  <c r="Q734" i="1"/>
  <c r="Q750" i="1" s="1"/>
  <c r="Q13" i="7" s="1"/>
  <c r="Q26" i="7" s="1"/>
  <c r="Q178" i="1"/>
  <c r="Q179" i="1" s="1"/>
  <c r="AH734" i="1"/>
  <c r="AH750" i="1" s="1"/>
  <c r="AH13" i="7" s="1"/>
  <c r="AH26" i="7" s="1"/>
  <c r="AH178" i="1"/>
  <c r="AH179" i="1" s="1"/>
  <c r="AW734" i="1"/>
  <c r="AW750" i="1" s="1"/>
  <c r="AW13" i="7" s="1"/>
  <c r="AW26" i="7" s="1"/>
  <c r="AW178" i="1"/>
  <c r="AW179" i="1" s="1"/>
  <c r="AA734" i="1"/>
  <c r="AA750" i="1" s="1"/>
  <c r="AA13" i="7" s="1"/>
  <c r="AA26" i="7" s="1"/>
  <c r="AA178" i="1"/>
  <c r="AA179" i="1" s="1"/>
  <c r="AP734" i="1"/>
  <c r="AP750" i="1" s="1"/>
  <c r="AP13" i="7" s="1"/>
  <c r="AP26" i="7" s="1"/>
  <c r="AP178" i="1"/>
  <c r="AP179" i="1" s="1"/>
  <c r="S734" i="1"/>
  <c r="S750" i="1" s="1"/>
  <c r="S13" i="7" s="1"/>
  <c r="S26" i="7" s="1"/>
  <c r="S178" i="1"/>
  <c r="S179" i="1" s="1"/>
  <c r="AI734" i="1"/>
  <c r="AI750" i="1" s="1"/>
  <c r="AI13" i="7" s="1"/>
  <c r="AI26" i="7" s="1"/>
  <c r="AI178" i="1"/>
  <c r="AI179" i="1" s="1"/>
  <c r="L734" i="1"/>
  <c r="L750" i="1" s="1"/>
  <c r="L13" i="7" s="1"/>
  <c r="L26" i="7" s="1"/>
  <c r="L178" i="1"/>
  <c r="L179" i="1" s="1"/>
  <c r="AB734" i="1"/>
  <c r="AB750" i="1" s="1"/>
  <c r="AB13" i="7" s="1"/>
  <c r="AB26" i="7" s="1"/>
  <c r="AB178" i="1"/>
  <c r="AB179" i="1" s="1"/>
  <c r="AR734" i="1"/>
  <c r="AR750" i="1" s="1"/>
  <c r="AR13" i="7" s="1"/>
  <c r="AR26" i="7" s="1"/>
  <c r="AR178" i="1"/>
  <c r="AR179" i="1" s="1"/>
  <c r="U447" i="1"/>
  <c r="U450" i="1" s="1"/>
  <c r="U491" i="1" s="1"/>
  <c r="U178" i="1"/>
  <c r="U179" i="1" s="1"/>
  <c r="AJ734" i="1"/>
  <c r="AJ750" i="1" s="1"/>
  <c r="AJ13" i="7" s="1"/>
  <c r="AJ26" i="7" s="1"/>
  <c r="AJ178" i="1"/>
  <c r="AJ179" i="1" s="1"/>
  <c r="N734" i="1"/>
  <c r="N750" i="1" s="1"/>
  <c r="N13" i="7" s="1"/>
  <c r="N26" i="7" s="1"/>
  <c r="N178" i="1"/>
  <c r="N179" i="1" s="1"/>
  <c r="AD734" i="1"/>
  <c r="AD750" i="1" s="1"/>
  <c r="AD13" i="7" s="1"/>
  <c r="AD26" i="7" s="1"/>
  <c r="AD178" i="1"/>
  <c r="AD179" i="1" s="1"/>
  <c r="AU447" i="1"/>
  <c r="AU450" i="1" s="1"/>
  <c r="AU491" i="1" s="1"/>
  <c r="AU178" i="1"/>
  <c r="AU179" i="1" s="1"/>
  <c r="X734" i="1"/>
  <c r="X750" i="1" s="1"/>
  <c r="X13" i="7" s="1"/>
  <c r="X26" i="7" s="1"/>
  <c r="X178" i="1"/>
  <c r="X179" i="1" s="1"/>
  <c r="AM447" i="1"/>
  <c r="AM450" i="1" s="1"/>
  <c r="AM463" i="1" s="1"/>
  <c r="AM178" i="1"/>
  <c r="AM179" i="1" s="1"/>
  <c r="O734" i="1"/>
  <c r="O750" i="1" s="1"/>
  <c r="O13" i="7" s="1"/>
  <c r="O26" i="7" s="1"/>
  <c r="O178" i="1"/>
  <c r="O179" i="1" s="1"/>
  <c r="AE734" i="1"/>
  <c r="AE750" i="1" s="1"/>
  <c r="AE13" i="7" s="1"/>
  <c r="AE26" i="7" s="1"/>
  <c r="AE178" i="1"/>
  <c r="AE179" i="1" s="1"/>
  <c r="AV734" i="1"/>
  <c r="AV750" i="1" s="1"/>
  <c r="AV13" i="7" s="1"/>
  <c r="AV26" i="7" s="1"/>
  <c r="AV178" i="1"/>
  <c r="AV179" i="1" s="1"/>
  <c r="Z749" i="1"/>
  <c r="M749" i="1"/>
  <c r="Q749" i="1"/>
  <c r="AQ749" i="1"/>
  <c r="Y749" i="1"/>
  <c r="AH749" i="1"/>
  <c r="L749" i="1"/>
  <c r="U749" i="1"/>
  <c r="P749" i="1"/>
  <c r="T749" i="1"/>
  <c r="AG749" i="1"/>
  <c r="AP749" i="1"/>
  <c r="AC749" i="1"/>
  <c r="X749" i="1"/>
  <c r="AO749" i="1"/>
  <c r="AX749" i="1"/>
  <c r="AB749" i="1"/>
  <c r="AK749" i="1"/>
  <c r="AF749" i="1"/>
  <c r="AW749" i="1"/>
  <c r="AL749" i="1"/>
  <c r="AJ749" i="1"/>
  <c r="AS749" i="1"/>
  <c r="AN749" i="1"/>
  <c r="AT749" i="1"/>
  <c r="S749" i="1"/>
  <c r="AR749" i="1"/>
  <c r="AD749" i="1"/>
  <c r="AA749" i="1"/>
  <c r="AV749" i="1"/>
  <c r="AU749" i="1"/>
  <c r="O749" i="1"/>
  <c r="N749" i="1"/>
  <c r="V749" i="1"/>
  <c r="R749" i="1"/>
  <c r="AI749" i="1"/>
  <c r="AM749" i="1"/>
  <c r="AE749" i="1"/>
  <c r="AK464" i="1"/>
  <c r="Z84" i="1"/>
  <c r="AA84" i="1" s="1"/>
  <c r="AB84" i="1" s="1"/>
  <c r="Y89" i="1"/>
  <c r="L492" i="1"/>
  <c r="AN447" i="1"/>
  <c r="AV447" i="1"/>
  <c r="W447" i="1"/>
  <c r="AM734" i="1"/>
  <c r="AM750" i="1" s="1"/>
  <c r="AM13" i="7" s="1"/>
  <c r="AM26" i="7" s="1"/>
  <c r="AE447" i="1"/>
  <c r="AI464" i="1"/>
  <c r="AN492" i="1"/>
  <c r="AU734" i="1"/>
  <c r="AU750" i="1" s="1"/>
  <c r="AU13" i="7" s="1"/>
  <c r="AU26" i="7" s="1"/>
  <c r="P734" i="1"/>
  <c r="P750" i="1" s="1"/>
  <c r="P13" i="7" s="1"/>
  <c r="P26" i="7" s="1"/>
  <c r="S492" i="1"/>
  <c r="T464" i="1"/>
  <c r="V447" i="1"/>
  <c r="AL734" i="1"/>
  <c r="AL750" i="1" s="1"/>
  <c r="AL13" i="7" s="1"/>
  <c r="AL26" i="7" s="1"/>
  <c r="AS492" i="1"/>
  <c r="P447" i="1"/>
  <c r="AC734" i="1"/>
  <c r="AC750" i="1" s="1"/>
  <c r="AC13" i="7" s="1"/>
  <c r="AC26" i="7" s="1"/>
  <c r="U734" i="1"/>
  <c r="U750" i="1" s="1"/>
  <c r="U13" i="7" s="1"/>
  <c r="U26" i="7" s="1"/>
  <c r="AS734" i="1"/>
  <c r="AS750" i="1" s="1"/>
  <c r="AS13" i="7" s="1"/>
  <c r="AS26" i="7" s="1"/>
  <c r="N447" i="1"/>
  <c r="AF447" i="1"/>
  <c r="AD447" i="1"/>
  <c r="AT447" i="1"/>
  <c r="O447" i="1"/>
  <c r="X447" i="1"/>
  <c r="M734" i="1"/>
  <c r="M750" i="1" s="1"/>
  <c r="M13" i="7" s="1"/>
  <c r="M26" i="7" s="1"/>
  <c r="AJ447" i="1"/>
  <c r="AL464" i="1"/>
  <c r="AF464" i="1"/>
  <c r="W492" i="1"/>
  <c r="AV492" i="1"/>
  <c r="P464" i="1"/>
  <c r="AB492" i="1"/>
  <c r="AR464" i="1"/>
  <c r="AU464" i="1"/>
  <c r="AX492" i="1"/>
  <c r="X464" i="1"/>
  <c r="AM464" i="1"/>
  <c r="AE492" i="1"/>
  <c r="R464" i="1"/>
  <c r="V464" i="1"/>
  <c r="AD464" i="1"/>
  <c r="AC492" i="1"/>
  <c r="N464" i="1"/>
  <c r="AG492" i="1"/>
  <c r="AP492" i="1"/>
  <c r="Z492" i="1"/>
  <c r="AW464" i="1"/>
  <c r="AA464" i="1"/>
  <c r="M492" i="1"/>
  <c r="AT492" i="1"/>
  <c r="U492" i="1"/>
  <c r="AJ492" i="1"/>
  <c r="O464" i="1"/>
  <c r="AB447" i="1"/>
  <c r="AQ447" i="1"/>
  <c r="R447" i="1"/>
  <c r="AO492" i="1"/>
  <c r="AG447" i="1"/>
  <c r="AR447" i="1"/>
  <c r="Y447" i="1"/>
  <c r="AX447" i="1"/>
  <c r="AO447" i="1"/>
  <c r="Z447" i="1"/>
  <c r="L447" i="1"/>
  <c r="R734" i="1"/>
  <c r="R750" i="1" s="1"/>
  <c r="R13" i="7" s="1"/>
  <c r="R26" i="7" s="1"/>
  <c r="AG734" i="1"/>
  <c r="AG750" i="1" s="1"/>
  <c r="AG13" i="7" s="1"/>
  <c r="AG26" i="7" s="1"/>
  <c r="AX734" i="1"/>
  <c r="AX750" i="1" s="1"/>
  <c r="AX13" i="7" s="1"/>
  <c r="AX26" i="7" s="1"/>
  <c r="AQ734" i="1"/>
  <c r="AQ750" i="1" s="1"/>
  <c r="AQ13" i="7" s="1"/>
  <c r="AQ26" i="7" s="1"/>
  <c r="Q447" i="1"/>
  <c r="AH447" i="1"/>
  <c r="AW447" i="1"/>
  <c r="AA447" i="1"/>
  <c r="AP447" i="1"/>
  <c r="S447" i="1"/>
  <c r="AI447" i="1"/>
  <c r="T447" i="1"/>
  <c r="AK447" i="1"/>
  <c r="Q492" i="1"/>
  <c r="Y492" i="1"/>
  <c r="AH492" i="1"/>
  <c r="AQ492" i="1"/>
  <c r="I455" i="1"/>
  <c r="K464" i="1"/>
  <c r="K734" i="1"/>
  <c r="K447" i="1"/>
  <c r="R163" i="12"/>
  <c r="R167" i="12" s="1"/>
  <c r="S57" i="12"/>
  <c r="S61" i="12" s="1"/>
  <c r="W733" i="1"/>
  <c r="K733" i="1"/>
  <c r="K264" i="1"/>
  <c r="AH490" i="1"/>
  <c r="AO490" i="1"/>
  <c r="AC490" i="1"/>
  <c r="Z490" i="1"/>
  <c r="Q490" i="1"/>
  <c r="AW490" i="1"/>
  <c r="AL490" i="1"/>
  <c r="I136" i="1"/>
  <c r="I364" i="1" s="1"/>
  <c r="W264" i="1"/>
  <c r="I174" i="1"/>
  <c r="I178" i="1" s="1"/>
  <c r="R12" i="7" l="1"/>
  <c r="R25" i="7" s="1"/>
  <c r="AU12" i="7"/>
  <c r="AU25" i="7" s="1"/>
  <c r="AR12" i="7"/>
  <c r="AR25" i="7" s="1"/>
  <c r="AS12" i="7"/>
  <c r="AS25" i="7" s="1"/>
  <c r="AF12" i="7"/>
  <c r="AF25" i="7" s="1"/>
  <c r="AO12" i="7"/>
  <c r="AO25" i="7" s="1"/>
  <c r="AG12" i="7"/>
  <c r="AG25" i="7" s="1"/>
  <c r="L12" i="7"/>
  <c r="L25" i="7" s="1"/>
  <c r="Q12" i="7"/>
  <c r="Q25" i="7" s="1"/>
  <c r="AE12" i="7"/>
  <c r="AE25" i="7" s="1"/>
  <c r="V12" i="7"/>
  <c r="V25" i="7" s="1"/>
  <c r="AV12" i="7"/>
  <c r="AV25" i="7" s="1"/>
  <c r="S12" i="7"/>
  <c r="S25" i="7" s="1"/>
  <c r="AJ12" i="7"/>
  <c r="AJ25" i="7" s="1"/>
  <c r="AK12" i="7"/>
  <c r="AK25" i="7" s="1"/>
  <c r="X12" i="7"/>
  <c r="X25" i="7" s="1"/>
  <c r="T12" i="7"/>
  <c r="T25" i="7" s="1"/>
  <c r="AH12" i="7"/>
  <c r="AH25" i="7" s="1"/>
  <c r="M12" i="7"/>
  <c r="M25" i="7" s="1"/>
  <c r="AM12" i="7"/>
  <c r="AM25" i="7" s="1"/>
  <c r="N12" i="7"/>
  <c r="N25" i="7" s="1"/>
  <c r="AA12" i="7"/>
  <c r="AA25" i="7" s="1"/>
  <c r="AT12" i="7"/>
  <c r="AT25" i="7" s="1"/>
  <c r="AL12" i="7"/>
  <c r="AL25" i="7" s="1"/>
  <c r="AB12" i="7"/>
  <c r="AB25" i="7" s="1"/>
  <c r="AC12" i="7"/>
  <c r="AC25" i="7" s="1"/>
  <c r="P12" i="7"/>
  <c r="P25" i="7" s="1"/>
  <c r="Y12" i="7"/>
  <c r="Y25" i="7" s="1"/>
  <c r="Z12" i="7"/>
  <c r="Z25" i="7" s="1"/>
  <c r="AI12" i="7"/>
  <c r="AI25" i="7" s="1"/>
  <c r="O12" i="7"/>
  <c r="O25" i="7" s="1"/>
  <c r="AD12" i="7"/>
  <c r="AD25" i="7" s="1"/>
  <c r="AN12" i="7"/>
  <c r="AN25" i="7" s="1"/>
  <c r="AW12" i="7"/>
  <c r="AW25" i="7" s="1"/>
  <c r="AX12" i="7"/>
  <c r="AX25" i="7" s="1"/>
  <c r="AP12" i="7"/>
  <c r="AP25" i="7" s="1"/>
  <c r="U12" i="7"/>
  <c r="U25" i="7" s="1"/>
  <c r="AQ12" i="7"/>
  <c r="AQ25" i="7" s="1"/>
  <c r="AS491" i="1"/>
  <c r="AC491" i="1"/>
  <c r="M491" i="1"/>
  <c r="AL491" i="1"/>
  <c r="AU463" i="1"/>
  <c r="U463" i="1"/>
  <c r="AM491" i="1"/>
  <c r="W749" i="1"/>
  <c r="K749" i="1"/>
  <c r="Q257" i="1"/>
  <c r="L257" i="1"/>
  <c r="AP257" i="1"/>
  <c r="AI257" i="1"/>
  <c r="AJ257" i="1"/>
  <c r="AN257" i="1"/>
  <c r="AF257" i="1"/>
  <c r="O257" i="1"/>
  <c r="V257" i="1"/>
  <c r="T257" i="1"/>
  <c r="Z257" i="1"/>
  <c r="Y257" i="1"/>
  <c r="AW257" i="1"/>
  <c r="AC257" i="1"/>
  <c r="AL257" i="1"/>
  <c r="AM257" i="1"/>
  <c r="X257" i="1"/>
  <c r="AU257" i="1"/>
  <c r="AE257" i="1"/>
  <c r="K257" i="1"/>
  <c r="AA257" i="1"/>
  <c r="AO257" i="1"/>
  <c r="AR257" i="1"/>
  <c r="AD257" i="1"/>
  <c r="M257" i="1"/>
  <c r="AT257" i="1"/>
  <c r="AS257" i="1"/>
  <c r="W257" i="1"/>
  <c r="AK257" i="1"/>
  <c r="AH257" i="1"/>
  <c r="AB257" i="1"/>
  <c r="S257" i="1"/>
  <c r="U257" i="1"/>
  <c r="N257" i="1"/>
  <c r="AV257" i="1"/>
  <c r="AI450" i="1"/>
  <c r="AI491" i="1" s="1"/>
  <c r="AW450" i="1"/>
  <c r="AW463" i="1" s="1"/>
  <c r="Z450" i="1"/>
  <c r="Z491" i="1" s="1"/>
  <c r="AG450" i="1"/>
  <c r="AG491" i="1" s="1"/>
  <c r="AQ450" i="1"/>
  <c r="AQ491" i="1" s="1"/>
  <c r="O450" i="1"/>
  <c r="O463" i="1" s="1"/>
  <c r="N450" i="1"/>
  <c r="N463" i="1" s="1"/>
  <c r="AN450" i="1"/>
  <c r="AN491" i="1" s="1"/>
  <c r="S450" i="1"/>
  <c r="S491" i="1" s="1"/>
  <c r="AH450" i="1"/>
  <c r="AH491" i="1" s="1"/>
  <c r="AO450" i="1"/>
  <c r="AO491" i="1" s="1"/>
  <c r="AX450" i="1"/>
  <c r="AX463" i="1" s="1"/>
  <c r="AB450" i="1"/>
  <c r="AB491" i="1" s="1"/>
  <c r="AJ450" i="1"/>
  <c r="AJ491" i="1" s="1"/>
  <c r="AT450" i="1"/>
  <c r="AT491" i="1" s="1"/>
  <c r="V450" i="1"/>
  <c r="V463" i="1" s="1"/>
  <c r="W450" i="1"/>
  <c r="W463" i="1" s="1"/>
  <c r="AV450" i="1"/>
  <c r="AV491" i="1" s="1"/>
  <c r="AK450" i="1"/>
  <c r="AK463" i="1" s="1"/>
  <c r="AP450" i="1"/>
  <c r="AP491" i="1" s="1"/>
  <c r="Q450" i="1"/>
  <c r="Q463" i="1" s="1"/>
  <c r="Y450" i="1"/>
  <c r="Y491" i="1" s="1"/>
  <c r="AD450" i="1"/>
  <c r="AD463" i="1" s="1"/>
  <c r="P450" i="1"/>
  <c r="P463" i="1" s="1"/>
  <c r="AE450" i="1"/>
  <c r="AE463" i="1" s="1"/>
  <c r="T450" i="1"/>
  <c r="T463" i="1" s="1"/>
  <c r="AA450" i="1"/>
  <c r="AA463" i="1" s="1"/>
  <c r="L450" i="1"/>
  <c r="L463" i="1" s="1"/>
  <c r="AR450" i="1"/>
  <c r="AR463" i="1" s="1"/>
  <c r="R450" i="1"/>
  <c r="R491" i="1" s="1"/>
  <c r="X450" i="1"/>
  <c r="X463" i="1" s="1"/>
  <c r="AF450" i="1"/>
  <c r="AF463" i="1" s="1"/>
  <c r="K450" i="1"/>
  <c r="K491" i="1" s="1"/>
  <c r="Z89" i="1"/>
  <c r="I464" i="1"/>
  <c r="I492" i="1"/>
  <c r="AA89" i="1"/>
  <c r="AC84" i="1"/>
  <c r="AB89" i="1"/>
  <c r="I734" i="1"/>
  <c r="I447" i="1"/>
  <c r="AU109" i="1"/>
  <c r="AV109" i="1"/>
  <c r="AX109" i="1"/>
  <c r="AW109" i="1"/>
  <c r="T57" i="12"/>
  <c r="T61" i="12" s="1"/>
  <c r="S163" i="12"/>
  <c r="S167" i="12" s="1"/>
  <c r="AW372" i="1"/>
  <c r="AO372" i="1"/>
  <c r="Q372" i="1"/>
  <c r="AH372" i="1"/>
  <c r="Z372" i="1"/>
  <c r="AL372" i="1"/>
  <c r="AC372" i="1"/>
  <c r="I733" i="1"/>
  <c r="AR490" i="1"/>
  <c r="L490" i="1"/>
  <c r="AQ490" i="1"/>
  <c r="AT490" i="1"/>
  <c r="AV490" i="1"/>
  <c r="P490" i="1"/>
  <c r="U490" i="1"/>
  <c r="S490" i="1"/>
  <c r="AJ490" i="1"/>
  <c r="AP490" i="1"/>
  <c r="AI490" i="1"/>
  <c r="AD490" i="1"/>
  <c r="AN490" i="1"/>
  <c r="AX490" i="1"/>
  <c r="AU490" i="1"/>
  <c r="K490" i="1"/>
  <c r="V490" i="1"/>
  <c r="AB490" i="1"/>
  <c r="AS490" i="1"/>
  <c r="AA490" i="1"/>
  <c r="N490" i="1"/>
  <c r="AF490" i="1"/>
  <c r="R490" i="1"/>
  <c r="AM490" i="1"/>
  <c r="AG490" i="1"/>
  <c r="T490" i="1"/>
  <c r="M490" i="1"/>
  <c r="O490" i="1"/>
  <c r="Y490" i="1"/>
  <c r="X490" i="1"/>
  <c r="AK490" i="1"/>
  <c r="AE490" i="1"/>
  <c r="I264" i="1"/>
  <c r="K750" i="1"/>
  <c r="I179" i="1"/>
  <c r="I257" i="1" s="1"/>
  <c r="W12" i="7" l="1"/>
  <c r="W25" i="7" s="1"/>
  <c r="K12" i="7"/>
  <c r="I749" i="1"/>
  <c r="I12" i="7" s="1"/>
  <c r="I25" i="7" s="1"/>
  <c r="F762" i="1"/>
  <c r="O20" i="5" s="1"/>
  <c r="AT463" i="1"/>
  <c r="AQ463" i="1"/>
  <c r="AW491" i="1"/>
  <c r="AH463" i="1"/>
  <c r="AI463" i="1"/>
  <c r="O491" i="1"/>
  <c r="S463" i="1"/>
  <c r="AV120" i="1"/>
  <c r="AV124" i="1"/>
  <c r="AU120" i="1"/>
  <c r="AU124" i="1"/>
  <c r="AW120" i="1"/>
  <c r="AW124" i="1"/>
  <c r="AX120" i="1"/>
  <c r="AX124" i="1"/>
  <c r="AK491" i="1"/>
  <c r="AD491" i="1"/>
  <c r="AA491" i="1"/>
  <c r="N491" i="1"/>
  <c r="V491" i="1"/>
  <c r="AJ463" i="1"/>
  <c r="Q491" i="1"/>
  <c r="AG463" i="1"/>
  <c r="AX491" i="1"/>
  <c r="L491" i="1"/>
  <c r="AP463" i="1"/>
  <c r="K463" i="1"/>
  <c r="P491" i="1"/>
  <c r="AF491" i="1"/>
  <c r="W491" i="1"/>
  <c r="Z463" i="1"/>
  <c r="AO463" i="1"/>
  <c r="AV463" i="1"/>
  <c r="AN463" i="1"/>
  <c r="T491" i="1"/>
  <c r="AB463" i="1"/>
  <c r="X491" i="1"/>
  <c r="Y463" i="1"/>
  <c r="R463" i="1"/>
  <c r="AR491" i="1"/>
  <c r="AE491" i="1"/>
  <c r="I450" i="1"/>
  <c r="I463" i="1" s="1"/>
  <c r="AD84" i="1"/>
  <c r="AC89" i="1"/>
  <c r="AS89" i="1"/>
  <c r="T163" i="12"/>
  <c r="T167" i="12" s="1"/>
  <c r="U57" i="12"/>
  <c r="U61" i="12" s="1"/>
  <c r="X372" i="1"/>
  <c r="T372" i="1"/>
  <c r="AF372" i="1"/>
  <c r="AB372" i="1"/>
  <c r="AX372" i="1"/>
  <c r="AP372" i="1"/>
  <c r="P372" i="1"/>
  <c r="L372" i="1"/>
  <c r="Y372" i="1"/>
  <c r="AG372" i="1"/>
  <c r="N372" i="1"/>
  <c r="V372" i="1"/>
  <c r="AN372" i="1"/>
  <c r="AJ372" i="1"/>
  <c r="AV372" i="1"/>
  <c r="AR372" i="1"/>
  <c r="AE372" i="1"/>
  <c r="O372" i="1"/>
  <c r="AM372" i="1"/>
  <c r="AA372" i="1"/>
  <c r="K372" i="1"/>
  <c r="AD372" i="1"/>
  <c r="S372" i="1"/>
  <c r="AT372" i="1"/>
  <c r="AK372" i="1"/>
  <c r="M372" i="1"/>
  <c r="R372" i="1"/>
  <c r="AS372" i="1"/>
  <c r="AU372" i="1"/>
  <c r="AI372" i="1"/>
  <c r="U372" i="1"/>
  <c r="AQ372" i="1"/>
  <c r="W490" i="1"/>
  <c r="I750" i="1"/>
  <c r="I13" i="7" s="1"/>
  <c r="I26" i="7" s="1"/>
  <c r="K13" i="7"/>
  <c r="F763" i="1"/>
  <c r="F60" i="7" l="1"/>
  <c r="K25" i="7"/>
  <c r="I491" i="1"/>
  <c r="AE84" i="1"/>
  <c r="AD89" i="1"/>
  <c r="T71" i="5"/>
  <c r="F58" i="35"/>
  <c r="O21" i="5"/>
  <c r="U163" i="12"/>
  <c r="U167" i="12" s="1"/>
  <c r="V57" i="12"/>
  <c r="V61" i="12" s="1"/>
  <c r="F61" i="7"/>
  <c r="K26" i="7"/>
  <c r="I367" i="1"/>
  <c r="I490" i="1" s="1"/>
  <c r="W372" i="1"/>
  <c r="J58" i="35" l="1"/>
  <c r="I58" i="35" s="1"/>
  <c r="I55" i="35"/>
  <c r="AE89" i="1"/>
  <c r="AF84" i="1"/>
  <c r="T69" i="5"/>
  <c r="F57" i="35"/>
  <c r="J57" i="35" s="1"/>
  <c r="I57" i="35" s="1"/>
  <c r="V163" i="12"/>
  <c r="V167" i="12" s="1"/>
  <c r="W57" i="12"/>
  <c r="W61" i="12" s="1"/>
  <c r="I372" i="1"/>
  <c r="AG84" i="1" l="1"/>
  <c r="AH84" i="1" s="1"/>
  <c r="AI84" i="1" s="1"/>
  <c r="AJ84" i="1" s="1"/>
  <c r="AK84" i="1" s="1"/>
  <c r="AL84" i="1" s="1"/>
  <c r="AF89" i="1"/>
  <c r="W163" i="12"/>
  <c r="W167" i="12" s="1"/>
  <c r="X57" i="12"/>
  <c r="X61" i="12" s="1"/>
  <c r="AM84" i="1" l="1"/>
  <c r="AL89" i="1"/>
  <c r="AT89" i="1"/>
  <c r="X163" i="12"/>
  <c r="X167" i="12" s="1"/>
  <c r="Y57" i="12"/>
  <c r="Y61" i="12" s="1"/>
  <c r="AT92" i="1" l="1"/>
  <c r="AT109" i="1" s="1"/>
  <c r="AR92" i="1"/>
  <c r="AR109" i="1" s="1"/>
  <c r="AS92" i="1"/>
  <c r="AS109" i="1" s="1"/>
  <c r="AN84" i="1"/>
  <c r="AO84" i="1" s="1"/>
  <c r="AP84" i="1" s="1"/>
  <c r="AQ84" i="1" s="1"/>
  <c r="AM89" i="1"/>
  <c r="AN89" i="1"/>
  <c r="AO89" i="1"/>
  <c r="Y163" i="12"/>
  <c r="Y167" i="12" s="1"/>
  <c r="Z57" i="12"/>
  <c r="Z61" i="12" s="1"/>
  <c r="AS120" i="1" l="1"/>
  <c r="AS124" i="1"/>
  <c r="AR120" i="1"/>
  <c r="AR124" i="1"/>
  <c r="AT120" i="1"/>
  <c r="AT124" i="1"/>
  <c r="AR84" i="1"/>
  <c r="AS84" i="1" s="1"/>
  <c r="AT84" i="1" s="1"/>
  <c r="AU84" i="1" s="1"/>
  <c r="AV84" i="1" s="1"/>
  <c r="AW84" i="1" s="1"/>
  <c r="AX84" i="1" s="1"/>
  <c r="AQ89" i="1"/>
  <c r="AP89" i="1"/>
  <c r="Z163" i="12"/>
  <c r="Z167" i="12" s="1"/>
  <c r="AA57" i="12"/>
  <c r="AA61" i="12" s="1"/>
  <c r="AB92" i="1" l="1"/>
  <c r="AB109" i="1" s="1"/>
  <c r="O92" i="1"/>
  <c r="O109" i="1" s="1"/>
  <c r="P92" i="1"/>
  <c r="P109" i="1" s="1"/>
  <c r="AG92" i="1"/>
  <c r="AG109" i="1" s="1"/>
  <c r="AJ92" i="1"/>
  <c r="AJ109" i="1" s="1"/>
  <c r="AA92" i="1"/>
  <c r="AA109" i="1" s="1"/>
  <c r="AK92" i="1"/>
  <c r="AK109" i="1" s="1"/>
  <c r="R92" i="1"/>
  <c r="R109" i="1" s="1"/>
  <c r="Q92" i="1"/>
  <c r="Q109" i="1" s="1"/>
  <c r="V92" i="1"/>
  <c r="V109" i="1" s="1"/>
  <c r="Y92" i="1"/>
  <c r="Y109" i="1" s="1"/>
  <c r="S92" i="1"/>
  <c r="S109" i="1" s="1"/>
  <c r="AL92" i="1"/>
  <c r="AL109" i="1" s="1"/>
  <c r="K92" i="1"/>
  <c r="K109" i="1" s="1"/>
  <c r="AP92" i="1"/>
  <c r="AP109" i="1" s="1"/>
  <c r="Z92" i="1"/>
  <c r="Z109" i="1" s="1"/>
  <c r="T92" i="1"/>
  <c r="T109" i="1" s="1"/>
  <c r="X92" i="1"/>
  <c r="X109" i="1" s="1"/>
  <c r="AC92" i="1"/>
  <c r="AC109" i="1" s="1"/>
  <c r="U92" i="1"/>
  <c r="U109" i="1" s="1"/>
  <c r="AH92" i="1"/>
  <c r="AH109" i="1" s="1"/>
  <c r="AO92" i="1"/>
  <c r="AO109" i="1" s="1"/>
  <c r="AQ92" i="1"/>
  <c r="AQ109" i="1" s="1"/>
  <c r="AF92" i="1"/>
  <c r="AF109" i="1" s="1"/>
  <c r="AE92" i="1"/>
  <c r="AE109" i="1" s="1"/>
  <c r="AD92" i="1"/>
  <c r="AD109" i="1" s="1"/>
  <c r="N92" i="1"/>
  <c r="N109" i="1" s="1"/>
  <c r="M92" i="1"/>
  <c r="M109" i="1" s="1"/>
  <c r="AI92" i="1"/>
  <c r="AI109" i="1" s="1"/>
  <c r="AN92" i="1"/>
  <c r="AN109" i="1" s="1"/>
  <c r="W92" i="1"/>
  <c r="W109" i="1" s="1"/>
  <c r="AM92" i="1"/>
  <c r="AM109" i="1" s="1"/>
  <c r="L92" i="1"/>
  <c r="L109" i="1" s="1"/>
  <c r="AA163" i="12"/>
  <c r="AA167" i="12" s="1"/>
  <c r="AB57" i="12"/>
  <c r="AB61" i="12" s="1"/>
  <c r="K124" i="1" l="1"/>
  <c r="K125" i="1" s="1"/>
  <c r="K127" i="1" s="1"/>
  <c r="K129" i="1" s="1"/>
  <c r="K110" i="1"/>
  <c r="L106" i="1" s="1"/>
  <c r="AP120" i="1"/>
  <c r="AP124" i="1"/>
  <c r="AM120" i="1"/>
  <c r="AM124" i="1"/>
  <c r="M120" i="1"/>
  <c r="M124" i="1"/>
  <c r="AF120" i="1"/>
  <c r="AF124" i="1"/>
  <c r="U120" i="1"/>
  <c r="U124" i="1"/>
  <c r="Z120" i="1"/>
  <c r="Z124" i="1"/>
  <c r="S120" i="1"/>
  <c r="S124" i="1"/>
  <c r="R120" i="1"/>
  <c r="R124" i="1"/>
  <c r="AG120" i="1"/>
  <c r="AG124" i="1"/>
  <c r="O120" i="1"/>
  <c r="O124" i="1"/>
  <c r="W120" i="1"/>
  <c r="W124" i="1"/>
  <c r="N120" i="1"/>
  <c r="N124" i="1"/>
  <c r="AQ120" i="1"/>
  <c r="AQ124" i="1"/>
  <c r="AC120" i="1"/>
  <c r="AC124" i="1"/>
  <c r="Y120" i="1"/>
  <c r="Y124" i="1"/>
  <c r="AK120" i="1"/>
  <c r="AK124" i="1"/>
  <c r="P120" i="1"/>
  <c r="P124" i="1"/>
  <c r="V120" i="1"/>
  <c r="V124" i="1"/>
  <c r="AA120" i="1"/>
  <c r="AA124" i="1"/>
  <c r="AN120" i="1"/>
  <c r="AN124" i="1"/>
  <c r="AD120" i="1"/>
  <c r="AD124" i="1"/>
  <c r="AO120" i="1"/>
  <c r="AO124" i="1"/>
  <c r="X120" i="1"/>
  <c r="X124" i="1"/>
  <c r="Q120" i="1"/>
  <c r="Q124" i="1"/>
  <c r="L120" i="1"/>
  <c r="L124" i="1"/>
  <c r="AI120" i="1"/>
  <c r="AI124" i="1"/>
  <c r="AE120" i="1"/>
  <c r="AE124" i="1"/>
  <c r="AH120" i="1"/>
  <c r="AH124" i="1"/>
  <c r="T120" i="1"/>
  <c r="T124" i="1"/>
  <c r="AL120" i="1"/>
  <c r="AL124" i="1"/>
  <c r="AJ120" i="1"/>
  <c r="AJ124" i="1"/>
  <c r="AB120" i="1"/>
  <c r="AB124" i="1"/>
  <c r="F114" i="1"/>
  <c r="K120" i="1"/>
  <c r="I92" i="1"/>
  <c r="I109" i="1" s="1"/>
  <c r="AB163" i="12"/>
  <c r="AB167" i="12" s="1"/>
  <c r="AC57" i="12"/>
  <c r="AC61" i="12" s="1"/>
  <c r="L96" i="1" l="1"/>
  <c r="L97" i="1" s="1"/>
  <c r="L108" i="1" s="1"/>
  <c r="L123" i="1" s="1"/>
  <c r="L125" i="1" s="1"/>
  <c r="L127" i="1" s="1"/>
  <c r="L129" i="1" s="1"/>
  <c r="L100" i="1"/>
  <c r="L103" i="1" s="1"/>
  <c r="L107" i="1" s="1"/>
  <c r="I120" i="1"/>
  <c r="I124" i="1"/>
  <c r="K121" i="1"/>
  <c r="K263" i="1" s="1"/>
  <c r="K779" i="1"/>
  <c r="K780" i="1" s="1"/>
  <c r="K23" i="12"/>
  <c r="K124" i="12" s="1"/>
  <c r="K179" i="12" s="1"/>
  <c r="AC163" i="12"/>
  <c r="AC167" i="12" s="1"/>
  <c r="AD57" i="12"/>
  <c r="AD61" i="12" s="1"/>
  <c r="K266" i="1" l="1"/>
  <c r="K268" i="1" s="1"/>
  <c r="L119" i="1"/>
  <c r="L121" i="1" s="1"/>
  <c r="L263" i="1" s="1"/>
  <c r="L110" i="1"/>
  <c r="M106" i="1" s="1"/>
  <c r="K489" i="1"/>
  <c r="K494" i="1" s="1"/>
  <c r="K461" i="1"/>
  <c r="L23" i="12"/>
  <c r="L124" i="12" s="1"/>
  <c r="L179" i="12" s="1"/>
  <c r="L779" i="1"/>
  <c r="L780" i="1" s="1"/>
  <c r="K212" i="12"/>
  <c r="AD163" i="12"/>
  <c r="AD167" i="12" s="1"/>
  <c r="AE57" i="12"/>
  <c r="AE61" i="12" s="1"/>
  <c r="L266" i="1" l="1"/>
  <c r="L268" i="1" s="1"/>
  <c r="K593" i="1"/>
  <c r="K275" i="1"/>
  <c r="L489" i="1"/>
  <c r="L461" i="1"/>
  <c r="M100" i="1"/>
  <c r="M103" i="1" s="1"/>
  <c r="M107" i="1" s="1"/>
  <c r="M96" i="1"/>
  <c r="M97" i="1" s="1"/>
  <c r="M108" i="1" s="1"/>
  <c r="M123" i="1" s="1"/>
  <c r="M125" i="1" s="1"/>
  <c r="M127" i="1" s="1"/>
  <c r="M129" i="1" s="1"/>
  <c r="L212" i="12"/>
  <c r="AE163" i="12"/>
  <c r="AE167" i="12" s="1"/>
  <c r="AF57" i="12"/>
  <c r="AF61" i="12" s="1"/>
  <c r="L275" i="1" l="1"/>
  <c r="K276" i="1" s="1"/>
  <c r="L593" i="1"/>
  <c r="M119" i="1"/>
  <c r="M121" i="1" s="1"/>
  <c r="M489" i="1" s="1"/>
  <c r="M110" i="1"/>
  <c r="N106" i="1" s="1"/>
  <c r="N96" i="1" s="1"/>
  <c r="N97" i="1" s="1"/>
  <c r="N108" i="1" s="1"/>
  <c r="N123" i="1" s="1"/>
  <c r="N125" i="1" s="1"/>
  <c r="N127" i="1" s="1"/>
  <c r="N129" i="1" s="1"/>
  <c r="M23" i="12"/>
  <c r="M124" i="12" s="1"/>
  <c r="M179" i="12" s="1"/>
  <c r="M779" i="1"/>
  <c r="M780" i="1" s="1"/>
  <c r="AF163" i="12"/>
  <c r="AF167" i="12" s="1"/>
  <c r="AG57" i="12"/>
  <c r="AG61" i="12" s="1"/>
  <c r="M263" i="1" l="1"/>
  <c r="M461" i="1"/>
  <c r="N100" i="1"/>
  <c r="N103" i="1" s="1"/>
  <c r="N107" i="1" s="1"/>
  <c r="N110" i="1" s="1"/>
  <c r="O106" i="1" s="1"/>
  <c r="N119" i="1"/>
  <c r="N121" i="1" s="1"/>
  <c r="N263" i="1" s="1"/>
  <c r="M212" i="12"/>
  <c r="AG163" i="12"/>
  <c r="AG167" i="12" s="1"/>
  <c r="AH57" i="12"/>
  <c r="AH61" i="12" s="1"/>
  <c r="N266" i="1" l="1"/>
  <c r="N268" i="1" s="1"/>
  <c r="M266" i="1"/>
  <c r="M268" i="1" s="1"/>
  <c r="O100" i="1"/>
  <c r="O103" i="1" s="1"/>
  <c r="O107" i="1" s="1"/>
  <c r="N779" i="1"/>
  <c r="N780" i="1" s="1"/>
  <c r="N489" i="1"/>
  <c r="N461" i="1"/>
  <c r="O96" i="1"/>
  <c r="O97" i="1" s="1"/>
  <c r="O108" i="1" s="1"/>
  <c r="O123" i="1" s="1"/>
  <c r="O125" i="1" s="1"/>
  <c r="O127" i="1" s="1"/>
  <c r="O129" i="1" s="1"/>
  <c r="AH163" i="12"/>
  <c r="AH167" i="12" s="1"/>
  <c r="AI57" i="12"/>
  <c r="AI61" i="12" s="1"/>
  <c r="M593" i="1" l="1"/>
  <c r="M275" i="1"/>
  <c r="L276" i="1" s="1"/>
  <c r="N275" i="1"/>
  <c r="N593" i="1"/>
  <c r="O110" i="1"/>
  <c r="P106" i="1" s="1"/>
  <c r="N23" i="12"/>
  <c r="N124" i="12" s="1"/>
  <c r="N179" i="12" s="1"/>
  <c r="O119" i="1"/>
  <c r="O121" i="1" s="1"/>
  <c r="O263" i="1" s="1"/>
  <c r="AI163" i="12"/>
  <c r="AI167" i="12" s="1"/>
  <c r="AJ57" i="12"/>
  <c r="AJ61" i="12" s="1"/>
  <c r="M276" i="1" l="1"/>
  <c r="O266" i="1"/>
  <c r="O268" i="1" s="1"/>
  <c r="P96" i="1"/>
  <c r="P97" i="1" s="1"/>
  <c r="P108" i="1" s="1"/>
  <c r="P119" i="1" s="1"/>
  <c r="N212" i="12"/>
  <c r="O23" i="12"/>
  <c r="O124" i="12" s="1"/>
  <c r="O179" i="12" s="1"/>
  <c r="O461" i="1"/>
  <c r="O489" i="1"/>
  <c r="P100" i="1"/>
  <c r="P103" i="1" s="1"/>
  <c r="P107" i="1" s="1"/>
  <c r="AK57" i="12"/>
  <c r="AK61" i="12" s="1"/>
  <c r="AJ163" i="12"/>
  <c r="AJ167" i="12" s="1"/>
  <c r="O275" i="1" l="1"/>
  <c r="N276" i="1" s="1"/>
  <c r="O593" i="1"/>
  <c r="P110" i="1"/>
  <c r="Q106" i="1" s="1"/>
  <c r="Q96" i="1" s="1"/>
  <c r="Q97" i="1" s="1"/>
  <c r="Q108" i="1" s="1"/>
  <c r="P123" i="1"/>
  <c r="P125" i="1" s="1"/>
  <c r="P127" i="1" s="1"/>
  <c r="P129" i="1" s="1"/>
  <c r="P121" i="1"/>
  <c r="P461" i="1" s="1"/>
  <c r="O779" i="1"/>
  <c r="O780" i="1" s="1"/>
  <c r="O212" i="12"/>
  <c r="AL57" i="12"/>
  <c r="AL61" i="12" s="1"/>
  <c r="AK163" i="12"/>
  <c r="AK167" i="12" s="1"/>
  <c r="P23" i="12" l="1"/>
  <c r="P124" i="12" s="1"/>
  <c r="P179" i="12" s="1"/>
  <c r="P779" i="1"/>
  <c r="P780" i="1" s="1"/>
  <c r="Q100" i="1"/>
  <c r="Q103" i="1" s="1"/>
  <c r="Q107" i="1" s="1"/>
  <c r="Q110" i="1" s="1"/>
  <c r="R106" i="1" s="1"/>
  <c r="P489" i="1"/>
  <c r="P263" i="1"/>
  <c r="Q119" i="1"/>
  <c r="Q121" i="1" s="1"/>
  <c r="Q489" i="1" s="1"/>
  <c r="Q123" i="1"/>
  <c r="Q125" i="1" s="1"/>
  <c r="Q127" i="1" s="1"/>
  <c r="Q129" i="1" s="1"/>
  <c r="AM57" i="12"/>
  <c r="AM61" i="12" s="1"/>
  <c r="AL163" i="12"/>
  <c r="AL167" i="12" s="1"/>
  <c r="P266" i="1" l="1"/>
  <c r="P268" i="1" s="1"/>
  <c r="P212" i="12"/>
  <c r="Q461" i="1"/>
  <c r="Q263" i="1"/>
  <c r="R100" i="1"/>
  <c r="R103" i="1" s="1"/>
  <c r="R107" i="1" s="1"/>
  <c r="R96" i="1"/>
  <c r="R97" i="1" s="1"/>
  <c r="R108" i="1" s="1"/>
  <c r="Q779" i="1"/>
  <c r="Q780" i="1" s="1"/>
  <c r="Q23" i="12"/>
  <c r="Q124" i="12" s="1"/>
  <c r="Q179" i="12" s="1"/>
  <c r="AN57" i="12"/>
  <c r="AN61" i="12" s="1"/>
  <c r="AM163" i="12"/>
  <c r="AM167" i="12" s="1"/>
  <c r="P593" i="1" l="1"/>
  <c r="P275" i="1"/>
  <c r="O276" i="1" s="1"/>
  <c r="Q266" i="1"/>
  <c r="Q268" i="1" s="1"/>
  <c r="R110" i="1"/>
  <c r="S106" i="1" s="1"/>
  <c r="R119" i="1"/>
  <c r="R121" i="1" s="1"/>
  <c r="R123" i="1"/>
  <c r="R125" i="1" s="1"/>
  <c r="R127" i="1" s="1"/>
  <c r="R129" i="1" s="1"/>
  <c r="Q212" i="12"/>
  <c r="AO57" i="12"/>
  <c r="AO61" i="12" s="1"/>
  <c r="AN163" i="12"/>
  <c r="AN167" i="12" s="1"/>
  <c r="Q275" i="1" l="1"/>
  <c r="P276" i="1" s="1"/>
  <c r="Q593" i="1"/>
  <c r="S100" i="1"/>
  <c r="S103" i="1" s="1"/>
  <c r="S107" i="1" s="1"/>
  <c r="S96" i="1"/>
  <c r="S97" i="1" s="1"/>
  <c r="S108" i="1" s="1"/>
  <c r="R779" i="1"/>
  <c r="R780" i="1" s="1"/>
  <c r="R23" i="12"/>
  <c r="R124" i="12" s="1"/>
  <c r="R179" i="12" s="1"/>
  <c r="R489" i="1"/>
  <c r="R263" i="1"/>
  <c r="R461" i="1"/>
  <c r="AP57" i="12"/>
  <c r="AP61" i="12" s="1"/>
  <c r="AO163" i="12"/>
  <c r="AO167" i="12" s="1"/>
  <c r="R266" i="1" l="1"/>
  <c r="R268" i="1" s="1"/>
  <c r="S110" i="1"/>
  <c r="T106" i="1" s="1"/>
  <c r="S119" i="1"/>
  <c r="S121" i="1" s="1"/>
  <c r="S123" i="1"/>
  <c r="S125" i="1" s="1"/>
  <c r="S127" i="1" s="1"/>
  <c r="S129" i="1" s="1"/>
  <c r="R212" i="12"/>
  <c r="AP163" i="12"/>
  <c r="AP167" i="12" s="1"/>
  <c r="AQ57" i="12"/>
  <c r="AQ61" i="12" s="1"/>
  <c r="R593" i="1" l="1"/>
  <c r="R275" i="1"/>
  <c r="Q276" i="1" s="1"/>
  <c r="S23" i="12"/>
  <c r="S124" i="12" s="1"/>
  <c r="S179" i="12" s="1"/>
  <c r="S779" i="1"/>
  <c r="S780" i="1" s="1"/>
  <c r="T96" i="1"/>
  <c r="T97" i="1" s="1"/>
  <c r="T108" i="1" s="1"/>
  <c r="T100" i="1"/>
  <c r="T103" i="1" s="1"/>
  <c r="T107" i="1" s="1"/>
  <c r="S489" i="1"/>
  <c r="S461" i="1"/>
  <c r="S263" i="1"/>
  <c r="AQ163" i="12"/>
  <c r="AQ167" i="12" s="1"/>
  <c r="AR57" i="12"/>
  <c r="AR61" i="12" s="1"/>
  <c r="S266" i="1" l="1"/>
  <c r="S268" i="1" s="1"/>
  <c r="T110" i="1"/>
  <c r="U106" i="1" s="1"/>
  <c r="T119" i="1"/>
  <c r="T121" i="1" s="1"/>
  <c r="T123" i="1"/>
  <c r="T125" i="1" s="1"/>
  <c r="T127" i="1" s="1"/>
  <c r="T129" i="1" s="1"/>
  <c r="S212" i="12"/>
  <c r="AR163" i="12"/>
  <c r="AR167" i="12" s="1"/>
  <c r="AS57" i="12"/>
  <c r="AS61" i="12" s="1"/>
  <c r="S275" i="1" l="1"/>
  <c r="R276" i="1" s="1"/>
  <c r="S593" i="1"/>
  <c r="U96" i="1"/>
  <c r="U97" i="1" s="1"/>
  <c r="U108" i="1" s="1"/>
  <c r="U119" i="1" s="1"/>
  <c r="U121" i="1" s="1"/>
  <c r="U100" i="1"/>
  <c r="U103" i="1" s="1"/>
  <c r="U107" i="1" s="1"/>
  <c r="T23" i="12"/>
  <c r="T124" i="12" s="1"/>
  <c r="T179" i="12" s="1"/>
  <c r="T779" i="1"/>
  <c r="T780" i="1" s="1"/>
  <c r="T461" i="1"/>
  <c r="T489" i="1"/>
  <c r="T263" i="1"/>
  <c r="AS163" i="12"/>
  <c r="AS167" i="12" s="1"/>
  <c r="AT57" i="12"/>
  <c r="AT61" i="12" s="1"/>
  <c r="T266" i="1" l="1"/>
  <c r="T268" i="1" s="1"/>
  <c r="U110" i="1"/>
  <c r="V106" i="1" s="1"/>
  <c r="V96" i="1" s="1"/>
  <c r="V97" i="1" s="1"/>
  <c r="V108" i="1" s="1"/>
  <c r="U123" i="1"/>
  <c r="U125" i="1" s="1"/>
  <c r="U127" i="1" s="1"/>
  <c r="U129" i="1" s="1"/>
  <c r="U489" i="1"/>
  <c r="U263" i="1"/>
  <c r="U461" i="1"/>
  <c r="T212" i="12"/>
  <c r="AT163" i="12"/>
  <c r="AT167" i="12" s="1"/>
  <c r="AU57" i="12"/>
  <c r="AU61" i="12" s="1"/>
  <c r="T593" i="1" l="1"/>
  <c r="T275" i="1"/>
  <c r="S276" i="1" s="1"/>
  <c r="U266" i="1"/>
  <c r="U268" i="1" s="1"/>
  <c r="U779" i="1"/>
  <c r="U780" i="1" s="1"/>
  <c r="U23" i="12"/>
  <c r="U124" i="12" s="1"/>
  <c r="U179" i="12" s="1"/>
  <c r="V100" i="1"/>
  <c r="V103" i="1" s="1"/>
  <c r="V107" i="1" s="1"/>
  <c r="V110" i="1" s="1"/>
  <c r="W106" i="1" s="1"/>
  <c r="V119" i="1"/>
  <c r="V121" i="1" s="1"/>
  <c r="V489" i="1" s="1"/>
  <c r="V123" i="1"/>
  <c r="V125" i="1" s="1"/>
  <c r="V127" i="1" s="1"/>
  <c r="V129" i="1" s="1"/>
  <c r="AU163" i="12"/>
  <c r="AU167" i="12" s="1"/>
  <c r="AV57" i="12"/>
  <c r="AV61" i="12" s="1"/>
  <c r="U275" i="1" l="1"/>
  <c r="T276" i="1" s="1"/>
  <c r="U593" i="1"/>
  <c r="U212" i="12"/>
  <c r="V23" i="12"/>
  <c r="V124" i="12" s="1"/>
  <c r="V179" i="12" s="1"/>
  <c r="V779" i="1"/>
  <c r="V780" i="1" s="1"/>
  <c r="V461" i="1"/>
  <c r="V263" i="1"/>
  <c r="W96" i="1"/>
  <c r="W97" i="1" s="1"/>
  <c r="W108" i="1" s="1"/>
  <c r="W100" i="1"/>
  <c r="W103" i="1" s="1"/>
  <c r="W107" i="1" s="1"/>
  <c r="AV163" i="12"/>
  <c r="AV167" i="12" s="1"/>
  <c r="AW57" i="12"/>
  <c r="AW61" i="12" s="1"/>
  <c r="V266" i="1" l="1"/>
  <c r="V268" i="1" s="1"/>
  <c r="W110" i="1"/>
  <c r="X106" i="1" s="1"/>
  <c r="V212" i="12"/>
  <c r="W119" i="1"/>
  <c r="W121" i="1" s="1"/>
  <c r="W489" i="1" s="1"/>
  <c r="W123" i="1"/>
  <c r="W125" i="1" s="1"/>
  <c r="AW163" i="12"/>
  <c r="AW167" i="12" s="1"/>
  <c r="AX57" i="12"/>
  <c r="AX61" i="12" s="1"/>
  <c r="F64" i="12" s="1"/>
  <c r="V593" i="1" l="1"/>
  <c r="V275" i="1"/>
  <c r="U276" i="1" s="1"/>
  <c r="W779" i="1"/>
  <c r="W780" i="1" s="1"/>
  <c r="W127" i="1"/>
  <c r="W129" i="1" s="1"/>
  <c r="W263" i="1"/>
  <c r="W461" i="1"/>
  <c r="W23" i="12"/>
  <c r="W124" i="12" s="1"/>
  <c r="W179" i="12" s="1"/>
  <c r="X96" i="1"/>
  <c r="X97" i="1" s="1"/>
  <c r="X108" i="1" s="1"/>
  <c r="X100" i="1"/>
  <c r="X103" i="1" s="1"/>
  <c r="X107" i="1" s="1"/>
  <c r="AX163" i="12"/>
  <c r="AX167" i="12" s="1"/>
  <c r="F170" i="12" s="1"/>
  <c r="W266" i="1" l="1"/>
  <c r="W268" i="1" s="1"/>
  <c r="X110" i="1"/>
  <c r="Y106" i="1" s="1"/>
  <c r="X119" i="1"/>
  <c r="X121" i="1" s="1"/>
  <c r="X263" i="1" s="1"/>
  <c r="X123" i="1"/>
  <c r="X125" i="1" s="1"/>
  <c r="X127" i="1" s="1"/>
  <c r="X129" i="1" s="1"/>
  <c r="W212" i="12"/>
  <c r="W275" i="1" l="1"/>
  <c r="V276" i="1" s="1"/>
  <c r="W593" i="1"/>
  <c r="X266" i="1"/>
  <c r="X268" i="1" s="1"/>
  <c r="X461" i="1"/>
  <c r="X489" i="1"/>
  <c r="X23" i="12"/>
  <c r="X124" i="12" s="1"/>
  <c r="X179" i="12" s="1"/>
  <c r="X779" i="1"/>
  <c r="X780" i="1" s="1"/>
  <c r="Y100" i="1"/>
  <c r="Y103" i="1" s="1"/>
  <c r="Y107" i="1" s="1"/>
  <c r="Y96" i="1"/>
  <c r="Y97" i="1" s="1"/>
  <c r="Y108" i="1" s="1"/>
  <c r="X593" i="1" l="1"/>
  <c r="X275" i="1"/>
  <c r="W276" i="1" s="1"/>
  <c r="Y110" i="1"/>
  <c r="Z106" i="1" s="1"/>
  <c r="Y119" i="1"/>
  <c r="Y121" i="1" s="1"/>
  <c r="Y123" i="1"/>
  <c r="Y125" i="1" s="1"/>
  <c r="Y127" i="1" s="1"/>
  <c r="Y129" i="1" s="1"/>
  <c r="X212" i="12"/>
  <c r="Y23" i="12" l="1"/>
  <c r="Y124" i="12" s="1"/>
  <c r="Y179" i="12" s="1"/>
  <c r="Y779" i="1"/>
  <c r="Y780" i="1" s="1"/>
  <c r="Y489" i="1"/>
  <c r="Y461" i="1"/>
  <c r="Y263" i="1"/>
  <c r="Z96" i="1"/>
  <c r="Z97" i="1" s="1"/>
  <c r="Z108" i="1" s="1"/>
  <c r="Z100" i="1"/>
  <c r="Z103" i="1" s="1"/>
  <c r="Z107" i="1" s="1"/>
  <c r="Y266" i="1" l="1"/>
  <c r="Y268" i="1" s="1"/>
  <c r="Z110" i="1"/>
  <c r="AA106" i="1" s="1"/>
  <c r="Z119" i="1"/>
  <c r="Z121" i="1" s="1"/>
  <c r="Z461" i="1" s="1"/>
  <c r="Z123" i="1"/>
  <c r="Z125" i="1" s="1"/>
  <c r="Z127" i="1" s="1"/>
  <c r="Z129" i="1" s="1"/>
  <c r="Y212" i="12"/>
  <c r="Y593" i="1" l="1"/>
  <c r="Y275" i="1"/>
  <c r="X276" i="1" s="1"/>
  <c r="AA100" i="1"/>
  <c r="AA103" i="1" s="1"/>
  <c r="AA107" i="1" s="1"/>
  <c r="Z489" i="1"/>
  <c r="Z263" i="1"/>
  <c r="AA96" i="1"/>
  <c r="AA97" i="1" s="1"/>
  <c r="AA108" i="1" s="1"/>
  <c r="Z23" i="12"/>
  <c r="Z124" i="12" s="1"/>
  <c r="Z179" i="12" s="1"/>
  <c r="Z779" i="1"/>
  <c r="Z780" i="1" s="1"/>
  <c r="Z266" i="1" l="1"/>
  <c r="Z268" i="1" s="1"/>
  <c r="AA110" i="1"/>
  <c r="AB106" i="1" s="1"/>
  <c r="AA119" i="1"/>
  <c r="AA121" i="1" s="1"/>
  <c r="AA489" i="1" s="1"/>
  <c r="AA123" i="1"/>
  <c r="AA125" i="1" s="1"/>
  <c r="AA127" i="1" s="1"/>
  <c r="AA129" i="1" s="1"/>
  <c r="Z212" i="12"/>
  <c r="Z593" i="1" l="1"/>
  <c r="Z275" i="1"/>
  <c r="Y276" i="1" s="1"/>
  <c r="AA461" i="1"/>
  <c r="AA263" i="1"/>
  <c r="AB96" i="1"/>
  <c r="AB97" i="1" s="1"/>
  <c r="AB108" i="1" s="1"/>
  <c r="AB100" i="1"/>
  <c r="AB103" i="1" s="1"/>
  <c r="AB107" i="1" s="1"/>
  <c r="AA779" i="1"/>
  <c r="AA780" i="1" s="1"/>
  <c r="AA23" i="12"/>
  <c r="AA124" i="12" s="1"/>
  <c r="AA179" i="12" s="1"/>
  <c r="I5" i="5"/>
  <c r="AA266" i="1" l="1"/>
  <c r="AA268" i="1" s="1"/>
  <c r="AB110" i="1"/>
  <c r="AC106" i="1" s="1"/>
  <c r="AB119" i="1"/>
  <c r="AB121" i="1" s="1"/>
  <c r="AB489" i="1" s="1"/>
  <c r="AB123" i="1"/>
  <c r="AB125" i="1" s="1"/>
  <c r="AB127" i="1" s="1"/>
  <c r="AB129" i="1" s="1"/>
  <c r="F21" i="35"/>
  <c r="J21" i="35" s="1"/>
  <c r="I21" i="35" s="1"/>
  <c r="AA212" i="12"/>
  <c r="K5" i="5"/>
  <c r="F31" i="35" l="1"/>
  <c r="J31" i="35" s="1"/>
  <c r="I31" i="35" s="1"/>
  <c r="AA593" i="1"/>
  <c r="AA275" i="1"/>
  <c r="Z276" i="1" s="1"/>
  <c r="AC100" i="1"/>
  <c r="AC103" i="1" s="1"/>
  <c r="AC107" i="1" s="1"/>
  <c r="AB263" i="1"/>
  <c r="AB461" i="1"/>
  <c r="AC96" i="1"/>
  <c r="AC97" i="1" s="1"/>
  <c r="AC108" i="1" s="1"/>
  <c r="AB23" i="12"/>
  <c r="AB124" i="12" s="1"/>
  <c r="AB179" i="12" s="1"/>
  <c r="AB779" i="1"/>
  <c r="AB780" i="1" s="1"/>
  <c r="AB266" i="1" l="1"/>
  <c r="AB268" i="1" s="1"/>
  <c r="AC110" i="1"/>
  <c r="AD106" i="1" s="1"/>
  <c r="AC119" i="1"/>
  <c r="AC121" i="1" s="1"/>
  <c r="AC263" i="1" s="1"/>
  <c r="AC123" i="1"/>
  <c r="AC125" i="1" s="1"/>
  <c r="AB212" i="12"/>
  <c r="AB275" i="1" l="1"/>
  <c r="AA276" i="1" s="1"/>
  <c r="AB593" i="1"/>
  <c r="AC266" i="1"/>
  <c r="AC268" i="1" s="1"/>
  <c r="AD100" i="1"/>
  <c r="AD103" i="1" s="1"/>
  <c r="AD107" i="1" s="1"/>
  <c r="AC23" i="12"/>
  <c r="AC124" i="12" s="1"/>
  <c r="AC179" i="12" s="1"/>
  <c r="AC127" i="1"/>
  <c r="AC129" i="1" s="1"/>
  <c r="AC489" i="1"/>
  <c r="AC779" i="1"/>
  <c r="AC780" i="1" s="1"/>
  <c r="AC461" i="1"/>
  <c r="AD96" i="1"/>
  <c r="AD97" i="1" s="1"/>
  <c r="AD108" i="1" s="1"/>
  <c r="AC275" i="1" l="1"/>
  <c r="AB276" i="1" s="1"/>
  <c r="AC593" i="1"/>
  <c r="AD110" i="1"/>
  <c r="AE106" i="1" s="1"/>
  <c r="AC212" i="12"/>
  <c r="AD119" i="1"/>
  <c r="AD121" i="1" s="1"/>
  <c r="AD461" i="1" s="1"/>
  <c r="AD123" i="1"/>
  <c r="AD125" i="1" s="1"/>
  <c r="AD127" i="1" s="1"/>
  <c r="AD129" i="1" s="1"/>
  <c r="AE100" i="1" l="1"/>
  <c r="AE103" i="1" s="1"/>
  <c r="AE107" i="1" s="1"/>
  <c r="AD779" i="1"/>
  <c r="AD780" i="1" s="1"/>
  <c r="AD263" i="1"/>
  <c r="AD489" i="1"/>
  <c r="AD23" i="12"/>
  <c r="AD124" i="12" s="1"/>
  <c r="AD179" i="12" s="1"/>
  <c r="AE96" i="1"/>
  <c r="AE97" i="1" s="1"/>
  <c r="AE108" i="1" s="1"/>
  <c r="AD266" i="1" l="1"/>
  <c r="AD268" i="1" s="1"/>
  <c r="AE110" i="1"/>
  <c r="AF106" i="1" s="1"/>
  <c r="AE119" i="1"/>
  <c r="AE121" i="1" s="1"/>
  <c r="AE263" i="1" s="1"/>
  <c r="AE123" i="1"/>
  <c r="AE125" i="1" s="1"/>
  <c r="AE127" i="1" s="1"/>
  <c r="AE129" i="1" s="1"/>
  <c r="AD212" i="12"/>
  <c r="AD593" i="1" l="1"/>
  <c r="AD275" i="1"/>
  <c r="AC276" i="1" s="1"/>
  <c r="AE266" i="1"/>
  <c r="AE268" i="1" s="1"/>
  <c r="AF96" i="1"/>
  <c r="AF97" i="1" s="1"/>
  <c r="AF108" i="1" s="1"/>
  <c r="AF119" i="1" s="1"/>
  <c r="AF121" i="1" s="1"/>
  <c r="AF263" i="1" s="1"/>
  <c r="AE23" i="12"/>
  <c r="AE124" i="12" s="1"/>
  <c r="AE179" i="12" s="1"/>
  <c r="AE461" i="1"/>
  <c r="AE489" i="1"/>
  <c r="AE779" i="1"/>
  <c r="AE780" i="1" s="1"/>
  <c r="AF100" i="1"/>
  <c r="AF103" i="1" s="1"/>
  <c r="AF107" i="1" s="1"/>
  <c r="AE275" i="1" l="1"/>
  <c r="AD276" i="1" s="1"/>
  <c r="AE593" i="1"/>
  <c r="AF266" i="1"/>
  <c r="AF268" i="1" s="1"/>
  <c r="AF110" i="1"/>
  <c r="AG106" i="1" s="1"/>
  <c r="AG96" i="1" s="1"/>
  <c r="AG97" i="1" s="1"/>
  <c r="AG108" i="1" s="1"/>
  <c r="AF123" i="1"/>
  <c r="AF125" i="1" s="1"/>
  <c r="AF127" i="1" s="1"/>
  <c r="AF129" i="1" s="1"/>
  <c r="AE212" i="12"/>
  <c r="AF461" i="1"/>
  <c r="AF489" i="1"/>
  <c r="AF593" i="1" l="1"/>
  <c r="AF275" i="1"/>
  <c r="AE276" i="1" s="1"/>
  <c r="AF23" i="12"/>
  <c r="AF124" i="12" s="1"/>
  <c r="AF179" i="12" s="1"/>
  <c r="AF779" i="1"/>
  <c r="AF780" i="1" s="1"/>
  <c r="AG100" i="1"/>
  <c r="AG103" i="1" s="1"/>
  <c r="AG107" i="1" s="1"/>
  <c r="AG110" i="1" s="1"/>
  <c r="AH106" i="1" s="1"/>
  <c r="AG119" i="1"/>
  <c r="AG121" i="1" s="1"/>
  <c r="AG461" i="1" s="1"/>
  <c r="AG123" i="1"/>
  <c r="AG125" i="1" s="1"/>
  <c r="AF212" i="12" l="1"/>
  <c r="AH96" i="1"/>
  <c r="AH97" i="1" s="1"/>
  <c r="AH108" i="1" s="1"/>
  <c r="AH123" i="1" s="1"/>
  <c r="AH125" i="1" s="1"/>
  <c r="AH127" i="1" s="1"/>
  <c r="AH129" i="1" s="1"/>
  <c r="AG127" i="1"/>
  <c r="AG129" i="1" s="1"/>
  <c r="AG489" i="1"/>
  <c r="AG263" i="1"/>
  <c r="AG779" i="1"/>
  <c r="AG780" i="1" s="1"/>
  <c r="AG23" i="12"/>
  <c r="AG124" i="12" s="1"/>
  <c r="AG179" i="12" s="1"/>
  <c r="AH100" i="1"/>
  <c r="AH103" i="1" s="1"/>
  <c r="AH107" i="1" s="1"/>
  <c r="AG266" i="1" l="1"/>
  <c r="AG268" i="1" s="1"/>
  <c r="AH110" i="1"/>
  <c r="AI106" i="1" s="1"/>
  <c r="AH119" i="1"/>
  <c r="AH121" i="1" s="1"/>
  <c r="AH263" i="1" s="1"/>
  <c r="AG212" i="12"/>
  <c r="AH23" i="12"/>
  <c r="AH124" i="12" s="1"/>
  <c r="AH179" i="12" s="1"/>
  <c r="AH779" i="1"/>
  <c r="AH780" i="1" s="1"/>
  <c r="AG275" i="1" l="1"/>
  <c r="AF276" i="1" s="1"/>
  <c r="AG593" i="1"/>
  <c r="AH266" i="1"/>
  <c r="AH268" i="1" s="1"/>
  <c r="AH461" i="1"/>
  <c r="AH489" i="1"/>
  <c r="AI100" i="1"/>
  <c r="AI103" i="1" s="1"/>
  <c r="AI107" i="1" s="1"/>
  <c r="AI96" i="1"/>
  <c r="AI97" i="1" s="1"/>
  <c r="AI108" i="1" s="1"/>
  <c r="AI119" i="1" s="1"/>
  <c r="AH212" i="12"/>
  <c r="AH275" i="1" l="1"/>
  <c r="AG276" i="1" s="1"/>
  <c r="AH593" i="1"/>
  <c r="AI110" i="1"/>
  <c r="AJ106" i="1" s="1"/>
  <c r="AJ96" i="1" s="1"/>
  <c r="AJ97" i="1" s="1"/>
  <c r="AJ108" i="1" s="1"/>
  <c r="AI123" i="1"/>
  <c r="AI125" i="1" s="1"/>
  <c r="AI127" i="1" s="1"/>
  <c r="AI129" i="1" s="1"/>
  <c r="AI121" i="1"/>
  <c r="AI263" i="1" s="1"/>
  <c r="AI266" i="1" l="1"/>
  <c r="AI268" i="1" s="1"/>
  <c r="AJ100" i="1"/>
  <c r="AJ103" i="1" s="1"/>
  <c r="AJ107" i="1" s="1"/>
  <c r="AJ110" i="1" s="1"/>
  <c r="AK106" i="1" s="1"/>
  <c r="AI23" i="12"/>
  <c r="AI124" i="12" s="1"/>
  <c r="AI179" i="12" s="1"/>
  <c r="AI461" i="1"/>
  <c r="AI779" i="1"/>
  <c r="AI780" i="1" s="1"/>
  <c r="AI489" i="1"/>
  <c r="AJ119" i="1"/>
  <c r="AJ121" i="1" s="1"/>
  <c r="AJ123" i="1"/>
  <c r="AJ125" i="1" s="1"/>
  <c r="AJ127" i="1" s="1"/>
  <c r="AJ129" i="1" s="1"/>
  <c r="AI593" i="1" l="1"/>
  <c r="AI275" i="1"/>
  <c r="AH276" i="1" s="1"/>
  <c r="AI212" i="12"/>
  <c r="AK100" i="1"/>
  <c r="AK103" i="1" s="1"/>
  <c r="AK107" i="1" s="1"/>
  <c r="AK96" i="1"/>
  <c r="AK97" i="1" s="1"/>
  <c r="AK108" i="1" s="1"/>
  <c r="AJ263" i="1"/>
  <c r="AJ461" i="1"/>
  <c r="AJ489" i="1"/>
  <c r="AJ266" i="1" l="1"/>
  <c r="AJ268" i="1" s="1"/>
  <c r="AK110" i="1"/>
  <c r="AL106" i="1" s="1"/>
  <c r="AK119" i="1"/>
  <c r="AK121" i="1" s="1"/>
  <c r="AK461" i="1" s="1"/>
  <c r="AK123" i="1"/>
  <c r="AK125" i="1" s="1"/>
  <c r="AK127" i="1" s="1"/>
  <c r="AK129" i="1" s="1"/>
  <c r="AJ23" i="12"/>
  <c r="AJ124" i="12" s="1"/>
  <c r="AJ179" i="12" s="1"/>
  <c r="AJ779" i="1"/>
  <c r="AJ780" i="1" s="1"/>
  <c r="AJ593" i="1" l="1"/>
  <c r="AJ275" i="1"/>
  <c r="AI276" i="1" s="1"/>
  <c r="AK779" i="1"/>
  <c r="AK780" i="1" s="1"/>
  <c r="AK489" i="1"/>
  <c r="AK23" i="12"/>
  <c r="AK124" i="12" s="1"/>
  <c r="AK263" i="1"/>
  <c r="AL100" i="1"/>
  <c r="AL103" i="1" s="1"/>
  <c r="AL107" i="1" s="1"/>
  <c r="AL96" i="1"/>
  <c r="AL97" i="1" s="1"/>
  <c r="AL108" i="1" s="1"/>
  <c r="AJ212" i="12"/>
  <c r="AK266" i="1" l="1"/>
  <c r="AK268" i="1" s="1"/>
  <c r="AL110" i="1"/>
  <c r="AM106" i="1" s="1"/>
  <c r="AL119" i="1"/>
  <c r="AL121" i="1" s="1"/>
  <c r="AL123" i="1"/>
  <c r="AL125" i="1" s="1"/>
  <c r="AL127" i="1" s="1"/>
  <c r="AL129" i="1" s="1"/>
  <c r="AK212" i="12"/>
  <c r="AK179" i="12"/>
  <c r="AK593" i="1" l="1"/>
  <c r="AK275" i="1"/>
  <c r="AJ276" i="1" s="1"/>
  <c r="AL23" i="12"/>
  <c r="AL124" i="12" s="1"/>
  <c r="AL179" i="12" s="1"/>
  <c r="AL779" i="1"/>
  <c r="AL780" i="1" s="1"/>
  <c r="AM100" i="1"/>
  <c r="AM103" i="1" s="1"/>
  <c r="AM107" i="1" s="1"/>
  <c r="AM96" i="1"/>
  <c r="AM97" i="1" s="1"/>
  <c r="AM108" i="1" s="1"/>
  <c r="AL489" i="1"/>
  <c r="AL461" i="1"/>
  <c r="AL263" i="1"/>
  <c r="AL266" i="1" l="1"/>
  <c r="AL268" i="1" s="1"/>
  <c r="AM110" i="1"/>
  <c r="AN106" i="1" s="1"/>
  <c r="AM119" i="1"/>
  <c r="AM121" i="1" s="1"/>
  <c r="AM263" i="1" s="1"/>
  <c r="AM123" i="1"/>
  <c r="AM125" i="1" s="1"/>
  <c r="AM127" i="1" s="1"/>
  <c r="AM129" i="1" s="1"/>
  <c r="AL212" i="12"/>
  <c r="AL275" i="1" l="1"/>
  <c r="AK276" i="1" s="1"/>
  <c r="AL593" i="1"/>
  <c r="AM266" i="1"/>
  <c r="AM268" i="1" s="1"/>
  <c r="AM593" i="1" s="1"/>
  <c r="AM779" i="1"/>
  <c r="AM780" i="1" s="1"/>
  <c r="AM489" i="1"/>
  <c r="AM461" i="1"/>
  <c r="AM23" i="12"/>
  <c r="AM124" i="12" s="1"/>
  <c r="AM179" i="12" s="1"/>
  <c r="AN100" i="1"/>
  <c r="AN103" i="1" s="1"/>
  <c r="AN107" i="1" s="1"/>
  <c r="AN96" i="1"/>
  <c r="AN97" i="1" s="1"/>
  <c r="AN108" i="1" s="1"/>
  <c r="AM275" i="1" l="1"/>
  <c r="AL276" i="1" s="1"/>
  <c r="AN110" i="1"/>
  <c r="AO106" i="1" s="1"/>
  <c r="AN119" i="1"/>
  <c r="AN121" i="1" s="1"/>
  <c r="AN461" i="1" s="1"/>
  <c r="AN123" i="1"/>
  <c r="AN125" i="1" s="1"/>
  <c r="AN127" i="1" s="1"/>
  <c r="AN129" i="1" s="1"/>
  <c r="AM212" i="12"/>
  <c r="AN23" i="12" l="1"/>
  <c r="AN124" i="12" s="1"/>
  <c r="AN263" i="1"/>
  <c r="AN489" i="1"/>
  <c r="AN779" i="1"/>
  <c r="AN780" i="1" s="1"/>
  <c r="AO96" i="1"/>
  <c r="AO97" i="1" s="1"/>
  <c r="AO108" i="1" s="1"/>
  <c r="AO100" i="1"/>
  <c r="AO103" i="1" s="1"/>
  <c r="AO107" i="1" s="1"/>
  <c r="AN266" i="1" l="1"/>
  <c r="AN268" i="1" s="1"/>
  <c r="AO110" i="1"/>
  <c r="AP106" i="1" s="1"/>
  <c r="AO119" i="1"/>
  <c r="AO121" i="1" s="1"/>
  <c r="AO123" i="1"/>
  <c r="AO125" i="1" s="1"/>
  <c r="AO127" i="1" s="1"/>
  <c r="AO129" i="1" s="1"/>
  <c r="AN212" i="12"/>
  <c r="AN179" i="12"/>
  <c r="AN593" i="1" l="1"/>
  <c r="AN275" i="1"/>
  <c r="AM276" i="1" s="1"/>
  <c r="AP100" i="1"/>
  <c r="AP103" i="1" s="1"/>
  <c r="AP107" i="1" s="1"/>
  <c r="AP96" i="1"/>
  <c r="AP97" i="1" s="1"/>
  <c r="AP108" i="1" s="1"/>
  <c r="AO23" i="12"/>
  <c r="AO124" i="12" s="1"/>
  <c r="AO179" i="12" s="1"/>
  <c r="AO779" i="1"/>
  <c r="AO780" i="1" s="1"/>
  <c r="AO489" i="1"/>
  <c r="AO461" i="1"/>
  <c r="AO263" i="1"/>
  <c r="AO266" i="1" l="1"/>
  <c r="AO268" i="1" s="1"/>
  <c r="AP110" i="1"/>
  <c r="AQ106" i="1" s="1"/>
  <c r="AP119" i="1"/>
  <c r="AP121" i="1" s="1"/>
  <c r="AP489" i="1" s="1"/>
  <c r="AP123" i="1"/>
  <c r="AP125" i="1" s="1"/>
  <c r="AP127" i="1" s="1"/>
  <c r="AP129" i="1" s="1"/>
  <c r="AO212" i="12"/>
  <c r="AO275" i="1" l="1"/>
  <c r="AN276" i="1" s="1"/>
  <c r="AO593" i="1"/>
  <c r="AP23" i="12"/>
  <c r="AP124" i="12" s="1"/>
  <c r="AP179" i="12" s="1"/>
  <c r="AP461" i="1"/>
  <c r="AP263" i="1"/>
  <c r="AP779" i="1"/>
  <c r="AP780" i="1" s="1"/>
  <c r="AQ96" i="1"/>
  <c r="AQ97" i="1" s="1"/>
  <c r="AQ108" i="1" s="1"/>
  <c r="AQ100" i="1"/>
  <c r="AQ103" i="1" s="1"/>
  <c r="AQ107" i="1" s="1"/>
  <c r="AP266" i="1" l="1"/>
  <c r="AP268" i="1" s="1"/>
  <c r="AQ110" i="1"/>
  <c r="AR106" i="1" s="1"/>
  <c r="AP212" i="12"/>
  <c r="AQ119" i="1"/>
  <c r="AQ121" i="1" s="1"/>
  <c r="AQ461" i="1" s="1"/>
  <c r="AQ123" i="1"/>
  <c r="AQ125" i="1" s="1"/>
  <c r="AP593" i="1" l="1"/>
  <c r="AP275" i="1"/>
  <c r="AO276" i="1" s="1"/>
  <c r="AR100" i="1"/>
  <c r="AR103" i="1" s="1"/>
  <c r="AR107" i="1" s="1"/>
  <c r="AQ127" i="1"/>
  <c r="AQ129" i="1" s="1"/>
  <c r="AQ779" i="1"/>
  <c r="AQ780" i="1" s="1"/>
  <c r="AQ489" i="1"/>
  <c r="AQ263" i="1"/>
  <c r="AQ23" i="12"/>
  <c r="AQ124" i="12" s="1"/>
  <c r="AQ179" i="12" s="1"/>
  <c r="AR96" i="1"/>
  <c r="AR97" i="1" s="1"/>
  <c r="AR108" i="1" s="1"/>
  <c r="AQ266" i="1" l="1"/>
  <c r="AQ268" i="1" s="1"/>
  <c r="AQ593" i="1" s="1"/>
  <c r="AR110" i="1"/>
  <c r="AS106" i="1" s="1"/>
  <c r="AR119" i="1"/>
  <c r="AR121" i="1" s="1"/>
  <c r="AR263" i="1" s="1"/>
  <c r="AR123" i="1"/>
  <c r="AR125" i="1" s="1"/>
  <c r="AQ212" i="12"/>
  <c r="AR266" i="1" l="1"/>
  <c r="AR268" i="1" s="1"/>
  <c r="AQ275" i="1"/>
  <c r="AP276" i="1" s="1"/>
  <c r="AS100" i="1"/>
  <c r="AS103" i="1" s="1"/>
  <c r="AS107" i="1" s="1"/>
  <c r="AR23" i="12"/>
  <c r="AR124" i="12" s="1"/>
  <c r="AR179" i="12" s="1"/>
  <c r="AR127" i="1"/>
  <c r="AR129" i="1" s="1"/>
  <c r="AR779" i="1"/>
  <c r="AR780" i="1" s="1"/>
  <c r="AR489" i="1"/>
  <c r="AR461" i="1"/>
  <c r="AS96" i="1"/>
  <c r="AS97" i="1" s="1"/>
  <c r="AS108" i="1" s="1"/>
  <c r="AR593" i="1" l="1"/>
  <c r="AR275" i="1"/>
  <c r="AQ276" i="1" s="1"/>
  <c r="AS110" i="1"/>
  <c r="AT106" i="1" s="1"/>
  <c r="AR212" i="12"/>
  <c r="AS119" i="1"/>
  <c r="AS121" i="1" s="1"/>
  <c r="AS461" i="1" s="1"/>
  <c r="AS123" i="1"/>
  <c r="AS125" i="1" s="1"/>
  <c r="AS127" i="1" l="1"/>
  <c r="AS129" i="1" s="1"/>
  <c r="AS263" i="1"/>
  <c r="AS23" i="12"/>
  <c r="AS124" i="12" s="1"/>
  <c r="AS179" i="12" s="1"/>
  <c r="AS489" i="1"/>
  <c r="AS779" i="1"/>
  <c r="AS780" i="1" s="1"/>
  <c r="AT100" i="1"/>
  <c r="AT103" i="1" s="1"/>
  <c r="AT107" i="1" s="1"/>
  <c r="AT96" i="1"/>
  <c r="AT97" i="1" s="1"/>
  <c r="AT108" i="1" s="1"/>
  <c r="AS266" i="1" l="1"/>
  <c r="AS268" i="1" s="1"/>
  <c r="AT110" i="1"/>
  <c r="AU106" i="1" s="1"/>
  <c r="AT119" i="1"/>
  <c r="AT121" i="1" s="1"/>
  <c r="AT489" i="1" s="1"/>
  <c r="AT123" i="1"/>
  <c r="AT125" i="1" s="1"/>
  <c r="AT127" i="1" s="1"/>
  <c r="AT129" i="1" s="1"/>
  <c r="AS212" i="12"/>
  <c r="AS593" i="1" l="1"/>
  <c r="AS275" i="1"/>
  <c r="AR276" i="1" s="1"/>
  <c r="AT263" i="1"/>
  <c r="AT461" i="1"/>
  <c r="AU100" i="1"/>
  <c r="AU103" i="1" s="1"/>
  <c r="AU107" i="1" s="1"/>
  <c r="AU96" i="1"/>
  <c r="AU97" i="1" s="1"/>
  <c r="AU108" i="1" s="1"/>
  <c r="AT23" i="12"/>
  <c r="AT124" i="12" s="1"/>
  <c r="AT179" i="12" s="1"/>
  <c r="AT779" i="1"/>
  <c r="AT780" i="1" s="1"/>
  <c r="AT266" i="1" l="1"/>
  <c r="AT268" i="1" s="1"/>
  <c r="AU110" i="1"/>
  <c r="AV106" i="1" s="1"/>
  <c r="AU119" i="1"/>
  <c r="AU121" i="1" s="1"/>
  <c r="AU489" i="1" s="1"/>
  <c r="AU123" i="1"/>
  <c r="AU125" i="1" s="1"/>
  <c r="AU127" i="1" s="1"/>
  <c r="AU129" i="1" s="1"/>
  <c r="AT212" i="12"/>
  <c r="AT275" i="1" l="1"/>
  <c r="AS276" i="1" s="1"/>
  <c r="AT593" i="1"/>
  <c r="AV100" i="1"/>
  <c r="AV103" i="1" s="1"/>
  <c r="AV107" i="1" s="1"/>
  <c r="AU263" i="1"/>
  <c r="AU461" i="1"/>
  <c r="AV96" i="1"/>
  <c r="AV97" i="1" s="1"/>
  <c r="AV108" i="1" s="1"/>
  <c r="AU779" i="1"/>
  <c r="AU780" i="1" s="1"/>
  <c r="AU23" i="12"/>
  <c r="AU124" i="12" s="1"/>
  <c r="AU179" i="12" s="1"/>
  <c r="AU266" i="1" l="1"/>
  <c r="AU268" i="1" s="1"/>
  <c r="AU593" i="1" s="1"/>
  <c r="AV110" i="1"/>
  <c r="AW106" i="1" s="1"/>
  <c r="AV119" i="1"/>
  <c r="AV121" i="1" s="1"/>
  <c r="AV461" i="1" s="1"/>
  <c r="AV123" i="1"/>
  <c r="AV125" i="1" s="1"/>
  <c r="AU212" i="12"/>
  <c r="AU275" i="1" l="1"/>
  <c r="AT276" i="1" s="1"/>
  <c r="AW96" i="1"/>
  <c r="AW97" i="1" s="1"/>
  <c r="AW108" i="1" s="1"/>
  <c r="AW119" i="1" s="1"/>
  <c r="AW121" i="1" s="1"/>
  <c r="AW489" i="1" s="1"/>
  <c r="AV23" i="12"/>
  <c r="AV124" i="12" s="1"/>
  <c r="AV179" i="12" s="1"/>
  <c r="AV127" i="1"/>
  <c r="AV129" i="1" s="1"/>
  <c r="AV489" i="1"/>
  <c r="AV263" i="1"/>
  <c r="AV779" i="1"/>
  <c r="AV780" i="1" s="1"/>
  <c r="AW100" i="1"/>
  <c r="AW103" i="1" s="1"/>
  <c r="AW107" i="1" s="1"/>
  <c r="AV266" i="1" l="1"/>
  <c r="AV268" i="1" s="1"/>
  <c r="AW123" i="1"/>
  <c r="AW125" i="1" s="1"/>
  <c r="AW779" i="1" s="1"/>
  <c r="AW780" i="1" s="1"/>
  <c r="AV212" i="12"/>
  <c r="AW110" i="1"/>
  <c r="AX106" i="1" s="1"/>
  <c r="AW461" i="1"/>
  <c r="AW263" i="1"/>
  <c r="AV275" i="1" l="1"/>
  <c r="AU276" i="1" s="1"/>
  <c r="AV593" i="1"/>
  <c r="AW266" i="1"/>
  <c r="AW268" i="1" s="1"/>
  <c r="AW23" i="12"/>
  <c r="AW124" i="12" s="1"/>
  <c r="AW179" i="12" s="1"/>
  <c r="AW127" i="1"/>
  <c r="AW129" i="1" s="1"/>
  <c r="AX100" i="1"/>
  <c r="AX103" i="1" s="1"/>
  <c r="AX96" i="1"/>
  <c r="AX97" i="1" s="1"/>
  <c r="I97" i="1" s="1"/>
  <c r="I108" i="1" s="1"/>
  <c r="I123" i="1" s="1"/>
  <c r="AW275" i="1" l="1"/>
  <c r="AV276" i="1" s="1"/>
  <c r="AW593" i="1"/>
  <c r="AW212" i="12"/>
  <c r="AX108" i="1"/>
  <c r="AX123" i="1" s="1"/>
  <c r="AX125" i="1" s="1"/>
  <c r="AX127" i="1" s="1"/>
  <c r="AX129" i="1" s="1"/>
  <c r="I119" i="1"/>
  <c r="AX107" i="1"/>
  <c r="I103" i="1"/>
  <c r="I107" i="1" s="1"/>
  <c r="F112" i="1" l="1"/>
  <c r="AX119" i="1"/>
  <c r="AX121" i="1" s="1"/>
  <c r="AX489" i="1" s="1"/>
  <c r="F113" i="1"/>
  <c r="AX110" i="1"/>
  <c r="F115" i="1" l="1"/>
  <c r="F794" i="1" s="1"/>
  <c r="AX263" i="1"/>
  <c r="I121" i="1"/>
  <c r="I461" i="1" s="1"/>
  <c r="AX461" i="1"/>
  <c r="AX23" i="12"/>
  <c r="AX779" i="1"/>
  <c r="AX780" i="1" s="1"/>
  <c r="I780" i="1" s="1"/>
  <c r="I125" i="1"/>
  <c r="I127" i="1" s="1"/>
  <c r="I129" i="1"/>
  <c r="AX266" i="1" l="1"/>
  <c r="AX268" i="1" s="1"/>
  <c r="I489" i="1"/>
  <c r="I263" i="1"/>
  <c r="I779" i="1"/>
  <c r="I23" i="12"/>
  <c r="AX124" i="12"/>
  <c r="AX179" i="12" s="1"/>
  <c r="F36" i="12"/>
  <c r="I266" i="1" l="1"/>
  <c r="AX275" i="1"/>
  <c r="AW276" i="1" s="1"/>
  <c r="AX276" i="1" s="1"/>
  <c r="AX593" i="1"/>
  <c r="I268" i="1"/>
  <c r="I275" i="1" s="1"/>
  <c r="AX212" i="12"/>
  <c r="F137" i="12"/>
  <c r="I14" i="5" s="1"/>
  <c r="F26" i="35" s="1"/>
  <c r="J26" i="35" s="1"/>
  <c r="I26" i="35" s="1"/>
  <c r="I124" i="12"/>
  <c r="I212" i="12" s="1"/>
  <c r="F192" i="12"/>
  <c r="AX277" i="1" l="1"/>
  <c r="AX280" i="1" s="1"/>
  <c r="I276" i="1"/>
  <c r="I593" i="1"/>
  <c r="K14" i="5"/>
  <c r="F36" i="35" s="1"/>
  <c r="J36" i="35" s="1"/>
  <c r="I36" i="35" s="1"/>
  <c r="T181" i="5"/>
  <c r="U277" i="1"/>
  <c r="Z277" i="1"/>
  <c r="X277" i="1"/>
  <c r="AH277" i="1"/>
  <c r="AU277" i="1"/>
  <c r="AT277" i="1"/>
  <c r="AB277" i="1"/>
  <c r="AM277" i="1"/>
  <c r="AL277" i="1"/>
  <c r="AV277" i="1"/>
  <c r="L277" i="1"/>
  <c r="R277" i="1"/>
  <c r="AA277" i="1"/>
  <c r="AP277" i="1"/>
  <c r="AO277" i="1"/>
  <c r="AS277" i="1"/>
  <c r="AW277" i="1"/>
  <c r="W277" i="1"/>
  <c r="AN277" i="1"/>
  <c r="T277" i="1"/>
  <c r="AQ277" i="1"/>
  <c r="K277" i="1"/>
  <c r="AR277" i="1"/>
  <c r="N277" i="1"/>
  <c r="M277" i="1"/>
  <c r="V277" i="1"/>
  <c r="AF277" i="1"/>
  <c r="S277" i="1"/>
  <c r="AD277" i="1"/>
  <c r="AC277" i="1"/>
  <c r="AG277" i="1"/>
  <c r="AE277" i="1"/>
  <c r="P277" i="1"/>
  <c r="AJ277" i="1"/>
  <c r="AI277" i="1"/>
  <c r="Y277" i="1"/>
  <c r="Q277" i="1"/>
  <c r="AK277" i="1"/>
  <c r="O277" i="1"/>
  <c r="AX286" i="1" l="1"/>
  <c r="AX288" i="1" s="1"/>
  <c r="AX302" i="1" s="1"/>
  <c r="AX318" i="1" s="1"/>
  <c r="I277" i="1"/>
  <c r="AA286" i="1"/>
  <c r="AA288" i="1" s="1"/>
  <c r="AA302" i="1" s="1"/>
  <c r="AA318" i="1" s="1"/>
  <c r="AA280" i="1"/>
  <c r="S280" i="1"/>
  <c r="S286" i="1"/>
  <c r="S288" i="1" s="1"/>
  <c r="S302" i="1" s="1"/>
  <c r="S318" i="1" s="1"/>
  <c r="AI286" i="1"/>
  <c r="AI288" i="1" s="1"/>
  <c r="AI302" i="1" s="1"/>
  <c r="AI318" i="1" s="1"/>
  <c r="AI280" i="1"/>
  <c r="AF280" i="1"/>
  <c r="AF286" i="1"/>
  <c r="AF288" i="1" s="1"/>
  <c r="AF302" i="1" s="1"/>
  <c r="AF318" i="1" s="1"/>
  <c r="AN286" i="1"/>
  <c r="AN288" i="1" s="1"/>
  <c r="AN302" i="1" s="1"/>
  <c r="AN318" i="1" s="1"/>
  <c r="AN280" i="1"/>
  <c r="L286" i="1"/>
  <c r="L288" i="1" s="1"/>
  <c r="L302" i="1" s="1"/>
  <c r="L318" i="1" s="1"/>
  <c r="L280" i="1"/>
  <c r="X280" i="1"/>
  <c r="X286" i="1"/>
  <c r="X288" i="1" s="1"/>
  <c r="X302" i="1" s="1"/>
  <c r="X318" i="1" s="1"/>
  <c r="W286" i="1"/>
  <c r="W288" i="1" s="1"/>
  <c r="W302" i="1" s="1"/>
  <c r="W318" i="1" s="1"/>
  <c r="W280" i="1"/>
  <c r="Z280" i="1"/>
  <c r="Z286" i="1"/>
  <c r="Z288" i="1" s="1"/>
  <c r="Z302" i="1" s="1"/>
  <c r="Z318" i="1" s="1"/>
  <c r="AU280" i="1"/>
  <c r="AU286" i="1"/>
  <c r="AU288" i="1" s="1"/>
  <c r="AU302" i="1" s="1"/>
  <c r="AU318" i="1" s="1"/>
  <c r="AH286" i="1"/>
  <c r="AH288" i="1" s="1"/>
  <c r="AH302" i="1" s="1"/>
  <c r="AH318" i="1" s="1"/>
  <c r="AH280" i="1"/>
  <c r="M280" i="1"/>
  <c r="M286" i="1"/>
  <c r="M288" i="1" s="1"/>
  <c r="M302" i="1" s="1"/>
  <c r="M318" i="1" s="1"/>
  <c r="AW280" i="1"/>
  <c r="AW286" i="1"/>
  <c r="AW288" i="1" s="1"/>
  <c r="AW302" i="1" s="1"/>
  <c r="AW318" i="1" s="1"/>
  <c r="AL280" i="1"/>
  <c r="AL286" i="1"/>
  <c r="AL288" i="1" s="1"/>
  <c r="AL302" i="1" s="1"/>
  <c r="AL318" i="1" s="1"/>
  <c r="U280" i="1"/>
  <c r="U286" i="1"/>
  <c r="U288" i="1" s="1"/>
  <c r="U302" i="1" s="1"/>
  <c r="U318" i="1" s="1"/>
  <c r="AQ280" i="1"/>
  <c r="AQ286" i="1"/>
  <c r="AQ288" i="1" s="1"/>
  <c r="AQ302" i="1" s="1"/>
  <c r="AQ318" i="1" s="1"/>
  <c r="Y286" i="1"/>
  <c r="Y288" i="1" s="1"/>
  <c r="Y302" i="1" s="1"/>
  <c r="Y318" i="1" s="1"/>
  <c r="Y280" i="1"/>
  <c r="AJ286" i="1"/>
  <c r="AJ288" i="1" s="1"/>
  <c r="AJ302" i="1" s="1"/>
  <c r="AJ318" i="1" s="1"/>
  <c r="AJ280" i="1"/>
  <c r="AV286" i="1"/>
  <c r="AV288" i="1" s="1"/>
  <c r="AV302" i="1" s="1"/>
  <c r="AV318" i="1" s="1"/>
  <c r="AV280" i="1"/>
  <c r="N280" i="1"/>
  <c r="N286" i="1"/>
  <c r="N288" i="1" s="1"/>
  <c r="N302" i="1" s="1"/>
  <c r="N318" i="1" s="1"/>
  <c r="AS280" i="1"/>
  <c r="AS286" i="1"/>
  <c r="AS288" i="1" s="1"/>
  <c r="AS302" i="1" s="1"/>
  <c r="AS318" i="1" s="1"/>
  <c r="AM286" i="1"/>
  <c r="AM288" i="1" s="1"/>
  <c r="AM302" i="1" s="1"/>
  <c r="AM318" i="1" s="1"/>
  <c r="AM280" i="1"/>
  <c r="Q280" i="1"/>
  <c r="Q286" i="1"/>
  <c r="Q288" i="1" s="1"/>
  <c r="Q302" i="1" s="1"/>
  <c r="Q318" i="1" s="1"/>
  <c r="R280" i="1"/>
  <c r="R286" i="1"/>
  <c r="R288" i="1" s="1"/>
  <c r="R302" i="1" s="1"/>
  <c r="R318" i="1" s="1"/>
  <c r="V286" i="1"/>
  <c r="V288" i="1" s="1"/>
  <c r="V302" i="1" s="1"/>
  <c r="V318" i="1" s="1"/>
  <c r="V280" i="1"/>
  <c r="AE286" i="1"/>
  <c r="AE288" i="1" s="1"/>
  <c r="AE302" i="1" s="1"/>
  <c r="AE318" i="1" s="1"/>
  <c r="AE280" i="1"/>
  <c r="O280" i="1"/>
  <c r="O286" i="1"/>
  <c r="O288" i="1" s="1"/>
  <c r="O302" i="1" s="1"/>
  <c r="O318" i="1" s="1"/>
  <c r="AG286" i="1"/>
  <c r="AG288" i="1" s="1"/>
  <c r="AG302" i="1" s="1"/>
  <c r="AG318" i="1" s="1"/>
  <c r="AG280" i="1"/>
  <c r="AR280" i="1"/>
  <c r="AR286" i="1"/>
  <c r="AR288" i="1" s="1"/>
  <c r="AR302" i="1" s="1"/>
  <c r="AR318" i="1" s="1"/>
  <c r="AO280" i="1"/>
  <c r="AO286" i="1"/>
  <c r="AO288" i="1" s="1"/>
  <c r="AO302" i="1" s="1"/>
  <c r="AO318" i="1" s="1"/>
  <c r="AB280" i="1"/>
  <c r="AB286" i="1"/>
  <c r="AB288" i="1" s="1"/>
  <c r="AB302" i="1" s="1"/>
  <c r="AB318" i="1" s="1"/>
  <c r="AD286" i="1"/>
  <c r="AD288" i="1" s="1"/>
  <c r="AD302" i="1" s="1"/>
  <c r="AD318" i="1" s="1"/>
  <c r="AD280" i="1"/>
  <c r="T286" i="1"/>
  <c r="T288" i="1" s="1"/>
  <c r="T302" i="1" s="1"/>
  <c r="T318" i="1" s="1"/>
  <c r="T280" i="1"/>
  <c r="P286" i="1"/>
  <c r="P288" i="1" s="1"/>
  <c r="P302" i="1" s="1"/>
  <c r="P318" i="1" s="1"/>
  <c r="P280" i="1"/>
  <c r="AK286" i="1"/>
  <c r="AK288" i="1" s="1"/>
  <c r="AK302" i="1" s="1"/>
  <c r="AK318" i="1" s="1"/>
  <c r="AK280" i="1"/>
  <c r="AC280" i="1"/>
  <c r="AC286" i="1"/>
  <c r="AC288" i="1" s="1"/>
  <c r="AC302" i="1" s="1"/>
  <c r="AC318" i="1" s="1"/>
  <c r="K286" i="1"/>
  <c r="K280" i="1"/>
  <c r="AP280" i="1"/>
  <c r="AP286" i="1"/>
  <c r="AP288" i="1" s="1"/>
  <c r="AP302" i="1" s="1"/>
  <c r="AP318" i="1" s="1"/>
  <c r="AT286" i="1"/>
  <c r="AT288" i="1" s="1"/>
  <c r="AT302" i="1" s="1"/>
  <c r="AT318" i="1" s="1"/>
  <c r="AT280" i="1"/>
  <c r="K282" i="1" l="1"/>
  <c r="I280" i="1"/>
  <c r="K288" i="1"/>
  <c r="I286" i="1"/>
  <c r="I288" i="1" l="1"/>
  <c r="I302" i="1" s="1"/>
  <c r="I318" i="1" s="1"/>
  <c r="K302" i="1"/>
  <c r="K318" i="1" s="1"/>
  <c r="L282" i="1"/>
  <c r="K291" i="1"/>
  <c r="K293" i="1" s="1"/>
  <c r="K496" i="1"/>
  <c r="K303" i="1" l="1"/>
  <c r="K304" i="1" s="1"/>
  <c r="K317" i="1" s="1"/>
  <c r="L291" i="1"/>
  <c r="L293" i="1" s="1"/>
  <c r="M282" i="1"/>
  <c r="F310" i="1"/>
  <c r="K519" i="1"/>
  <c r="M291" i="1" l="1"/>
  <c r="M293" i="1" s="1"/>
  <c r="N282" i="1"/>
  <c r="O282" i="1" l="1"/>
  <c r="N291" i="1"/>
  <c r="N293" i="1" s="1"/>
  <c r="K329" i="1"/>
  <c r="K332" i="1" l="1"/>
  <c r="K331" i="1"/>
  <c r="O291" i="1"/>
  <c r="O293" i="1" s="1"/>
  <c r="P282" i="1"/>
  <c r="K341" i="1" l="1"/>
  <c r="K381" i="1" s="1"/>
  <c r="K342" i="1"/>
  <c r="K462" i="1" s="1"/>
  <c r="K500" i="1" s="1"/>
  <c r="P291" i="1"/>
  <c r="P293" i="1" s="1"/>
  <c r="Q282" i="1"/>
  <c r="K375" i="1" l="1"/>
  <c r="K376" i="1" s="1"/>
  <c r="R282" i="1"/>
  <c r="Q291" i="1"/>
  <c r="Q293" i="1" s="1"/>
  <c r="K380" i="1" l="1"/>
  <c r="K382" i="1" s="1"/>
  <c r="K502" i="1" s="1"/>
  <c r="K426" i="1"/>
  <c r="K377" i="1"/>
  <c r="R291" i="1"/>
  <c r="R293" i="1" s="1"/>
  <c r="S282" i="1"/>
  <c r="K397" i="1" l="1"/>
  <c r="K408" i="1" s="1"/>
  <c r="T282" i="1"/>
  <c r="S291" i="1"/>
  <c r="S293" i="1" s="1"/>
  <c r="K420" i="1" l="1"/>
  <c r="U282" i="1"/>
  <c r="T291" i="1"/>
  <c r="T293" i="1" s="1"/>
  <c r="V282" i="1" l="1"/>
  <c r="U291" i="1"/>
  <c r="U293" i="1" s="1"/>
  <c r="W282" i="1" l="1"/>
  <c r="V291" i="1"/>
  <c r="V293" i="1" s="1"/>
  <c r="X282" i="1" l="1"/>
  <c r="W291" i="1"/>
  <c r="W293" i="1" s="1"/>
  <c r="Y282" i="1" l="1"/>
  <c r="X291" i="1"/>
  <c r="X293" i="1" s="1"/>
  <c r="Z282" i="1" l="1"/>
  <c r="Y291" i="1"/>
  <c r="Y293" i="1" s="1"/>
  <c r="AA282" i="1" l="1"/>
  <c r="Z291" i="1"/>
  <c r="Z293" i="1" s="1"/>
  <c r="AB282" i="1" l="1"/>
  <c r="AA291" i="1"/>
  <c r="AA293" i="1" s="1"/>
  <c r="AC282" i="1" l="1"/>
  <c r="AB291" i="1"/>
  <c r="AB293" i="1" s="1"/>
  <c r="AC291" i="1" l="1"/>
  <c r="AC293" i="1" s="1"/>
  <c r="AD282" i="1"/>
  <c r="AE282" i="1" l="1"/>
  <c r="AD291" i="1"/>
  <c r="AD293" i="1" s="1"/>
  <c r="AF282" i="1" l="1"/>
  <c r="AE291" i="1"/>
  <c r="AE293" i="1" s="1"/>
  <c r="AG282" i="1" l="1"/>
  <c r="AF291" i="1"/>
  <c r="AF293" i="1" s="1"/>
  <c r="AG291" i="1" l="1"/>
  <c r="AG293" i="1" s="1"/>
  <c r="AH282" i="1"/>
  <c r="AH291" i="1" l="1"/>
  <c r="AH293" i="1" s="1"/>
  <c r="AI282" i="1"/>
  <c r="AJ282" i="1" l="1"/>
  <c r="AI291" i="1"/>
  <c r="AI293" i="1" s="1"/>
  <c r="AK282" i="1" l="1"/>
  <c r="AJ291" i="1"/>
  <c r="AJ293" i="1" s="1"/>
  <c r="AK291" i="1" l="1"/>
  <c r="AK293" i="1" s="1"/>
  <c r="AL282" i="1"/>
  <c r="AL291" i="1" l="1"/>
  <c r="AL293" i="1" s="1"/>
  <c r="AM282" i="1"/>
  <c r="AN282" i="1" l="1"/>
  <c r="AM291" i="1"/>
  <c r="AM293" i="1" s="1"/>
  <c r="AO282" i="1" l="1"/>
  <c r="AN291" i="1"/>
  <c r="AN293" i="1" s="1"/>
  <c r="AO291" i="1" l="1"/>
  <c r="AO293" i="1" s="1"/>
  <c r="AP282" i="1"/>
  <c r="AQ282" i="1" l="1"/>
  <c r="AP291" i="1"/>
  <c r="AP293" i="1" s="1"/>
  <c r="AR282" i="1" l="1"/>
  <c r="AQ291" i="1"/>
  <c r="AQ293" i="1" s="1"/>
  <c r="AR291" i="1" l="1"/>
  <c r="AR293" i="1" s="1"/>
  <c r="AS282" i="1"/>
  <c r="AS291" i="1" l="1"/>
  <c r="AS293" i="1" s="1"/>
  <c r="AT282" i="1"/>
  <c r="AU282" i="1" l="1"/>
  <c r="AT291" i="1"/>
  <c r="AT293" i="1" s="1"/>
  <c r="AV282" i="1" l="1"/>
  <c r="AU291" i="1"/>
  <c r="AU293" i="1" s="1"/>
  <c r="AV291" i="1" l="1"/>
  <c r="AV293" i="1" s="1"/>
  <c r="AW282" i="1"/>
  <c r="AX282" i="1" l="1"/>
  <c r="AX291" i="1" s="1"/>
  <c r="AX293" i="1" s="1"/>
  <c r="AX294" i="1" s="1"/>
  <c r="AW291" i="1"/>
  <c r="AW293" i="1" s="1"/>
  <c r="N410" i="1"/>
  <c r="AF294" i="1" l="1"/>
  <c r="AW294" i="1"/>
  <c r="AD294" i="1"/>
  <c r="L294" i="1"/>
  <c r="R294" i="1"/>
  <c r="W294" i="1"/>
  <c r="N294" i="1"/>
  <c r="AA294" i="1"/>
  <c r="AT294" i="1"/>
  <c r="AO294" i="1"/>
  <c r="K294" i="1"/>
  <c r="AB294" i="1"/>
  <c r="AV294" i="1"/>
  <c r="AE294" i="1"/>
  <c r="M294" i="1"/>
  <c r="X294" i="1"/>
  <c r="AR294" i="1"/>
  <c r="Y294" i="1"/>
  <c r="AL294" i="1"/>
  <c r="AM294" i="1"/>
  <c r="AH294" i="1"/>
  <c r="AK294" i="1"/>
  <c r="P294" i="1"/>
  <c r="I293" i="1"/>
  <c r="S294" i="1"/>
  <c r="U294" i="1"/>
  <c r="O294" i="1"/>
  <c r="Q294" i="1"/>
  <c r="AQ294" i="1"/>
  <c r="AJ294" i="1"/>
  <c r="AG294" i="1"/>
  <c r="AU294" i="1"/>
  <c r="Z294" i="1"/>
  <c r="AC294" i="1"/>
  <c r="AS294" i="1"/>
  <c r="V294" i="1"/>
  <c r="AP294" i="1"/>
  <c r="T294" i="1"/>
  <c r="AI294" i="1"/>
  <c r="AN294" i="1"/>
  <c r="N428" i="1" l="1"/>
  <c r="N433" i="1" l="1"/>
  <c r="L409" i="1" l="1"/>
  <c r="K409" i="1"/>
  <c r="K411" i="1" s="1"/>
  <c r="K415" i="1" s="1"/>
  <c r="L407" i="1" l="1"/>
  <c r="K427" i="1" l="1"/>
  <c r="K429" i="1" s="1"/>
  <c r="L425" i="1" s="1"/>
  <c r="K432" i="1"/>
  <c r="K434" i="1" s="1"/>
  <c r="K459" i="1" s="1"/>
  <c r="K466" i="1" s="1"/>
  <c r="AQ410" i="1"/>
  <c r="K469" i="1" l="1"/>
  <c r="K501" i="1"/>
  <c r="AR410" i="1"/>
  <c r="K471" i="1" l="1"/>
  <c r="K499" i="1"/>
  <c r="K503" i="1" s="1"/>
  <c r="K505" i="1" s="1"/>
  <c r="K477" i="1" l="1"/>
  <c r="L470" i="1"/>
  <c r="K595" i="1" l="1"/>
  <c r="K508" i="1"/>
  <c r="K512" i="1" s="1"/>
  <c r="K736" i="1"/>
  <c r="K520" i="1" l="1"/>
  <c r="K521" i="1" s="1"/>
  <c r="K752" i="1"/>
  <c r="Z410" i="1"/>
  <c r="L517" i="1" l="1"/>
  <c r="L518" i="1" s="1"/>
  <c r="K524" i="1"/>
  <c r="K529" i="1" s="1"/>
  <c r="K15" i="7"/>
  <c r="K28" i="7" s="1"/>
  <c r="L530" i="1" l="1"/>
  <c r="K737" i="1"/>
  <c r="K596" i="1"/>
  <c r="Z428" i="1"/>
  <c r="Z433" i="1" s="1"/>
  <c r="K753" i="1" l="1"/>
  <c r="K16" i="7" s="1"/>
  <c r="K29" i="7" s="1"/>
  <c r="L465" i="1"/>
  <c r="L493" i="1"/>
  <c r="L494" i="1" s="1"/>
  <c r="L496" i="1" s="1"/>
  <c r="L519" i="1" l="1"/>
  <c r="AQ428" i="1" l="1"/>
  <c r="AQ433" i="1" s="1"/>
  <c r="AB410" i="1" l="1"/>
  <c r="AR428" i="1" l="1"/>
  <c r="AR433" i="1" s="1"/>
  <c r="O221" i="12" l="1"/>
  <c r="AI221" i="12"/>
  <c r="AO221" i="12"/>
  <c r="R221" i="12"/>
  <c r="Y221" i="12"/>
  <c r="AF221" i="12"/>
  <c r="AB221" i="12"/>
  <c r="L221" i="12"/>
  <c r="P221" i="12"/>
  <c r="AG221" i="12"/>
  <c r="AK221" i="12"/>
  <c r="W221" i="12"/>
  <c r="AD221" i="12"/>
  <c r="AW221" i="12"/>
  <c r="U221" i="12"/>
  <c r="AN221" i="12"/>
  <c r="V221" i="12"/>
  <c r="M221" i="12"/>
  <c r="AL221" i="12"/>
  <c r="N221" i="12"/>
  <c r="Z221" i="12"/>
  <c r="AR221" i="12"/>
  <c r="AV221" i="12"/>
  <c r="AH221" i="12"/>
  <c r="T221" i="12"/>
  <c r="Q221" i="12"/>
  <c r="AC221" i="12"/>
  <c r="AU221" i="12"/>
  <c r="AE221" i="12"/>
  <c r="AJ221" i="12"/>
  <c r="AM221" i="12"/>
  <c r="K221" i="12"/>
  <c r="AQ221" i="12"/>
  <c r="AX221" i="12"/>
  <c r="S221" i="12"/>
  <c r="X221" i="12"/>
  <c r="AP221" i="12"/>
  <c r="AS221" i="12"/>
  <c r="AT221" i="12"/>
  <c r="AA221" i="12"/>
  <c r="W232" i="12" l="1"/>
  <c r="W225" i="12"/>
  <c r="W224" i="12"/>
  <c r="AT225" i="12"/>
  <c r="AT224" i="12"/>
  <c r="AT232" i="12"/>
  <c r="Q232" i="12"/>
  <c r="Q225" i="12"/>
  <c r="Q224" i="12"/>
  <c r="M232" i="12"/>
  <c r="M225" i="12"/>
  <c r="M224" i="12"/>
  <c r="AK225" i="12"/>
  <c r="AK232" i="12"/>
  <c r="AK224" i="12"/>
  <c r="Y232" i="12"/>
  <c r="Y225" i="12"/>
  <c r="Y224" i="12"/>
  <c r="O225" i="12"/>
  <c r="O232" i="12"/>
  <c r="O224" i="12"/>
  <c r="AI225" i="12"/>
  <c r="AI224" i="12"/>
  <c r="AI232" i="12"/>
  <c r="K225" i="12"/>
  <c r="K224" i="12"/>
  <c r="K232" i="12"/>
  <c r="T232" i="12"/>
  <c r="T224" i="12"/>
  <c r="T225" i="12"/>
  <c r="V225" i="12"/>
  <c r="V232" i="12"/>
  <c r="V224" i="12"/>
  <c r="R225" i="12"/>
  <c r="R232" i="12"/>
  <c r="R224" i="12"/>
  <c r="AP225" i="12"/>
  <c r="AP232" i="12"/>
  <c r="AP224" i="12"/>
  <c r="AM225" i="12"/>
  <c r="AM232" i="12"/>
  <c r="AM224" i="12"/>
  <c r="AH225" i="12"/>
  <c r="AH232" i="12"/>
  <c r="AH224" i="12"/>
  <c r="AG225" i="12"/>
  <c r="AG232" i="12"/>
  <c r="AG224" i="12"/>
  <c r="N276" i="12"/>
  <c r="AF225" i="12"/>
  <c r="AF232" i="12"/>
  <c r="AF224" i="12"/>
  <c r="AS232" i="12"/>
  <c r="AS224" i="12"/>
  <c r="AS225" i="12"/>
  <c r="AJ225" i="12"/>
  <c r="AJ232" i="12"/>
  <c r="AJ224" i="12"/>
  <c r="AV225" i="12"/>
  <c r="AV232" i="12"/>
  <c r="AV224" i="12"/>
  <c r="AN225" i="12"/>
  <c r="AN232" i="12"/>
  <c r="AN224" i="12"/>
  <c r="P225" i="12"/>
  <c r="P224" i="12"/>
  <c r="P232" i="12"/>
  <c r="AO232" i="12"/>
  <c r="AO224" i="12"/>
  <c r="AO225" i="12"/>
  <c r="AL232" i="12"/>
  <c r="AL224" i="12"/>
  <c r="AL225" i="12"/>
  <c r="L276" i="12"/>
  <c r="S232" i="12"/>
  <c r="S225" i="12"/>
  <c r="S224" i="12"/>
  <c r="AE225" i="12"/>
  <c r="AE232" i="12"/>
  <c r="AE224" i="12"/>
  <c r="AR225" i="12"/>
  <c r="AR232" i="12"/>
  <c r="AR224" i="12"/>
  <c r="U225" i="12"/>
  <c r="U232" i="12"/>
  <c r="U224" i="12"/>
  <c r="L232" i="12"/>
  <c r="L225" i="12"/>
  <c r="L224" i="12"/>
  <c r="AA225" i="12"/>
  <c r="AA232" i="12"/>
  <c r="AA224" i="12"/>
  <c r="K276" i="12"/>
  <c r="AU225" i="12"/>
  <c r="AU232" i="12"/>
  <c r="AU224" i="12"/>
  <c r="Z225" i="12"/>
  <c r="Z232" i="12"/>
  <c r="Z224" i="12"/>
  <c r="AW232" i="12"/>
  <c r="AW224" i="12"/>
  <c r="AW225" i="12"/>
  <c r="AB232" i="12"/>
  <c r="AB224" i="12"/>
  <c r="AB225" i="12"/>
  <c r="AQ232" i="12"/>
  <c r="AQ225" i="12"/>
  <c r="AQ224" i="12"/>
  <c r="X232" i="12"/>
  <c r="X225" i="12"/>
  <c r="X224" i="12"/>
  <c r="AX225" i="12"/>
  <c r="AX232" i="12"/>
  <c r="AX224" i="12"/>
  <c r="AC232" i="12"/>
  <c r="AC225" i="12"/>
  <c r="AC224" i="12"/>
  <c r="N225" i="12"/>
  <c r="N232" i="12"/>
  <c r="N224" i="12"/>
  <c r="AD224" i="12"/>
  <c r="AD232" i="12"/>
  <c r="AD225" i="12"/>
  <c r="M276" i="12"/>
  <c r="N279" i="12" l="1"/>
  <c r="N287" i="12"/>
  <c r="N280" i="12"/>
  <c r="M280" i="12"/>
  <c r="M287" i="12"/>
  <c r="L279" i="12"/>
  <c r="L287" i="12"/>
  <c r="M279" i="12"/>
  <c r="L280" i="12"/>
  <c r="K287" i="12"/>
  <c r="K280" i="12"/>
  <c r="K279" i="12"/>
  <c r="AB262" i="12"/>
  <c r="AU262" i="12"/>
  <c r="AE262" i="12"/>
  <c r="W262" i="12"/>
  <c r="N262" i="12"/>
  <c r="AC262" i="12"/>
  <c r="Z262" i="12"/>
  <c r="S262" i="12"/>
  <c r="AO262" i="12"/>
  <c r="AG262" i="12"/>
  <c r="P262" i="12"/>
  <c r="AN262" i="12"/>
  <c r="AH262" i="12"/>
  <c r="AM262" i="12"/>
  <c r="AI262" i="12"/>
  <c r="Y262" i="12"/>
  <c r="AW262" i="12"/>
  <c r="V262" i="12"/>
  <c r="AD262" i="12"/>
  <c r="AJ262" i="12"/>
  <c r="AP262" i="12"/>
  <c r="F255" i="12"/>
  <c r="H5" i="5" s="1"/>
  <c r="F237" i="12"/>
  <c r="K262" i="12"/>
  <c r="K264" i="12" s="1"/>
  <c r="X262" i="12"/>
  <c r="AA262" i="12"/>
  <c r="L262" i="12"/>
  <c r="O276" i="12"/>
  <c r="O280" i="12" s="1"/>
  <c r="O262" i="12"/>
  <c r="AT262" i="12"/>
  <c r="AV262" i="12"/>
  <c r="T262" i="12"/>
  <c r="AX262" i="12"/>
  <c r="AQ262" i="12"/>
  <c r="U262" i="12"/>
  <c r="AS262" i="12"/>
  <c r="AF262" i="12"/>
  <c r="F238" i="12"/>
  <c r="J14" i="5" s="1"/>
  <c r="AK262" i="12"/>
  <c r="M262" i="12"/>
  <c r="R262" i="12"/>
  <c r="Q262" i="12"/>
  <c r="AL262" i="12"/>
  <c r="AR262" i="12"/>
  <c r="F245" i="12"/>
  <c r="T81" i="5" l="1"/>
  <c r="T164" i="5" s="1"/>
  <c r="O287" i="12"/>
  <c r="O279" i="12"/>
  <c r="P276" i="12"/>
  <c r="L264" i="12"/>
  <c r="K268" i="12"/>
  <c r="J5" i="5"/>
  <c r="S151" i="5" l="1"/>
  <c r="P279" i="12"/>
  <c r="P280" i="12"/>
  <c r="P287" i="12"/>
  <c r="Q276" i="12"/>
  <c r="M264" i="12"/>
  <c r="L268" i="12"/>
  <c r="Q280" i="12" l="1"/>
  <c r="Q279" i="12"/>
  <c r="Q287" i="12"/>
  <c r="R276" i="12"/>
  <c r="N264" i="12"/>
  <c r="M268" i="12"/>
  <c r="R287" i="12" l="1"/>
  <c r="R280" i="12"/>
  <c r="R279" i="12"/>
  <c r="O264" i="12"/>
  <c r="N268" i="12"/>
  <c r="S276" i="12"/>
  <c r="S287" i="12" l="1"/>
  <c r="S280" i="12"/>
  <c r="S279" i="12"/>
  <c r="T276" i="12"/>
  <c r="P264" i="12"/>
  <c r="O268" i="12"/>
  <c r="T287" i="12" l="1"/>
  <c r="T279" i="12"/>
  <c r="T280" i="12"/>
  <c r="U276" i="12"/>
  <c r="P268" i="12"/>
  <c r="Q264" i="12"/>
  <c r="U287" i="12" l="1"/>
  <c r="U280" i="12"/>
  <c r="U279" i="12"/>
  <c r="V276" i="12"/>
  <c r="Q268" i="12"/>
  <c r="R264" i="12"/>
  <c r="V279" i="12" l="1"/>
  <c r="V287" i="12"/>
  <c r="V280" i="12"/>
  <c r="R268" i="12"/>
  <c r="S264" i="12"/>
  <c r="W276" i="12"/>
  <c r="W287" i="12" l="1"/>
  <c r="W280" i="12"/>
  <c r="W279" i="12"/>
  <c r="X276" i="12"/>
  <c r="S268" i="12"/>
  <c r="T264" i="12"/>
  <c r="X279" i="12" l="1"/>
  <c r="X287" i="12"/>
  <c r="X280" i="12"/>
  <c r="Y276" i="12"/>
  <c r="T268" i="12"/>
  <c r="U264" i="12"/>
  <c r="Y280" i="12" l="1"/>
  <c r="Y287" i="12"/>
  <c r="Y279" i="12"/>
  <c r="Z276" i="12"/>
  <c r="U268" i="12"/>
  <c r="V264" i="12"/>
  <c r="Z279" i="12" l="1"/>
  <c r="Z280" i="12"/>
  <c r="Z287" i="12"/>
  <c r="V268" i="12"/>
  <c r="W264" i="12"/>
  <c r="AA276" i="12"/>
  <c r="AA280" i="12" l="1"/>
  <c r="AA279" i="12"/>
  <c r="AA287" i="12"/>
  <c r="AB276" i="12"/>
  <c r="X264" i="12"/>
  <c r="W268" i="12"/>
  <c r="AB287" i="12" l="1"/>
  <c r="AB279" i="12"/>
  <c r="AB280" i="12"/>
  <c r="X268" i="12"/>
  <c r="Y264" i="12"/>
  <c r="AC276" i="12"/>
  <c r="AC287" i="12" l="1"/>
  <c r="AC280" i="12"/>
  <c r="AC279" i="12"/>
  <c r="AD276" i="12"/>
  <c r="Y268" i="12"/>
  <c r="Z264" i="12"/>
  <c r="AD279" i="12" l="1"/>
  <c r="AD280" i="12"/>
  <c r="AD287" i="12"/>
  <c r="AE276" i="12"/>
  <c r="Z268" i="12"/>
  <c r="AA264" i="12"/>
  <c r="AE279" i="12" l="1"/>
  <c r="AE287" i="12"/>
  <c r="AE280" i="12"/>
  <c r="AB264" i="12"/>
  <c r="AA268" i="12"/>
  <c r="AF276" i="12"/>
  <c r="AF279" i="12" l="1"/>
  <c r="AF280" i="12"/>
  <c r="AF287" i="12"/>
  <c r="AG276" i="12"/>
  <c r="AB268" i="12"/>
  <c r="AC264" i="12"/>
  <c r="AG279" i="12" l="1"/>
  <c r="AG280" i="12"/>
  <c r="AG287" i="12"/>
  <c r="AH276" i="12"/>
  <c r="AC268" i="12"/>
  <c r="AD264" i="12"/>
  <c r="AH287" i="12" l="1"/>
  <c r="AH280" i="12"/>
  <c r="AH279" i="12"/>
  <c r="AI276" i="12"/>
  <c r="AD268" i="12"/>
  <c r="AE264" i="12"/>
  <c r="AI279" i="12" l="1"/>
  <c r="AI280" i="12"/>
  <c r="AI287" i="12"/>
  <c r="AJ276" i="12"/>
  <c r="AF264" i="12"/>
  <c r="AE268" i="12"/>
  <c r="AJ280" i="12" l="1"/>
  <c r="AJ279" i="12"/>
  <c r="AJ287" i="12"/>
  <c r="AF268" i="12"/>
  <c r="AG264" i="12"/>
  <c r="AK276" i="12"/>
  <c r="AK280" i="12" l="1"/>
  <c r="AK287" i="12"/>
  <c r="AK279" i="12"/>
  <c r="AG268" i="12"/>
  <c r="AH264" i="12"/>
  <c r="AL276" i="12"/>
  <c r="AL287" i="12" l="1"/>
  <c r="AL280" i="12"/>
  <c r="AL279" i="12"/>
  <c r="AH268" i="12"/>
  <c r="AI264" i="12"/>
  <c r="AM276" i="12"/>
  <c r="AM279" i="12" l="1"/>
  <c r="AM287" i="12"/>
  <c r="AM280" i="12"/>
  <c r="AI268" i="12"/>
  <c r="AJ264" i="12"/>
  <c r="AN276" i="12"/>
  <c r="AN280" i="12" l="1"/>
  <c r="AN287" i="12"/>
  <c r="AN279" i="12"/>
  <c r="AJ268" i="12"/>
  <c r="AK264" i="12"/>
  <c r="AO276" i="12"/>
  <c r="AO279" i="12" l="1"/>
  <c r="AO280" i="12"/>
  <c r="AO287" i="12"/>
  <c r="AK268" i="12"/>
  <c r="AL264" i="12"/>
  <c r="AP276" i="12"/>
  <c r="AP287" i="12" l="1"/>
  <c r="AP279" i="12"/>
  <c r="AP280" i="12"/>
  <c r="AL268" i="12"/>
  <c r="AM264" i="12"/>
  <c r="AQ276" i="12"/>
  <c r="AQ279" i="12" l="1"/>
  <c r="AQ280" i="12"/>
  <c r="AQ287" i="12"/>
  <c r="AR276" i="12"/>
  <c r="AM268" i="12"/>
  <c r="AN264" i="12"/>
  <c r="AR287" i="12" l="1"/>
  <c r="AR279" i="12"/>
  <c r="AR280" i="12"/>
  <c r="AS276" i="12"/>
  <c r="AO264" i="12"/>
  <c r="AN268" i="12"/>
  <c r="AS279" i="12" l="1"/>
  <c r="AS287" i="12"/>
  <c r="AS280" i="12"/>
  <c r="AT276" i="12"/>
  <c r="AO268" i="12"/>
  <c r="AP264" i="12"/>
  <c r="AT280" i="12" l="1"/>
  <c r="AT287" i="12"/>
  <c r="AT279" i="12"/>
  <c r="AU276" i="12"/>
  <c r="AP268" i="12"/>
  <c r="AQ264" i="12"/>
  <c r="AU279" i="12" l="1"/>
  <c r="AU280" i="12"/>
  <c r="AU287" i="12"/>
  <c r="AV276" i="12"/>
  <c r="AQ268" i="12"/>
  <c r="AR264" i="12"/>
  <c r="AV287" i="12" l="1"/>
  <c r="AV280" i="12"/>
  <c r="AV279" i="12"/>
  <c r="AW276" i="12"/>
  <c r="AR268" i="12"/>
  <c r="AS264" i="12"/>
  <c r="AW287" i="12" l="1"/>
  <c r="AW279" i="12"/>
  <c r="AW280" i="12"/>
  <c r="AX276" i="12"/>
  <c r="AT264" i="12"/>
  <c r="AS268" i="12"/>
  <c r="AX279" i="12" l="1"/>
  <c r="AX280" i="12"/>
  <c r="F293" i="12" s="1"/>
  <c r="L14" i="5" s="1"/>
  <c r="AX287" i="12"/>
  <c r="F300" i="12" s="1"/>
  <c r="AU264" i="12"/>
  <c r="AT268" i="12"/>
  <c r="F292" i="12" l="1"/>
  <c r="AV264" i="12"/>
  <c r="AU268" i="12"/>
  <c r="AV268" i="12" l="1"/>
  <c r="AW264" i="12"/>
  <c r="L5" i="5"/>
  <c r="AX264" i="12" l="1"/>
  <c r="AX268" i="12" s="1"/>
  <c r="AW268" i="12"/>
  <c r="T84" i="5"/>
  <c r="F271" i="12" l="1"/>
  <c r="AL410" i="1" l="1"/>
  <c r="AM410" i="1" l="1"/>
  <c r="AN410" i="1" l="1"/>
  <c r="AL428" i="1" l="1"/>
  <c r="AL433" i="1" s="1"/>
  <c r="AN428" i="1" l="1"/>
  <c r="AN433" i="1" s="1"/>
  <c r="F253" i="1" l="1"/>
  <c r="AM428" i="1" l="1"/>
  <c r="AM433" i="1" s="1"/>
  <c r="AB428" i="1"/>
  <c r="K321" i="1"/>
  <c r="K323" i="1" s="1"/>
  <c r="K305" i="1"/>
  <c r="AB433" i="1" l="1"/>
  <c r="K739" i="1"/>
  <c r="K306" i="1"/>
  <c r="K755" i="1" l="1"/>
  <c r="K307" i="1"/>
  <c r="L301" i="1" s="1"/>
  <c r="L303" i="1" s="1"/>
  <c r="L304" i="1" s="1"/>
  <c r="L317" i="1" s="1"/>
  <c r="K316" i="1"/>
  <c r="K319" i="1" s="1"/>
  <c r="K18" i="7" l="1"/>
  <c r="K31" i="7" s="1"/>
  <c r="L321" i="1"/>
  <c r="L323" i="1" s="1"/>
  <c r="L329" i="1"/>
  <c r="K325" i="1"/>
  <c r="K693" i="1" s="1"/>
  <c r="K340" i="1"/>
  <c r="L305" i="1"/>
  <c r="K703" i="1" l="1"/>
  <c r="K708" i="1" s="1"/>
  <c r="L739" i="1"/>
  <c r="L755" i="1" s="1"/>
  <c r="L306" i="1"/>
  <c r="K594" i="1"/>
  <c r="L332" i="1"/>
  <c r="L331" i="1"/>
  <c r="K704" i="1" l="1"/>
  <c r="K28" i="12" s="1"/>
  <c r="K129" i="12" s="1"/>
  <c r="K598" i="1"/>
  <c r="L307" i="1"/>
  <c r="M301" i="1" s="1"/>
  <c r="M303" i="1" s="1"/>
  <c r="M304" i="1" s="1"/>
  <c r="M317" i="1" s="1"/>
  <c r="L316" i="1"/>
  <c r="L319" i="1" s="1"/>
  <c r="L18" i="7"/>
  <c r="L342" i="1"/>
  <c r="L341" i="1"/>
  <c r="K785" i="1" l="1"/>
  <c r="K603" i="1"/>
  <c r="K600" i="1"/>
  <c r="K618" i="1" s="1"/>
  <c r="K714" i="1"/>
  <c r="K602" i="1"/>
  <c r="K628" i="1" s="1"/>
  <c r="K630" i="1" s="1"/>
  <c r="K633" i="1" s="1"/>
  <c r="M321" i="1"/>
  <c r="M323" i="1" s="1"/>
  <c r="L31" i="7"/>
  <c r="K184" i="12"/>
  <c r="K217" i="12"/>
  <c r="K230" i="12" s="1"/>
  <c r="M329" i="1"/>
  <c r="L381" i="1"/>
  <c r="L375" i="1"/>
  <c r="L376" i="1" s="1"/>
  <c r="L462" i="1"/>
  <c r="L500" i="1" s="1"/>
  <c r="L340" i="1"/>
  <c r="L325" i="1"/>
  <c r="L693" i="1" s="1"/>
  <c r="M305" i="1"/>
  <c r="L703" i="1" l="1"/>
  <c r="L708" i="1" s="1"/>
  <c r="L426" i="1"/>
  <c r="L397" i="1"/>
  <c r="L408" i="1" s="1"/>
  <c r="M739" i="1"/>
  <c r="M755" i="1" s="1"/>
  <c r="L380" i="1"/>
  <c r="L382" i="1" s="1"/>
  <c r="L377" i="1"/>
  <c r="M331" i="1"/>
  <c r="M332" i="1"/>
  <c r="M306" i="1"/>
  <c r="M316" i="1" s="1"/>
  <c r="M319" i="1" s="1"/>
  <c r="L594" i="1"/>
  <c r="K285" i="12"/>
  <c r="L704" i="1" l="1"/>
  <c r="L28" i="12" s="1"/>
  <c r="L129" i="12" s="1"/>
  <c r="M18" i="7"/>
  <c r="M307" i="1"/>
  <c r="N301" i="1" s="1"/>
  <c r="M341" i="1"/>
  <c r="L502" i="1"/>
  <c r="L420" i="1"/>
  <c r="L411" i="1"/>
  <c r="K684" i="1"/>
  <c r="K649" i="1"/>
  <c r="K650" i="1" s="1"/>
  <c r="M342" i="1"/>
  <c r="L785" i="1" l="1"/>
  <c r="M409" i="1"/>
  <c r="M31" i="7"/>
  <c r="M381" i="1"/>
  <c r="M375" i="1"/>
  <c r="M376" i="1" s="1"/>
  <c r="N303" i="1"/>
  <c r="N304" i="1" s="1"/>
  <c r="N317" i="1" s="1"/>
  <c r="M462" i="1"/>
  <c r="M500" i="1" s="1"/>
  <c r="K652" i="1"/>
  <c r="L415" i="1"/>
  <c r="M407" i="1"/>
  <c r="L184" i="12"/>
  <c r="L217" i="12"/>
  <c r="L230" i="12" s="1"/>
  <c r="M340" i="1"/>
  <c r="M325" i="1"/>
  <c r="M693" i="1" s="1"/>
  <c r="M703" i="1" l="1"/>
  <c r="M708" i="1" s="1"/>
  <c r="M426" i="1"/>
  <c r="M397" i="1"/>
  <c r="M408" i="1" s="1"/>
  <c r="N305" i="1"/>
  <c r="N306" i="1" s="1"/>
  <c r="N321" i="1"/>
  <c r="N323" i="1" s="1"/>
  <c r="M594" i="1"/>
  <c r="N329" i="1"/>
  <c r="L427" i="1"/>
  <c r="L429" i="1" s="1"/>
  <c r="M425" i="1" s="1"/>
  <c r="L432" i="1"/>
  <c r="L434" i="1" s="1"/>
  <c r="L285" i="12"/>
  <c r="K653" i="1"/>
  <c r="M380" i="1"/>
  <c r="M382" i="1" s="1"/>
  <c r="M377" i="1"/>
  <c r="M704" i="1" l="1"/>
  <c r="K667" i="1"/>
  <c r="K668" i="1" s="1"/>
  <c r="N307" i="1"/>
  <c r="O301" i="1" s="1"/>
  <c r="O303" i="1" s="1"/>
  <c r="N316" i="1"/>
  <c r="N319" i="1" s="1"/>
  <c r="N739" i="1"/>
  <c r="N755" i="1" s="1"/>
  <c r="M502" i="1"/>
  <c r="L459" i="1"/>
  <c r="L466" i="1" s="1"/>
  <c r="N331" i="1"/>
  <c r="N332" i="1"/>
  <c r="M411" i="1"/>
  <c r="M420" i="1"/>
  <c r="M28" i="12" l="1"/>
  <c r="M129" i="12" s="1"/>
  <c r="M217" i="12" s="1"/>
  <c r="M230" i="12" s="1"/>
  <c r="M785" i="1"/>
  <c r="N409" i="1"/>
  <c r="O304" i="1"/>
  <c r="O317" i="1" s="1"/>
  <c r="N18" i="7"/>
  <c r="N342" i="1"/>
  <c r="O329" i="1"/>
  <c r="N341" i="1"/>
  <c r="M415" i="1"/>
  <c r="N407" i="1"/>
  <c r="N325" i="1"/>
  <c r="N693" i="1" s="1"/>
  <c r="N340" i="1"/>
  <c r="L501" i="1"/>
  <c r="M184" i="12" l="1"/>
  <c r="N703" i="1"/>
  <c r="N708" i="1" s="1"/>
  <c r="N31" i="7"/>
  <c r="O321" i="1"/>
  <c r="O323" i="1" s="1"/>
  <c r="O305" i="1"/>
  <c r="N462" i="1"/>
  <c r="N500" i="1" s="1"/>
  <c r="K669" i="1"/>
  <c r="O332" i="1"/>
  <c r="O331" i="1"/>
  <c r="M285" i="12"/>
  <c r="M427" i="1"/>
  <c r="M429" i="1" s="1"/>
  <c r="N425" i="1" s="1"/>
  <c r="M432" i="1"/>
  <c r="M434" i="1" s="1"/>
  <c r="L469" i="1"/>
  <c r="N594" i="1"/>
  <c r="N381" i="1"/>
  <c r="N375" i="1"/>
  <c r="N376" i="1" s="1"/>
  <c r="N704" i="1" l="1"/>
  <c r="N28" i="12" s="1"/>
  <c r="N129" i="12" s="1"/>
  <c r="N426" i="1"/>
  <c r="O739" i="1"/>
  <c r="O755" i="1" s="1"/>
  <c r="O306" i="1"/>
  <c r="L499" i="1"/>
  <c r="L503" i="1" s="1"/>
  <c r="L505" i="1" s="1"/>
  <c r="L471" i="1"/>
  <c r="O341" i="1"/>
  <c r="O342" i="1"/>
  <c r="N380" i="1"/>
  <c r="N382" i="1" s="1"/>
  <c r="N377" i="1"/>
  <c r="M459" i="1"/>
  <c r="N785" i="1" l="1"/>
  <c r="N397" i="1"/>
  <c r="N408" i="1" s="1"/>
  <c r="N411" i="1" s="1"/>
  <c r="O316" i="1"/>
  <c r="O319" i="1" s="1"/>
  <c r="O340" i="1" s="1"/>
  <c r="O594" i="1" s="1"/>
  <c r="O307" i="1"/>
  <c r="P301" i="1" s="1"/>
  <c r="O18" i="7"/>
  <c r="M501" i="1"/>
  <c r="O381" i="1"/>
  <c r="O375" i="1"/>
  <c r="O376" i="1" s="1"/>
  <c r="O462" i="1"/>
  <c r="O500" i="1" s="1"/>
  <c r="N184" i="12"/>
  <c r="N217" i="12"/>
  <c r="N230" i="12" s="1"/>
  <c r="M470" i="1"/>
  <c r="L477" i="1"/>
  <c r="N502" i="1"/>
  <c r="N420" i="1" l="1"/>
  <c r="O377" i="1"/>
  <c r="O397" i="1" s="1"/>
  <c r="O408" i="1" s="1"/>
  <c r="O426" i="1"/>
  <c r="O325" i="1"/>
  <c r="O693" i="1" s="1"/>
  <c r="O31" i="7"/>
  <c r="P303" i="1"/>
  <c r="O380" i="1"/>
  <c r="O382" i="1" s="1"/>
  <c r="L595" i="1"/>
  <c r="L508" i="1"/>
  <c r="L512" i="1" s="1"/>
  <c r="L736" i="1"/>
  <c r="N285" i="12"/>
  <c r="N415" i="1"/>
  <c r="O407" i="1"/>
  <c r="O703" i="1" l="1"/>
  <c r="O708" i="1" s="1"/>
  <c r="P304" i="1"/>
  <c r="P317" i="1" s="1"/>
  <c r="P329" i="1"/>
  <c r="O420" i="1"/>
  <c r="T421" i="1" s="1"/>
  <c r="N427" i="1"/>
  <c r="N429" i="1" s="1"/>
  <c r="O425" i="1" s="1"/>
  <c r="N432" i="1"/>
  <c r="N434" i="1" s="1"/>
  <c r="L752" i="1"/>
  <c r="O502" i="1"/>
  <c r="L520" i="1"/>
  <c r="L521" i="1" s="1"/>
  <c r="O704" i="1" l="1"/>
  <c r="O28" i="12" s="1"/>
  <c r="O129" i="12" s="1"/>
  <c r="P409" i="1"/>
  <c r="P332" i="1"/>
  <c r="P342" i="1" s="1"/>
  <c r="P462" i="1" s="1"/>
  <c r="P500" i="1" s="1"/>
  <c r="P331" i="1"/>
  <c r="P341" i="1" s="1"/>
  <c r="P321" i="1"/>
  <c r="P323" i="1" s="1"/>
  <c r="P305" i="1"/>
  <c r="M517" i="1"/>
  <c r="L524" i="1"/>
  <c r="L529" i="1" s="1"/>
  <c r="L15" i="7"/>
  <c r="N459" i="1"/>
  <c r="O785" i="1" l="1"/>
  <c r="O184" i="12"/>
  <c r="O217" i="12"/>
  <c r="O230" i="12" s="1"/>
  <c r="O285" i="12" s="1"/>
  <c r="M530" i="1"/>
  <c r="P739" i="1"/>
  <c r="P755" i="1" s="1"/>
  <c r="P306" i="1"/>
  <c r="P381" i="1"/>
  <c r="P375" i="1"/>
  <c r="P376" i="1" s="1"/>
  <c r="M518" i="1"/>
  <c r="N501" i="1"/>
  <c r="L28" i="7"/>
  <c r="L596" i="1"/>
  <c r="L737" i="1"/>
  <c r="L598" i="1" l="1"/>
  <c r="P397" i="1"/>
  <c r="P408" i="1" s="1"/>
  <c r="P426" i="1"/>
  <c r="M465" i="1"/>
  <c r="M466" i="1" s="1"/>
  <c r="M469" i="1" s="1"/>
  <c r="M471" i="1" s="1"/>
  <c r="M493" i="1"/>
  <c r="M494" i="1" s="1"/>
  <c r="P316" i="1"/>
  <c r="P319" i="1" s="1"/>
  <c r="P325" i="1" s="1"/>
  <c r="P693" i="1" s="1"/>
  <c r="P307" i="1"/>
  <c r="Q301" i="1" s="1"/>
  <c r="P377" i="1"/>
  <c r="P380" i="1"/>
  <c r="P382" i="1" s="1"/>
  <c r="P502" i="1" s="1"/>
  <c r="P18" i="7"/>
  <c r="L753" i="1"/>
  <c r="L603" i="1" l="1"/>
  <c r="P703" i="1"/>
  <c r="P708" i="1" s="1"/>
  <c r="L600" i="1"/>
  <c r="L618" i="1" s="1"/>
  <c r="L714" i="1"/>
  <c r="L602" i="1"/>
  <c r="L628" i="1" s="1"/>
  <c r="L630" i="1" s="1"/>
  <c r="L633" i="1" s="1"/>
  <c r="M499" i="1"/>
  <c r="M503" i="1" s="1"/>
  <c r="M496" i="1"/>
  <c r="M477" i="1"/>
  <c r="N470" i="1"/>
  <c r="P340" i="1"/>
  <c r="P594" i="1" s="1"/>
  <c r="P420" i="1"/>
  <c r="P31" i="7"/>
  <c r="Q303" i="1"/>
  <c r="L16" i="7"/>
  <c r="P704" i="1" l="1"/>
  <c r="Q409" i="1"/>
  <c r="M519" i="1"/>
  <c r="M505" i="1"/>
  <c r="M736" i="1"/>
  <c r="M508" i="1"/>
  <c r="M512" i="1" s="1"/>
  <c r="M595" i="1"/>
  <c r="Q329" i="1"/>
  <c r="Q304" i="1"/>
  <c r="L29" i="7"/>
  <c r="P28" i="12" l="1"/>
  <c r="P129" i="12" s="1"/>
  <c r="P785" i="1"/>
  <c r="M520" i="1"/>
  <c r="M521" i="1" s="1"/>
  <c r="M524" i="1" s="1"/>
  <c r="M529" i="1" s="1"/>
  <c r="M752" i="1"/>
  <c r="Q321" i="1"/>
  <c r="Q323" i="1" s="1"/>
  <c r="Q739" i="1" s="1"/>
  <c r="Q755" i="1" s="1"/>
  <c r="Q18" i="7" s="1"/>
  <c r="Q31" i="7" s="1"/>
  <c r="Q317" i="1"/>
  <c r="Q305" i="1"/>
  <c r="Q332" i="1"/>
  <c r="Q342" i="1" s="1"/>
  <c r="Q462" i="1" s="1"/>
  <c r="Q500" i="1" s="1"/>
  <c r="Q331" i="1"/>
  <c r="Q341" i="1" s="1"/>
  <c r="L649" i="1"/>
  <c r="L650" i="1" s="1"/>
  <c r="L684" i="1"/>
  <c r="P217" i="12" l="1"/>
  <c r="P230" i="12" s="1"/>
  <c r="P285" i="12" s="1"/>
  <c r="P184" i="12"/>
  <c r="M15" i="7"/>
  <c r="M28" i="7" s="1"/>
  <c r="N517" i="1"/>
  <c r="N518" i="1" s="1"/>
  <c r="N530" i="1"/>
  <c r="M596" i="1"/>
  <c r="M737" i="1"/>
  <c r="Q375" i="1"/>
  <c r="Q376" i="1" s="1"/>
  <c r="Q381" i="1"/>
  <c r="Q306" i="1"/>
  <c r="L652" i="1"/>
  <c r="M598" i="1" l="1"/>
  <c r="Q426" i="1"/>
  <c r="M753" i="1"/>
  <c r="N465" i="1"/>
  <c r="N466" i="1" s="1"/>
  <c r="N469" i="1" s="1"/>
  <c r="N471" i="1" s="1"/>
  <c r="N493" i="1"/>
  <c r="N494" i="1" s="1"/>
  <c r="Q316" i="1"/>
  <c r="Q319" i="1" s="1"/>
  <c r="Q325" i="1" s="1"/>
  <c r="Q693" i="1" s="1"/>
  <c r="Q307" i="1"/>
  <c r="R301" i="1" s="1"/>
  <c r="Q380" i="1"/>
  <c r="Q382" i="1" s="1"/>
  <c r="Q502" i="1" s="1"/>
  <c r="Q377" i="1"/>
  <c r="L653" i="1"/>
  <c r="M603" i="1" l="1"/>
  <c r="Q703" i="1"/>
  <c r="M16" i="7"/>
  <c r="M29" i="7" s="1"/>
  <c r="M600" i="1"/>
  <c r="M618" i="1" s="1"/>
  <c r="M714" i="1"/>
  <c r="M602" i="1"/>
  <c r="M628" i="1" s="1"/>
  <c r="M630" i="1" s="1"/>
  <c r="M633" i="1" s="1"/>
  <c r="M684" i="1" s="1"/>
  <c r="Q397" i="1"/>
  <c r="Q408" i="1" s="1"/>
  <c r="N499" i="1"/>
  <c r="N503" i="1" s="1"/>
  <c r="N496" i="1"/>
  <c r="N477" i="1"/>
  <c r="O470" i="1"/>
  <c r="Q340" i="1"/>
  <c r="Q594" i="1" s="1"/>
  <c r="R303" i="1"/>
  <c r="L667" i="1"/>
  <c r="Q704" i="1" l="1"/>
  <c r="Q708" i="1"/>
  <c r="M649" i="1"/>
  <c r="M650" i="1" s="1"/>
  <c r="M652" i="1" s="1"/>
  <c r="Q420" i="1"/>
  <c r="V421" i="1" s="1"/>
  <c r="N519" i="1"/>
  <c r="N505" i="1"/>
  <c r="N595" i="1"/>
  <c r="N508" i="1"/>
  <c r="N512" i="1" s="1"/>
  <c r="N736" i="1"/>
  <c r="R329" i="1"/>
  <c r="R304" i="1"/>
  <c r="R317" i="1" s="1"/>
  <c r="Q28" i="12" l="1"/>
  <c r="Q129" i="12" s="1"/>
  <c r="Q785" i="1"/>
  <c r="N520" i="1"/>
  <c r="N521" i="1" s="1"/>
  <c r="N524" i="1" s="1"/>
  <c r="N529" i="1" s="1"/>
  <c r="N752" i="1"/>
  <c r="R321" i="1"/>
  <c r="R323" i="1" s="1"/>
  <c r="R739" i="1" s="1"/>
  <c r="R755" i="1" s="1"/>
  <c r="R18" i="7" s="1"/>
  <c r="R31" i="7" s="1"/>
  <c r="R305" i="1"/>
  <c r="R332" i="1"/>
  <c r="R342" i="1" s="1"/>
  <c r="R462" i="1" s="1"/>
  <c r="R500" i="1" s="1"/>
  <c r="R331" i="1"/>
  <c r="R341" i="1" s="1"/>
  <c r="M653" i="1"/>
  <c r="Q184" i="12" l="1"/>
  <c r="Q217" i="12"/>
  <c r="Q230" i="12" s="1"/>
  <c r="Q285" i="12" s="1"/>
  <c r="N15" i="7"/>
  <c r="N28" i="7" s="1"/>
  <c r="O517" i="1"/>
  <c r="O518" i="1" s="1"/>
  <c r="O530" i="1"/>
  <c r="N737" i="1"/>
  <c r="N596" i="1"/>
  <c r="R306" i="1"/>
  <c r="R375" i="1"/>
  <c r="R376" i="1" s="1"/>
  <c r="R381" i="1"/>
  <c r="M667" i="1"/>
  <c r="N598" i="1" l="1"/>
  <c r="R397" i="1"/>
  <c r="R408" i="1" s="1"/>
  <c r="R426" i="1"/>
  <c r="N753" i="1"/>
  <c r="O465" i="1"/>
  <c r="O493" i="1"/>
  <c r="O494" i="1" s="1"/>
  <c r="R316" i="1"/>
  <c r="R319" i="1" s="1"/>
  <c r="R340" i="1" s="1"/>
  <c r="R594" i="1" s="1"/>
  <c r="R380" i="1"/>
  <c r="R382" i="1" s="1"/>
  <c r="R502" i="1" s="1"/>
  <c r="R377" i="1"/>
  <c r="R307" i="1"/>
  <c r="S301" i="1" s="1"/>
  <c r="N603" i="1" l="1"/>
  <c r="N16" i="7"/>
  <c r="N29" i="7" s="1"/>
  <c r="N600" i="1"/>
  <c r="N618" i="1" s="1"/>
  <c r="N714" i="1"/>
  <c r="N602" i="1"/>
  <c r="N628" i="1" s="1"/>
  <c r="N630" i="1" s="1"/>
  <c r="N633" i="1" s="1"/>
  <c r="N649" i="1" s="1"/>
  <c r="N650" i="1" s="1"/>
  <c r="N652" i="1" s="1"/>
  <c r="O496" i="1"/>
  <c r="R325" i="1"/>
  <c r="S303" i="1"/>
  <c r="R420" i="1"/>
  <c r="W421" i="1" s="1"/>
  <c r="R693" i="1" l="1"/>
  <c r="O519" i="1"/>
  <c r="N684" i="1"/>
  <c r="S329" i="1"/>
  <c r="S304" i="1"/>
  <c r="N653" i="1"/>
  <c r="R703" i="1" l="1"/>
  <c r="R708" i="1" s="1"/>
  <c r="S321" i="1"/>
  <c r="S323" i="1" s="1"/>
  <c r="S739" i="1" s="1"/>
  <c r="S755" i="1" s="1"/>
  <c r="S18" i="7" s="1"/>
  <c r="S31" i="7" s="1"/>
  <c r="S317" i="1"/>
  <c r="S332" i="1"/>
  <c r="S342" i="1" s="1"/>
  <c r="S462" i="1" s="1"/>
  <c r="S500" i="1" s="1"/>
  <c r="S331" i="1"/>
  <c r="S341" i="1" s="1"/>
  <c r="S305" i="1"/>
  <c r="N667" i="1"/>
  <c r="R704" i="1" l="1"/>
  <c r="R785" i="1" s="1"/>
  <c r="S375" i="1"/>
  <c r="S376" i="1" s="1"/>
  <c r="S381" i="1"/>
  <c r="S306" i="1"/>
  <c r="S307" i="1" s="1"/>
  <c r="T301" i="1" s="1"/>
  <c r="R28" i="12" l="1"/>
  <c r="R129" i="12" s="1"/>
  <c r="R217" i="12" s="1"/>
  <c r="R230" i="12" s="1"/>
  <c r="R285" i="12" s="1"/>
  <c r="S397" i="1"/>
  <c r="S408" i="1" s="1"/>
  <c r="S426" i="1"/>
  <c r="S316" i="1"/>
  <c r="S319" i="1" s="1"/>
  <c r="S325" i="1" s="1"/>
  <c r="S693" i="1" s="1"/>
  <c r="S380" i="1"/>
  <c r="S382" i="1" s="1"/>
  <c r="S502" i="1" s="1"/>
  <c r="S377" i="1"/>
  <c r="T303" i="1"/>
  <c r="R184" i="12" l="1"/>
  <c r="S703" i="1"/>
  <c r="S708" i="1" s="1"/>
  <c r="S340" i="1"/>
  <c r="S594" i="1" s="1"/>
  <c r="S420" i="1"/>
  <c r="X421" i="1" s="1"/>
  <c r="T329" i="1"/>
  <c r="T304" i="1"/>
  <c r="S704" i="1" l="1"/>
  <c r="S28" i="12" s="1"/>
  <c r="S129" i="12" s="1"/>
  <c r="S217" i="12" s="1"/>
  <c r="S230" i="12" s="1"/>
  <c r="S285" i="12" s="1"/>
  <c r="T409" i="1"/>
  <c r="T321" i="1"/>
  <c r="T323" i="1" s="1"/>
  <c r="T739" i="1" s="1"/>
  <c r="T755" i="1" s="1"/>
  <c r="T18" i="7" s="1"/>
  <c r="T31" i="7" s="1"/>
  <c r="T317" i="1"/>
  <c r="T332" i="1"/>
  <c r="T342" i="1" s="1"/>
  <c r="T462" i="1" s="1"/>
  <c r="T500" i="1" s="1"/>
  <c r="T331" i="1"/>
  <c r="T341" i="1" s="1"/>
  <c r="T305" i="1"/>
  <c r="S785" i="1" l="1"/>
  <c r="S184" i="12"/>
  <c r="T381" i="1"/>
  <c r="T375" i="1"/>
  <c r="T376" i="1" s="1"/>
  <c r="T306" i="1"/>
  <c r="T397" i="1" l="1"/>
  <c r="T408" i="1" s="1"/>
  <c r="T426" i="1"/>
  <c r="T316" i="1"/>
  <c r="T319" i="1" s="1"/>
  <c r="T340" i="1" s="1"/>
  <c r="T594" i="1" s="1"/>
  <c r="T307" i="1"/>
  <c r="U301" i="1" s="1"/>
  <c r="T380" i="1"/>
  <c r="T382" i="1" s="1"/>
  <c r="T502" i="1" s="1"/>
  <c r="T377" i="1"/>
  <c r="T325" i="1" l="1"/>
  <c r="U303" i="1"/>
  <c r="T420" i="1"/>
  <c r="Y421" i="1" s="1"/>
  <c r="T693" i="1" l="1"/>
  <c r="U329" i="1"/>
  <c r="U304" i="1"/>
  <c r="T703" i="1" l="1"/>
  <c r="T708" i="1" s="1"/>
  <c r="U321" i="1"/>
  <c r="U323" i="1" s="1"/>
  <c r="U739" i="1" s="1"/>
  <c r="U755" i="1" s="1"/>
  <c r="U18" i="7" s="1"/>
  <c r="U31" i="7" s="1"/>
  <c r="U317" i="1"/>
  <c r="U305" i="1"/>
  <c r="U331" i="1"/>
  <c r="U341" i="1" s="1"/>
  <c r="U332" i="1"/>
  <c r="U342" i="1" s="1"/>
  <c r="U462" i="1" s="1"/>
  <c r="U500" i="1" s="1"/>
  <c r="T704" i="1" l="1"/>
  <c r="T28" i="12" s="1"/>
  <c r="T129" i="12" s="1"/>
  <c r="U375" i="1"/>
  <c r="U376" i="1" s="1"/>
  <c r="U381" i="1"/>
  <c r="U306" i="1"/>
  <c r="U307" i="1" s="1"/>
  <c r="V301" i="1" s="1"/>
  <c r="T184" i="12" l="1"/>
  <c r="T217" i="12"/>
  <c r="T230" i="12" s="1"/>
  <c r="T285" i="12" s="1"/>
  <c r="T785" i="1"/>
  <c r="U397" i="1"/>
  <c r="U408" i="1" s="1"/>
  <c r="U426" i="1"/>
  <c r="U316" i="1"/>
  <c r="U319" i="1" s="1"/>
  <c r="U325" i="1" s="1"/>
  <c r="U693" i="1" s="1"/>
  <c r="V303" i="1"/>
  <c r="U380" i="1"/>
  <c r="U382" i="1" s="1"/>
  <c r="U502" i="1" s="1"/>
  <c r="U377" i="1"/>
  <c r="U703" i="1" l="1"/>
  <c r="U708" i="1" s="1"/>
  <c r="U340" i="1"/>
  <c r="U594" i="1" s="1"/>
  <c r="U420" i="1"/>
  <c r="Z421" i="1" s="1"/>
  <c r="V329" i="1"/>
  <c r="V304" i="1"/>
  <c r="U704" i="1" l="1"/>
  <c r="U28" i="12" s="1"/>
  <c r="U129" i="12" s="1"/>
  <c r="U217" i="12" s="1"/>
  <c r="U230" i="12" s="1"/>
  <c r="U285" i="12" s="1"/>
  <c r="V409" i="1"/>
  <c r="V321" i="1"/>
  <c r="V323" i="1" s="1"/>
  <c r="V739" i="1" s="1"/>
  <c r="V755" i="1" s="1"/>
  <c r="V18" i="7" s="1"/>
  <c r="V31" i="7" s="1"/>
  <c r="V317" i="1"/>
  <c r="V332" i="1"/>
  <c r="V342" i="1" s="1"/>
  <c r="V462" i="1" s="1"/>
  <c r="V500" i="1" s="1"/>
  <c r="V331" i="1"/>
  <c r="V341" i="1" s="1"/>
  <c r="V305" i="1"/>
  <c r="U785" i="1" l="1"/>
  <c r="U184" i="12"/>
  <c r="V375" i="1"/>
  <c r="V376" i="1" s="1"/>
  <c r="V381" i="1"/>
  <c r="V306" i="1"/>
  <c r="V307" i="1" s="1"/>
  <c r="W301" i="1" s="1"/>
  <c r="V397" i="1" l="1"/>
  <c r="V408" i="1" s="1"/>
  <c r="V426" i="1"/>
  <c r="V316" i="1"/>
  <c r="V319" i="1" s="1"/>
  <c r="V340" i="1" s="1"/>
  <c r="V594" i="1" s="1"/>
  <c r="W303" i="1"/>
  <c r="V380" i="1"/>
  <c r="V382" i="1" s="1"/>
  <c r="V502" i="1" s="1"/>
  <c r="V377" i="1"/>
  <c r="V325" i="1" l="1"/>
  <c r="V420" i="1"/>
  <c r="AA421" i="1" s="1"/>
  <c r="W329" i="1"/>
  <c r="W304" i="1"/>
  <c r="V693" i="1" l="1"/>
  <c r="W409" i="1"/>
  <c r="W321" i="1"/>
  <c r="W323" i="1" s="1"/>
  <c r="W739" i="1" s="1"/>
  <c r="W755" i="1" s="1"/>
  <c r="W18" i="7" s="1"/>
  <c r="W31" i="7" s="1"/>
  <c r="W317" i="1"/>
  <c r="W305" i="1"/>
  <c r="W306" i="1" s="1"/>
  <c r="W332" i="1"/>
  <c r="W342" i="1" s="1"/>
  <c r="W462" i="1" s="1"/>
  <c r="W500" i="1" s="1"/>
  <c r="W331" i="1"/>
  <c r="W341" i="1" s="1"/>
  <c r="V703" i="1" l="1"/>
  <c r="V708" i="1" s="1"/>
  <c r="W307" i="1"/>
  <c r="X301" i="1" s="1"/>
  <c r="X303" i="1" s="1"/>
  <c r="W316" i="1"/>
  <c r="W319" i="1" s="1"/>
  <c r="W325" i="1" s="1"/>
  <c r="W693" i="1" s="1"/>
  <c r="W375" i="1"/>
  <c r="W376" i="1" s="1"/>
  <c r="W381" i="1"/>
  <c r="V704" i="1" l="1"/>
  <c r="W703" i="1"/>
  <c r="W708" i="1" s="1"/>
  <c r="W397" i="1"/>
  <c r="W408" i="1" s="1"/>
  <c r="W426" i="1"/>
  <c r="W340" i="1"/>
  <c r="W594" i="1" s="1"/>
  <c r="X329" i="1"/>
  <c r="X304" i="1"/>
  <c r="W380" i="1"/>
  <c r="W382" i="1" s="1"/>
  <c r="W502" i="1" s="1"/>
  <c r="W377" i="1"/>
  <c r="V28" i="12" l="1"/>
  <c r="V129" i="12" s="1"/>
  <c r="V217" i="12" s="1"/>
  <c r="V230" i="12" s="1"/>
  <c r="V285" i="12" s="1"/>
  <c r="V785" i="1"/>
  <c r="W704" i="1"/>
  <c r="X321" i="1"/>
  <c r="X323" i="1" s="1"/>
  <c r="X739" i="1" s="1"/>
  <c r="X755" i="1" s="1"/>
  <c r="X18" i="7" s="1"/>
  <c r="X31" i="7" s="1"/>
  <c r="X317" i="1"/>
  <c r="X331" i="1"/>
  <c r="X341" i="1" s="1"/>
  <c r="X332" i="1"/>
  <c r="X342" i="1" s="1"/>
  <c r="X462" i="1" s="1"/>
  <c r="X500" i="1" s="1"/>
  <c r="W420" i="1"/>
  <c r="AB421" i="1" s="1"/>
  <c r="X305" i="1"/>
  <c r="V184" i="12" l="1"/>
  <c r="W28" i="12"/>
  <c r="W129" i="12" s="1"/>
  <c r="W785" i="1"/>
  <c r="X409" i="1"/>
  <c r="X306" i="1"/>
  <c r="X307" i="1" s="1"/>
  <c r="Y301" i="1" s="1"/>
  <c r="X375" i="1"/>
  <c r="X376" i="1" s="1"/>
  <c r="X381" i="1"/>
  <c r="W184" i="12" l="1"/>
  <c r="W217" i="12"/>
  <c r="W230" i="12" s="1"/>
  <c r="W285" i="12" s="1"/>
  <c r="X397" i="1"/>
  <c r="X408" i="1" s="1"/>
  <c r="X426" i="1"/>
  <c r="X316" i="1"/>
  <c r="X319" i="1" s="1"/>
  <c r="X340" i="1" s="1"/>
  <c r="X594" i="1" s="1"/>
  <c r="X380" i="1"/>
  <c r="X382" i="1" s="1"/>
  <c r="X502" i="1" s="1"/>
  <c r="X377" i="1"/>
  <c r="Y303" i="1"/>
  <c r="X325" i="1" l="1"/>
  <c r="X420" i="1"/>
  <c r="AC421" i="1" s="1"/>
  <c r="Y329" i="1"/>
  <c r="Y304" i="1"/>
  <c r="X693" i="1" l="1"/>
  <c r="Y409" i="1"/>
  <c r="Y321" i="1"/>
  <c r="Y323" i="1" s="1"/>
  <c r="Y739" i="1" s="1"/>
  <c r="Y755" i="1" s="1"/>
  <c r="Y18" i="7" s="1"/>
  <c r="Y31" i="7" s="1"/>
  <c r="Y317" i="1"/>
  <c r="Y332" i="1"/>
  <c r="Y342" i="1" s="1"/>
  <c r="Y462" i="1" s="1"/>
  <c r="Y500" i="1" s="1"/>
  <c r="Y331" i="1"/>
  <c r="Y341" i="1" s="1"/>
  <c r="Y305" i="1"/>
  <c r="X703" i="1" l="1"/>
  <c r="X708" i="1" s="1"/>
  <c r="Y375" i="1"/>
  <c r="Y376" i="1" s="1"/>
  <c r="Y381" i="1"/>
  <c r="Y306" i="1"/>
  <c r="X704" i="1" l="1"/>
  <c r="Y397" i="1"/>
  <c r="Y408" i="1" s="1"/>
  <c r="Y426" i="1"/>
  <c r="Y316" i="1"/>
  <c r="Y319" i="1" s="1"/>
  <c r="Y340" i="1" s="1"/>
  <c r="Y594" i="1" s="1"/>
  <c r="Y307" i="1"/>
  <c r="Z301" i="1" s="1"/>
  <c r="Y380" i="1"/>
  <c r="Y382" i="1" s="1"/>
  <c r="Y502" i="1" s="1"/>
  <c r="Y377" i="1"/>
  <c r="X28" i="12" l="1"/>
  <c r="X129" i="12" s="1"/>
  <c r="X184" i="12" s="1"/>
  <c r="X785" i="1"/>
  <c r="Y325" i="1"/>
  <c r="Y420" i="1"/>
  <c r="AD421" i="1" s="1"/>
  <c r="Z303" i="1"/>
  <c r="X217" i="12" l="1"/>
  <c r="X230" i="12" s="1"/>
  <c r="X285" i="12" s="1"/>
  <c r="Y693" i="1"/>
  <c r="Z409" i="1"/>
  <c r="Z329" i="1"/>
  <c r="Z304" i="1"/>
  <c r="Z317" i="1" s="1"/>
  <c r="Y703" i="1" l="1"/>
  <c r="Y708" i="1" s="1"/>
  <c r="Z321" i="1"/>
  <c r="Z323" i="1" s="1"/>
  <c r="Z739" i="1" s="1"/>
  <c r="Z755" i="1" s="1"/>
  <c r="Z18" i="7" s="1"/>
  <c r="Z31" i="7" s="1"/>
  <c r="Z305" i="1"/>
  <c r="Z332" i="1"/>
  <c r="Z342" i="1" s="1"/>
  <c r="Z462" i="1" s="1"/>
  <c r="Z500" i="1" s="1"/>
  <c r="Z331" i="1"/>
  <c r="Z341" i="1" s="1"/>
  <c r="Y704" i="1" l="1"/>
  <c r="Y28" i="12" s="1"/>
  <c r="Y129" i="12" s="1"/>
  <c r="Y217" i="12" s="1"/>
  <c r="Y230" i="12" s="1"/>
  <c r="Y285" i="12" s="1"/>
  <c r="Z381" i="1"/>
  <c r="Z375" i="1"/>
  <c r="Z376" i="1" s="1"/>
  <c r="Z306" i="1"/>
  <c r="Y785" i="1" l="1"/>
  <c r="Y184" i="12"/>
  <c r="Z397" i="1"/>
  <c r="Z408" i="1" s="1"/>
  <c r="Z426" i="1"/>
  <c r="Z316" i="1"/>
  <c r="Z319" i="1" s="1"/>
  <c r="Z340" i="1" s="1"/>
  <c r="Z594" i="1" s="1"/>
  <c r="Z307" i="1"/>
  <c r="AA301" i="1" s="1"/>
  <c r="Z377" i="1"/>
  <c r="Z380" i="1"/>
  <c r="Z382" i="1" s="1"/>
  <c r="Z502" i="1" s="1"/>
  <c r="Z325" i="1" l="1"/>
  <c r="Z420" i="1"/>
  <c r="AE421" i="1" s="1"/>
  <c r="AA303" i="1"/>
  <c r="Z693" i="1" l="1"/>
  <c r="AA409" i="1"/>
  <c r="AA329" i="1"/>
  <c r="AA304" i="1"/>
  <c r="Z703" i="1" l="1"/>
  <c r="Z708" i="1" s="1"/>
  <c r="AA321" i="1"/>
  <c r="AA323" i="1" s="1"/>
  <c r="AA739" i="1" s="1"/>
  <c r="AA755" i="1" s="1"/>
  <c r="AA18" i="7" s="1"/>
  <c r="AA31" i="7" s="1"/>
  <c r="AA317" i="1"/>
  <c r="AA332" i="1"/>
  <c r="AA342" i="1" s="1"/>
  <c r="AA462" i="1" s="1"/>
  <c r="AA500" i="1" s="1"/>
  <c r="AA331" i="1"/>
  <c r="AA341" i="1" s="1"/>
  <c r="AA305" i="1"/>
  <c r="Z704" i="1" l="1"/>
  <c r="Z28" i="12" s="1"/>
  <c r="Z129" i="12" s="1"/>
  <c r="Z184" i="12" s="1"/>
  <c r="AA306" i="1"/>
  <c r="AA307" i="1" s="1"/>
  <c r="AB301" i="1" s="1"/>
  <c r="AA381" i="1"/>
  <c r="AA375" i="1"/>
  <c r="AA376" i="1" s="1"/>
  <c r="Z785" i="1" l="1"/>
  <c r="Z217" i="12"/>
  <c r="Z230" i="12" s="1"/>
  <c r="Z285" i="12" s="1"/>
  <c r="AA397" i="1"/>
  <c r="AA408" i="1" s="1"/>
  <c r="AA426" i="1"/>
  <c r="AA316" i="1"/>
  <c r="AA319" i="1" s="1"/>
  <c r="AA340" i="1" s="1"/>
  <c r="AA594" i="1" s="1"/>
  <c r="AA380" i="1"/>
  <c r="AA382" i="1" s="1"/>
  <c r="AA502" i="1" s="1"/>
  <c r="AA377" i="1"/>
  <c r="AB303" i="1"/>
  <c r="AA325" i="1" l="1"/>
  <c r="AB329" i="1"/>
  <c r="AB304" i="1"/>
  <c r="AB317" i="1" s="1"/>
  <c r="AA420" i="1"/>
  <c r="AF421" i="1" s="1"/>
  <c r="AA693" i="1" l="1"/>
  <c r="AB409" i="1"/>
  <c r="AB321" i="1"/>
  <c r="AB323" i="1" s="1"/>
  <c r="AB739" i="1" s="1"/>
  <c r="AB755" i="1" s="1"/>
  <c r="AB18" i="7" s="1"/>
  <c r="AB31" i="7" s="1"/>
  <c r="AB305" i="1"/>
  <c r="AB331" i="1"/>
  <c r="AB341" i="1" s="1"/>
  <c r="AB332" i="1"/>
  <c r="AB342" i="1" s="1"/>
  <c r="AB462" i="1" s="1"/>
  <c r="AB500" i="1" s="1"/>
  <c r="AA703" i="1" l="1"/>
  <c r="AA708" i="1" s="1"/>
  <c r="AB381" i="1"/>
  <c r="AB375" i="1"/>
  <c r="AB376" i="1" s="1"/>
  <c r="AB306" i="1"/>
  <c r="AA704" i="1" l="1"/>
  <c r="AB397" i="1"/>
  <c r="AB408" i="1" s="1"/>
  <c r="AB426" i="1"/>
  <c r="AB316" i="1"/>
  <c r="AB319" i="1" s="1"/>
  <c r="AB325" i="1" s="1"/>
  <c r="AB693" i="1" s="1"/>
  <c r="AB307" i="1"/>
  <c r="AC301" i="1" s="1"/>
  <c r="AB380" i="1"/>
  <c r="AB382" i="1" s="1"/>
  <c r="AB502" i="1" s="1"/>
  <c r="AB377" i="1"/>
  <c r="AA28" i="12" l="1"/>
  <c r="AA129" i="12" s="1"/>
  <c r="AA184" i="12" s="1"/>
  <c r="AA785" i="1"/>
  <c r="AB703" i="1"/>
  <c r="AB708" i="1" s="1"/>
  <c r="AB340" i="1"/>
  <c r="AB594" i="1" s="1"/>
  <c r="AB420" i="1"/>
  <c r="AG421" i="1" s="1"/>
  <c r="AC303" i="1"/>
  <c r="AA217" i="12" l="1"/>
  <c r="AA230" i="12" s="1"/>
  <c r="AA285" i="12" s="1"/>
  <c r="AB704" i="1"/>
  <c r="AC409" i="1"/>
  <c r="AC329" i="1"/>
  <c r="AC304" i="1"/>
  <c r="AB28" i="12" l="1"/>
  <c r="AB129" i="12" s="1"/>
  <c r="AB785" i="1"/>
  <c r="AC321" i="1"/>
  <c r="AC323" i="1" s="1"/>
  <c r="AC739" i="1" s="1"/>
  <c r="AC755" i="1" s="1"/>
  <c r="AC18" i="7" s="1"/>
  <c r="AC31" i="7" s="1"/>
  <c r="AC317" i="1"/>
  <c r="AC305" i="1"/>
  <c r="AC332" i="1"/>
  <c r="AC342" i="1" s="1"/>
  <c r="AC462" i="1" s="1"/>
  <c r="AC500" i="1" s="1"/>
  <c r="AC331" i="1"/>
  <c r="AC341" i="1" s="1"/>
  <c r="AB217" i="12" l="1"/>
  <c r="AB230" i="12" s="1"/>
  <c r="AB285" i="12" s="1"/>
  <c r="AB184" i="12"/>
  <c r="AC381" i="1"/>
  <c r="AC375" i="1"/>
  <c r="AC376" i="1" s="1"/>
  <c r="AC306" i="1"/>
  <c r="AC397" i="1" l="1"/>
  <c r="AC408" i="1" s="1"/>
  <c r="AC426" i="1"/>
  <c r="AC316" i="1"/>
  <c r="AC319" i="1" s="1"/>
  <c r="AC340" i="1" s="1"/>
  <c r="AC594" i="1" s="1"/>
  <c r="AC307" i="1"/>
  <c r="AD301" i="1" s="1"/>
  <c r="AC380" i="1"/>
  <c r="AC382" i="1" s="1"/>
  <c r="AC502" i="1" s="1"/>
  <c r="AC377" i="1"/>
  <c r="AC325" i="1" l="1"/>
  <c r="AC420" i="1"/>
  <c r="AH421" i="1" s="1"/>
  <c r="AD303" i="1"/>
  <c r="AC693" i="1" l="1"/>
  <c r="AD409" i="1"/>
  <c r="AD329" i="1"/>
  <c r="AD304" i="1"/>
  <c r="AC703" i="1" l="1"/>
  <c r="AC708" i="1" s="1"/>
  <c r="AD321" i="1"/>
  <c r="AD323" i="1" s="1"/>
  <c r="AD739" i="1" s="1"/>
  <c r="AD755" i="1" s="1"/>
  <c r="AD18" i="7" s="1"/>
  <c r="AD31" i="7" s="1"/>
  <c r="AD317" i="1"/>
  <c r="AD332" i="1"/>
  <c r="AD342" i="1" s="1"/>
  <c r="AD462" i="1" s="1"/>
  <c r="AD500" i="1" s="1"/>
  <c r="AD331" i="1"/>
  <c r="AD341" i="1" s="1"/>
  <c r="AD305" i="1"/>
  <c r="AC704" i="1" l="1"/>
  <c r="AD306" i="1"/>
  <c r="AD375" i="1"/>
  <c r="AD376" i="1" s="1"/>
  <c r="AD381" i="1"/>
  <c r="AC28" i="12" l="1"/>
  <c r="AC129" i="12" s="1"/>
  <c r="AC217" i="12" s="1"/>
  <c r="AC230" i="12" s="1"/>
  <c r="AC285" i="12" s="1"/>
  <c r="AC785" i="1"/>
  <c r="AD397" i="1"/>
  <c r="AD408" i="1" s="1"/>
  <c r="AD426" i="1"/>
  <c r="AD316" i="1"/>
  <c r="AD319" i="1" s="1"/>
  <c r="AD325" i="1" s="1"/>
  <c r="AD693" i="1" s="1"/>
  <c r="AD380" i="1"/>
  <c r="AD382" i="1" s="1"/>
  <c r="AD502" i="1" s="1"/>
  <c r="AD377" i="1"/>
  <c r="AD307" i="1"/>
  <c r="AE301" i="1" s="1"/>
  <c r="AC184" i="12" l="1"/>
  <c r="AD703" i="1"/>
  <c r="AD340" i="1"/>
  <c r="AD594" i="1" s="1"/>
  <c r="AD420" i="1"/>
  <c r="AI421" i="1" s="1"/>
  <c r="AE303" i="1"/>
  <c r="AD704" i="1" l="1"/>
  <c r="AD708" i="1"/>
  <c r="AE409" i="1"/>
  <c r="AE329" i="1"/>
  <c r="AE304" i="1"/>
  <c r="AE317" i="1" s="1"/>
  <c r="AD28" i="12" l="1"/>
  <c r="AD129" i="12" s="1"/>
  <c r="AD184" i="12" s="1"/>
  <c r="AD785" i="1"/>
  <c r="AE321" i="1"/>
  <c r="AE323" i="1" s="1"/>
  <c r="AE739" i="1" s="1"/>
  <c r="AE755" i="1" s="1"/>
  <c r="AE18" i="7" s="1"/>
  <c r="AE31" i="7" s="1"/>
  <c r="AE305" i="1"/>
  <c r="AE331" i="1"/>
  <c r="AE341" i="1" s="1"/>
  <c r="AE332" i="1"/>
  <c r="AE342" i="1" s="1"/>
  <c r="AE462" i="1" s="1"/>
  <c r="AE500" i="1" s="1"/>
  <c r="AD217" i="12" l="1"/>
  <c r="AD230" i="12" s="1"/>
  <c r="AD285" i="12" s="1"/>
  <c r="AE381" i="1"/>
  <c r="AE375" i="1"/>
  <c r="AE376" i="1" s="1"/>
  <c r="AE306" i="1"/>
  <c r="AE426" i="1" l="1"/>
  <c r="AE397" i="1"/>
  <c r="AE408" i="1" s="1"/>
  <c r="AE316" i="1"/>
  <c r="AE319" i="1" s="1"/>
  <c r="AE325" i="1" s="1"/>
  <c r="AE693" i="1" s="1"/>
  <c r="AE307" i="1"/>
  <c r="AF301" i="1" s="1"/>
  <c r="AE380" i="1"/>
  <c r="AE382" i="1" s="1"/>
  <c r="AE502" i="1" s="1"/>
  <c r="AE377" i="1"/>
  <c r="AE703" i="1" l="1"/>
  <c r="AE708" i="1" s="1"/>
  <c r="AE340" i="1"/>
  <c r="AE594" i="1" s="1"/>
  <c r="AE420" i="1"/>
  <c r="AJ421" i="1" s="1"/>
  <c r="AF303" i="1"/>
  <c r="AE704" i="1" l="1"/>
  <c r="AE28" i="12" s="1"/>
  <c r="AE129" i="12" s="1"/>
  <c r="AE184" i="12" s="1"/>
  <c r="AF409" i="1"/>
  <c r="AF329" i="1"/>
  <c r="AF304" i="1"/>
  <c r="AF317" i="1" s="1"/>
  <c r="AE785" i="1" l="1"/>
  <c r="AE217" i="12"/>
  <c r="AE230" i="12" s="1"/>
  <c r="AE285" i="12" s="1"/>
  <c r="AF321" i="1"/>
  <c r="AF323" i="1" s="1"/>
  <c r="AF739" i="1" s="1"/>
  <c r="AF755" i="1" s="1"/>
  <c r="AF18" i="7" s="1"/>
  <c r="AF31" i="7" s="1"/>
  <c r="AF305" i="1"/>
  <c r="AF332" i="1"/>
  <c r="AF342" i="1" s="1"/>
  <c r="AF462" i="1" s="1"/>
  <c r="AF500" i="1" s="1"/>
  <c r="AF331" i="1"/>
  <c r="AF341" i="1" s="1"/>
  <c r="AF375" i="1" l="1"/>
  <c r="AF376" i="1" s="1"/>
  <c r="AF381" i="1"/>
  <c r="AF306" i="1"/>
  <c r="AF426" i="1" l="1"/>
  <c r="AF397" i="1"/>
  <c r="AF408" i="1" s="1"/>
  <c r="AF316" i="1"/>
  <c r="AF319" i="1" s="1"/>
  <c r="AF340" i="1" s="1"/>
  <c r="AF594" i="1" s="1"/>
  <c r="AF307" i="1"/>
  <c r="AG301" i="1" s="1"/>
  <c r="AF380" i="1"/>
  <c r="AF382" i="1" s="1"/>
  <c r="AF502" i="1" s="1"/>
  <c r="AF377" i="1"/>
  <c r="AF325" i="1" l="1"/>
  <c r="AF420" i="1"/>
  <c r="AK421" i="1" s="1"/>
  <c r="AG303" i="1"/>
  <c r="AF693" i="1" l="1"/>
  <c r="AG409" i="1"/>
  <c r="AG329" i="1"/>
  <c r="AG304" i="1"/>
  <c r="AF703" i="1" l="1"/>
  <c r="AF708" i="1" s="1"/>
  <c r="AG321" i="1"/>
  <c r="AG323" i="1" s="1"/>
  <c r="AG739" i="1" s="1"/>
  <c r="AG755" i="1" s="1"/>
  <c r="AG18" i="7" s="1"/>
  <c r="AG31" i="7" s="1"/>
  <c r="AG317" i="1"/>
  <c r="AG305" i="1"/>
  <c r="AG332" i="1"/>
  <c r="AG342" i="1" s="1"/>
  <c r="AG462" i="1" s="1"/>
  <c r="AG500" i="1" s="1"/>
  <c r="AG331" i="1"/>
  <c r="AG341" i="1" s="1"/>
  <c r="AF704" i="1" l="1"/>
  <c r="AF785" i="1" s="1"/>
  <c r="AG375" i="1"/>
  <c r="AG376" i="1" s="1"/>
  <c r="AG381" i="1"/>
  <c r="AG306" i="1"/>
  <c r="AF28" i="12" l="1"/>
  <c r="AF129" i="12" s="1"/>
  <c r="AF217" i="12" s="1"/>
  <c r="AF230" i="12" s="1"/>
  <c r="AF285" i="12" s="1"/>
  <c r="AG426" i="1"/>
  <c r="AG397" i="1"/>
  <c r="AG408" i="1" s="1"/>
  <c r="AG316" i="1"/>
  <c r="AG319" i="1" s="1"/>
  <c r="AG340" i="1" s="1"/>
  <c r="AG594" i="1" s="1"/>
  <c r="AG307" i="1"/>
  <c r="AH301" i="1" s="1"/>
  <c r="AH303" i="1" s="1"/>
  <c r="AG380" i="1"/>
  <c r="AG382" i="1" s="1"/>
  <c r="AG502" i="1" s="1"/>
  <c r="AG377" i="1"/>
  <c r="AF184" i="12" l="1"/>
  <c r="AG325" i="1"/>
  <c r="AH329" i="1"/>
  <c r="AH304" i="1"/>
  <c r="AG420" i="1"/>
  <c r="AL421" i="1" s="1"/>
  <c r="AG693" i="1" l="1"/>
  <c r="AH409" i="1"/>
  <c r="AH321" i="1"/>
  <c r="AH323" i="1" s="1"/>
  <c r="AH739" i="1" s="1"/>
  <c r="AH755" i="1" s="1"/>
  <c r="AH18" i="7" s="1"/>
  <c r="AH31" i="7" s="1"/>
  <c r="AH317" i="1"/>
  <c r="AH305" i="1"/>
  <c r="AH306" i="1" s="1"/>
  <c r="AH331" i="1"/>
  <c r="AH341" i="1" s="1"/>
  <c r="AH332" i="1"/>
  <c r="AH342" i="1" s="1"/>
  <c r="AH462" i="1" s="1"/>
  <c r="AH500" i="1" s="1"/>
  <c r="AG703" i="1" l="1"/>
  <c r="AG708" i="1" s="1"/>
  <c r="AH316" i="1"/>
  <c r="AH319" i="1" s="1"/>
  <c r="AH340" i="1" s="1"/>
  <c r="AH594" i="1" s="1"/>
  <c r="AH307" i="1"/>
  <c r="AI301" i="1" s="1"/>
  <c r="AH375" i="1"/>
  <c r="AH376" i="1" s="1"/>
  <c r="AH381" i="1"/>
  <c r="AG704" i="1" l="1"/>
  <c r="AH426" i="1"/>
  <c r="AH397" i="1"/>
  <c r="AH408" i="1" s="1"/>
  <c r="AH325" i="1"/>
  <c r="AH380" i="1"/>
  <c r="AH382" i="1" s="1"/>
  <c r="AH502" i="1" s="1"/>
  <c r="AH377" i="1"/>
  <c r="AI303" i="1"/>
  <c r="AG28" i="12" l="1"/>
  <c r="AG129" i="12" s="1"/>
  <c r="AG184" i="12" s="1"/>
  <c r="AG785" i="1"/>
  <c r="AH693" i="1"/>
  <c r="AI329" i="1"/>
  <c r="AI304" i="1"/>
  <c r="AH420" i="1"/>
  <c r="AM421" i="1" s="1"/>
  <c r="AG217" i="12" l="1"/>
  <c r="AG230" i="12" s="1"/>
  <c r="AG285" i="12" s="1"/>
  <c r="AH703" i="1"/>
  <c r="AH708" i="1" s="1"/>
  <c r="AI409" i="1"/>
  <c r="AI321" i="1"/>
  <c r="AI323" i="1" s="1"/>
  <c r="AI739" i="1" s="1"/>
  <c r="AI755" i="1" s="1"/>
  <c r="AI18" i="7" s="1"/>
  <c r="AI31" i="7" s="1"/>
  <c r="AI317" i="1"/>
  <c r="AI332" i="1"/>
  <c r="AI342" i="1" s="1"/>
  <c r="AI462" i="1" s="1"/>
  <c r="AI500" i="1" s="1"/>
  <c r="AI331" i="1"/>
  <c r="AI341" i="1" s="1"/>
  <c r="AI305" i="1"/>
  <c r="AH704" i="1" l="1"/>
  <c r="AI306" i="1"/>
  <c r="AI375" i="1"/>
  <c r="AI376" i="1" s="1"/>
  <c r="AI381" i="1"/>
  <c r="AH28" i="12" l="1"/>
  <c r="AH129" i="12" s="1"/>
  <c r="AH184" i="12" s="1"/>
  <c r="AH785" i="1"/>
  <c r="AI426" i="1"/>
  <c r="AI397" i="1"/>
  <c r="AI408" i="1" s="1"/>
  <c r="AI316" i="1"/>
  <c r="AI319" i="1" s="1"/>
  <c r="AI325" i="1" s="1"/>
  <c r="AI693" i="1" s="1"/>
  <c r="AI307" i="1"/>
  <c r="AJ301" i="1" s="1"/>
  <c r="AJ303" i="1" s="1"/>
  <c r="AI380" i="1"/>
  <c r="AI382" i="1" s="1"/>
  <c r="AI502" i="1" s="1"/>
  <c r="AI377" i="1"/>
  <c r="AH217" i="12" l="1"/>
  <c r="AH230" i="12" s="1"/>
  <c r="AH285" i="12" s="1"/>
  <c r="AI703" i="1"/>
  <c r="AI708" i="1" s="1"/>
  <c r="AI340" i="1"/>
  <c r="AI594" i="1" s="1"/>
  <c r="AI420" i="1"/>
  <c r="AN421" i="1" s="1"/>
  <c r="AJ329" i="1"/>
  <c r="AJ304" i="1"/>
  <c r="AI704" i="1" l="1"/>
  <c r="AI785" i="1" s="1"/>
  <c r="AJ409" i="1"/>
  <c r="AJ321" i="1"/>
  <c r="AJ323" i="1" s="1"/>
  <c r="AJ739" i="1" s="1"/>
  <c r="AJ755" i="1" s="1"/>
  <c r="AJ18" i="7" s="1"/>
  <c r="AJ31" i="7" s="1"/>
  <c r="AJ317" i="1"/>
  <c r="AJ332" i="1"/>
  <c r="AJ342" i="1" s="1"/>
  <c r="AJ462" i="1" s="1"/>
  <c r="AJ500" i="1" s="1"/>
  <c r="AJ331" i="1"/>
  <c r="AJ341" i="1" s="1"/>
  <c r="AJ305" i="1"/>
  <c r="AI28" i="12" l="1"/>
  <c r="AI129" i="12" s="1"/>
  <c r="AI217" i="12" s="1"/>
  <c r="AI230" i="12" s="1"/>
  <c r="AI285" i="12" s="1"/>
  <c r="AJ306" i="1"/>
  <c r="AJ375" i="1"/>
  <c r="AJ376" i="1" s="1"/>
  <c r="AJ381" i="1"/>
  <c r="AI184" i="12" l="1"/>
  <c r="AJ426" i="1"/>
  <c r="AJ397" i="1"/>
  <c r="AJ408" i="1" s="1"/>
  <c r="AJ307" i="1"/>
  <c r="AK301" i="1" s="1"/>
  <c r="AK303" i="1" s="1"/>
  <c r="AJ316" i="1"/>
  <c r="AJ319" i="1" s="1"/>
  <c r="AJ380" i="1"/>
  <c r="AJ382" i="1" s="1"/>
  <c r="AJ502" i="1" s="1"/>
  <c r="AJ377" i="1"/>
  <c r="AJ340" i="1" l="1"/>
  <c r="AJ325" i="1"/>
  <c r="AJ693" i="1" s="1"/>
  <c r="AJ420" i="1"/>
  <c r="AO421" i="1" s="1"/>
  <c r="AK329" i="1"/>
  <c r="AK304" i="1"/>
  <c r="AK317" i="1" s="1"/>
  <c r="AJ703" i="1" l="1"/>
  <c r="AJ708" i="1" s="1"/>
  <c r="AK409" i="1"/>
  <c r="AK321" i="1"/>
  <c r="AK323" i="1" s="1"/>
  <c r="AK739" i="1" s="1"/>
  <c r="AK755" i="1" s="1"/>
  <c r="AK18" i="7" s="1"/>
  <c r="AK31" i="7" s="1"/>
  <c r="AK305" i="1"/>
  <c r="AK332" i="1"/>
  <c r="AK331" i="1"/>
  <c r="AJ594" i="1"/>
  <c r="AJ704" i="1" l="1"/>
  <c r="AJ28" i="12" s="1"/>
  <c r="AJ129" i="12" s="1"/>
  <c r="AK341" i="1"/>
  <c r="AK342" i="1"/>
  <c r="AK306" i="1"/>
  <c r="AK316" i="1" s="1"/>
  <c r="AK319" i="1" s="1"/>
  <c r="AJ785" i="1" l="1"/>
  <c r="AK462" i="1"/>
  <c r="AK500" i="1" s="1"/>
  <c r="AK307" i="1"/>
  <c r="AL301" i="1" s="1"/>
  <c r="AJ217" i="12"/>
  <c r="AJ230" i="12" s="1"/>
  <c r="AJ184" i="12"/>
  <c r="AK375" i="1"/>
  <c r="AK376" i="1" s="1"/>
  <c r="AK381" i="1"/>
  <c r="AK426" i="1" l="1"/>
  <c r="AK397" i="1"/>
  <c r="AK408" i="1" s="1"/>
  <c r="AK380" i="1"/>
  <c r="AK382" i="1" s="1"/>
  <c r="AK377" i="1"/>
  <c r="AJ285" i="12"/>
  <c r="AL303" i="1"/>
  <c r="AK340" i="1"/>
  <c r="AK325" i="1"/>
  <c r="AK693" i="1" s="1"/>
  <c r="AK703" i="1" l="1"/>
  <c r="AK708" i="1" s="1"/>
  <c r="AK420" i="1"/>
  <c r="AL409" i="1" s="1"/>
  <c r="AL329" i="1"/>
  <c r="AL304" i="1"/>
  <c r="AK594" i="1"/>
  <c r="AK502" i="1"/>
  <c r="AK704" i="1" l="1"/>
  <c r="AL321" i="1"/>
  <c r="AL323" i="1" s="1"/>
  <c r="AL739" i="1" s="1"/>
  <c r="AL755" i="1" s="1"/>
  <c r="AL18" i="7" s="1"/>
  <c r="AL31" i="7" s="1"/>
  <c r="AL317" i="1"/>
  <c r="AL331" i="1"/>
  <c r="AL332" i="1"/>
  <c r="AL305" i="1"/>
  <c r="AK28" i="12" l="1"/>
  <c r="AK129" i="12" s="1"/>
  <c r="AK184" i="12" s="1"/>
  <c r="AK785" i="1"/>
  <c r="AL341" i="1"/>
  <c r="AL306" i="1"/>
  <c r="AL342" i="1"/>
  <c r="AK217" i="12" l="1"/>
  <c r="AK230" i="12" s="1"/>
  <c r="AK285" i="12" s="1"/>
  <c r="AL307" i="1"/>
  <c r="AM301" i="1" s="1"/>
  <c r="AM303" i="1" s="1"/>
  <c r="AL316" i="1"/>
  <c r="AL319" i="1" s="1"/>
  <c r="AL462" i="1"/>
  <c r="AL500" i="1" s="1"/>
  <c r="AL381" i="1"/>
  <c r="AL375" i="1"/>
  <c r="AL376" i="1" s="1"/>
  <c r="AL426" i="1" l="1"/>
  <c r="AL397" i="1"/>
  <c r="AL408" i="1" s="1"/>
  <c r="AL325" i="1"/>
  <c r="AL693" i="1" s="1"/>
  <c r="AL340" i="1"/>
  <c r="AM329" i="1"/>
  <c r="AM304" i="1"/>
  <c r="AM317" i="1" s="1"/>
  <c r="AL380" i="1"/>
  <c r="AL382" i="1" s="1"/>
  <c r="AL377" i="1"/>
  <c r="AL703" i="1" l="1"/>
  <c r="AL708" i="1" s="1"/>
  <c r="AL502" i="1"/>
  <c r="AM321" i="1"/>
  <c r="AM323" i="1" s="1"/>
  <c r="AM739" i="1" s="1"/>
  <c r="AM755" i="1" s="1"/>
  <c r="AM18" i="7" s="1"/>
  <c r="AM31" i="7" s="1"/>
  <c r="AM305" i="1"/>
  <c r="AL594" i="1"/>
  <c r="AL420" i="1"/>
  <c r="AM331" i="1"/>
  <c r="AM332" i="1"/>
  <c r="AL704" i="1" l="1"/>
  <c r="AM409" i="1"/>
  <c r="AM341" i="1"/>
  <c r="AM342" i="1"/>
  <c r="AM306" i="1"/>
  <c r="AM316" i="1" s="1"/>
  <c r="AM319" i="1" s="1"/>
  <c r="AL28" i="12" l="1"/>
  <c r="AL129" i="12" s="1"/>
  <c r="AL217" i="12" s="1"/>
  <c r="AL230" i="12" s="1"/>
  <c r="AL785" i="1"/>
  <c r="AM462" i="1"/>
  <c r="AM500" i="1" s="1"/>
  <c r="AM307" i="1"/>
  <c r="AN301" i="1" s="1"/>
  <c r="AM381" i="1"/>
  <c r="AM375" i="1"/>
  <c r="AM376" i="1" s="1"/>
  <c r="AL184" i="12" l="1"/>
  <c r="AM426" i="1"/>
  <c r="AM397" i="1"/>
  <c r="AM408" i="1" s="1"/>
  <c r="AL285" i="12"/>
  <c r="AN303" i="1"/>
  <c r="AM380" i="1"/>
  <c r="AM382" i="1" s="1"/>
  <c r="AM377" i="1"/>
  <c r="AM325" i="1"/>
  <c r="AM693" i="1" s="1"/>
  <c r="AM340" i="1"/>
  <c r="AM703" i="1" l="1"/>
  <c r="AM708" i="1" s="1"/>
  <c r="AN329" i="1"/>
  <c r="AN304" i="1"/>
  <c r="AN317" i="1" s="1"/>
  <c r="AM594" i="1"/>
  <c r="AM502" i="1"/>
  <c r="AM420" i="1"/>
  <c r="AM704" i="1" l="1"/>
  <c r="AN409" i="1"/>
  <c r="AN321" i="1"/>
  <c r="AN323" i="1" s="1"/>
  <c r="AN739" i="1" s="1"/>
  <c r="AN755" i="1" s="1"/>
  <c r="AN18" i="7" s="1"/>
  <c r="AN31" i="7" s="1"/>
  <c r="AN305" i="1"/>
  <c r="AN331" i="1"/>
  <c r="AN332" i="1"/>
  <c r="AM28" i="12" l="1"/>
  <c r="AM129" i="12" s="1"/>
  <c r="AM217" i="12" s="1"/>
  <c r="AM230" i="12" s="1"/>
  <c r="AM785" i="1"/>
  <c r="AN342" i="1"/>
  <c r="AN341" i="1"/>
  <c r="AN306" i="1"/>
  <c r="AN316" i="1" s="1"/>
  <c r="AN319" i="1" s="1"/>
  <c r="AM184" i="12" l="1"/>
  <c r="AN381" i="1"/>
  <c r="AN375" i="1"/>
  <c r="AN376" i="1" s="1"/>
  <c r="AM285" i="12"/>
  <c r="AN307" i="1"/>
  <c r="AO301" i="1" s="1"/>
  <c r="AN462" i="1"/>
  <c r="AN500" i="1" s="1"/>
  <c r="AN426" i="1" l="1"/>
  <c r="AN397" i="1"/>
  <c r="AN408" i="1" s="1"/>
  <c r="AN325" i="1"/>
  <c r="AN693" i="1" s="1"/>
  <c r="AN340" i="1"/>
  <c r="AO303" i="1"/>
  <c r="AN380" i="1"/>
  <c r="AN382" i="1" s="1"/>
  <c r="AN377" i="1"/>
  <c r="AN703" i="1" l="1"/>
  <c r="AN708" i="1" s="1"/>
  <c r="AN502" i="1"/>
  <c r="AN420" i="1"/>
  <c r="AN594" i="1"/>
  <c r="AO329" i="1"/>
  <c r="AO304" i="1"/>
  <c r="AO317" i="1" s="1"/>
  <c r="AN704" i="1" l="1"/>
  <c r="AN28" i="12" s="1"/>
  <c r="AN129" i="12" s="1"/>
  <c r="AO409" i="1"/>
  <c r="AO332" i="1"/>
  <c r="AO331" i="1"/>
  <c r="AO321" i="1"/>
  <c r="AO323" i="1" s="1"/>
  <c r="AO739" i="1" s="1"/>
  <c r="AO755" i="1" s="1"/>
  <c r="AO18" i="7" s="1"/>
  <c r="AO31" i="7" s="1"/>
  <c r="AO305" i="1"/>
  <c r="AN785" i="1" l="1"/>
  <c r="AO306" i="1"/>
  <c r="AN184" i="12"/>
  <c r="AN217" i="12"/>
  <c r="AN230" i="12" s="1"/>
  <c r="AO341" i="1"/>
  <c r="AO342" i="1"/>
  <c r="AO316" i="1" l="1"/>
  <c r="AO319" i="1" s="1"/>
  <c r="AO325" i="1" s="1"/>
  <c r="AO693" i="1" s="1"/>
  <c r="AO307" i="1"/>
  <c r="AP301" i="1" s="1"/>
  <c r="AP303" i="1" s="1"/>
  <c r="AO375" i="1"/>
  <c r="AO376" i="1" s="1"/>
  <c r="AO381" i="1"/>
  <c r="AN285" i="12"/>
  <c r="AO462" i="1"/>
  <c r="AO500" i="1" s="1"/>
  <c r="AO703" i="1" l="1"/>
  <c r="AO708" i="1" s="1"/>
  <c r="AO426" i="1"/>
  <c r="AO397" i="1"/>
  <c r="AO408" i="1" s="1"/>
  <c r="AO340" i="1"/>
  <c r="AO594" i="1" s="1"/>
  <c r="AP329" i="1"/>
  <c r="AP304" i="1"/>
  <c r="AO380" i="1"/>
  <c r="AO382" i="1" s="1"/>
  <c r="AO377" i="1"/>
  <c r="AO704" i="1" l="1"/>
  <c r="AP321" i="1"/>
  <c r="AP323" i="1" s="1"/>
  <c r="AP739" i="1" s="1"/>
  <c r="AP755" i="1" s="1"/>
  <c r="AP18" i="7" s="1"/>
  <c r="AP31" i="7" s="1"/>
  <c r="AP317" i="1"/>
  <c r="AO502" i="1"/>
  <c r="AO420" i="1"/>
  <c r="AP332" i="1"/>
  <c r="AP342" i="1" s="1"/>
  <c r="AP462" i="1" s="1"/>
  <c r="AP500" i="1" s="1"/>
  <c r="AP331" i="1"/>
  <c r="AP341" i="1" s="1"/>
  <c r="AP305" i="1"/>
  <c r="AO28" i="12" l="1"/>
  <c r="AO129" i="12" s="1"/>
  <c r="AO785" i="1"/>
  <c r="AP409" i="1"/>
  <c r="AP306" i="1"/>
  <c r="AP307" i="1" s="1"/>
  <c r="AQ301" i="1" s="1"/>
  <c r="AP375" i="1"/>
  <c r="AP376" i="1" s="1"/>
  <c r="AP426" i="1" s="1"/>
  <c r="AP381" i="1"/>
  <c r="AO184" i="12" l="1"/>
  <c r="AO217" i="12"/>
  <c r="AO230" i="12" s="1"/>
  <c r="AO285" i="12" s="1"/>
  <c r="AP316" i="1"/>
  <c r="AP319" i="1" s="1"/>
  <c r="AP325" i="1" s="1"/>
  <c r="AP693" i="1" s="1"/>
  <c r="AP380" i="1"/>
  <c r="AP382" i="1" s="1"/>
  <c r="AP502" i="1" s="1"/>
  <c r="AP377" i="1"/>
  <c r="AQ303" i="1"/>
  <c r="AP703" i="1" l="1"/>
  <c r="AP708" i="1" s="1"/>
  <c r="AP340" i="1"/>
  <c r="AP594" i="1" s="1"/>
  <c r="AQ329" i="1"/>
  <c r="AQ304" i="1"/>
  <c r="AQ317" i="1" s="1"/>
  <c r="AP420" i="1"/>
  <c r="AP704" i="1" l="1"/>
  <c r="AP28" i="12" s="1"/>
  <c r="AP129" i="12" s="1"/>
  <c r="AP184" i="12" s="1"/>
  <c r="AQ409" i="1"/>
  <c r="AQ332" i="1"/>
  <c r="AQ342" i="1" s="1"/>
  <c r="AQ462" i="1" s="1"/>
  <c r="AQ500" i="1" s="1"/>
  <c r="AQ331" i="1"/>
  <c r="AQ341" i="1" s="1"/>
  <c r="AQ321" i="1"/>
  <c r="AQ323" i="1" s="1"/>
  <c r="AQ739" i="1" s="1"/>
  <c r="AQ755" i="1" s="1"/>
  <c r="AQ18" i="7" s="1"/>
  <c r="AQ31" i="7" s="1"/>
  <c r="AQ305" i="1"/>
  <c r="AP785" i="1" l="1"/>
  <c r="AP217" i="12"/>
  <c r="AP230" i="12" s="1"/>
  <c r="AP285" i="12" s="1"/>
  <c r="AQ306" i="1"/>
  <c r="AQ307" i="1" s="1"/>
  <c r="AR301" i="1" s="1"/>
  <c r="AQ381" i="1"/>
  <c r="AQ375" i="1"/>
  <c r="AQ376" i="1" s="1"/>
  <c r="AQ426" i="1" s="1"/>
  <c r="AQ316" i="1" l="1"/>
  <c r="AQ319" i="1" s="1"/>
  <c r="AQ325" i="1" s="1"/>
  <c r="AQ693" i="1" s="1"/>
  <c r="AQ380" i="1"/>
  <c r="AQ382" i="1" s="1"/>
  <c r="AQ502" i="1" s="1"/>
  <c r="AQ377" i="1"/>
  <c r="AR303" i="1"/>
  <c r="AQ703" i="1" l="1"/>
  <c r="AQ708" i="1" s="1"/>
  <c r="AQ340" i="1"/>
  <c r="AQ594" i="1" s="1"/>
  <c r="AR329" i="1"/>
  <c r="AR304" i="1"/>
  <c r="AQ420" i="1"/>
  <c r="AQ704" i="1" l="1"/>
  <c r="AQ28" i="12" s="1"/>
  <c r="AQ129" i="12" s="1"/>
  <c r="AQ184" i="12" s="1"/>
  <c r="AR409" i="1"/>
  <c r="AR321" i="1"/>
  <c r="AR323" i="1" s="1"/>
  <c r="AR739" i="1" s="1"/>
  <c r="AR755" i="1" s="1"/>
  <c r="AR18" i="7" s="1"/>
  <c r="AR31" i="7" s="1"/>
  <c r="AR317" i="1"/>
  <c r="AR305" i="1"/>
  <c r="AR306" i="1" s="1"/>
  <c r="AR332" i="1"/>
  <c r="AR342" i="1" s="1"/>
  <c r="AR462" i="1" s="1"/>
  <c r="AR500" i="1" s="1"/>
  <c r="AR331" i="1"/>
  <c r="AR341" i="1" s="1"/>
  <c r="AQ785" i="1" l="1"/>
  <c r="AQ217" i="12"/>
  <c r="AQ230" i="12" s="1"/>
  <c r="AQ285" i="12" s="1"/>
  <c r="AR316" i="1"/>
  <c r="AR319" i="1" s="1"/>
  <c r="AR325" i="1" s="1"/>
  <c r="AR693" i="1" s="1"/>
  <c r="AR307" i="1"/>
  <c r="AS301" i="1" s="1"/>
  <c r="AS303" i="1" s="1"/>
  <c r="AR375" i="1"/>
  <c r="AR376" i="1" s="1"/>
  <c r="AR426" i="1" s="1"/>
  <c r="AR381" i="1"/>
  <c r="AR703" i="1" l="1"/>
  <c r="AR340" i="1"/>
  <c r="AR594" i="1" s="1"/>
  <c r="AR380" i="1"/>
  <c r="AR382" i="1" s="1"/>
  <c r="AR502" i="1" s="1"/>
  <c r="AR377" i="1"/>
  <c r="AS329" i="1"/>
  <c r="AS304" i="1"/>
  <c r="AR704" i="1" l="1"/>
  <c r="AR708" i="1"/>
  <c r="AS321" i="1"/>
  <c r="AS323" i="1" s="1"/>
  <c r="AS739" i="1" s="1"/>
  <c r="AS755" i="1" s="1"/>
  <c r="AS18" i="7" s="1"/>
  <c r="AS31" i="7" s="1"/>
  <c r="AS317" i="1"/>
  <c r="AS305" i="1"/>
  <c r="AS306" i="1" s="1"/>
  <c r="AR420" i="1"/>
  <c r="AS332" i="1"/>
  <c r="AS342" i="1" s="1"/>
  <c r="AS462" i="1" s="1"/>
  <c r="AS500" i="1" s="1"/>
  <c r="AS331" i="1"/>
  <c r="AS341" i="1" s="1"/>
  <c r="AR28" i="12" l="1"/>
  <c r="AR129" i="12" s="1"/>
  <c r="AR785" i="1"/>
  <c r="AS409" i="1"/>
  <c r="AS316" i="1"/>
  <c r="AS319" i="1" s="1"/>
  <c r="AS340" i="1" s="1"/>
  <c r="AS594" i="1" s="1"/>
  <c r="AS381" i="1"/>
  <c r="AS375" i="1"/>
  <c r="AS376" i="1" s="1"/>
  <c r="AS426" i="1" s="1"/>
  <c r="AS307" i="1"/>
  <c r="AT301" i="1" s="1"/>
  <c r="AR184" i="12" l="1"/>
  <c r="AR217" i="12"/>
  <c r="AR230" i="12" s="1"/>
  <c r="AR285" i="12" s="1"/>
  <c r="AS325" i="1"/>
  <c r="AS380" i="1"/>
  <c r="AS382" i="1" s="1"/>
  <c r="AS502" i="1" s="1"/>
  <c r="AS377" i="1"/>
  <c r="AT303" i="1"/>
  <c r="AS693" i="1" l="1"/>
  <c r="AS420" i="1"/>
  <c r="AT329" i="1"/>
  <c r="AT304" i="1"/>
  <c r="AT317" i="1" s="1"/>
  <c r="AS703" i="1" l="1"/>
  <c r="AS708" i="1" s="1"/>
  <c r="AT409" i="1"/>
  <c r="AT331" i="1"/>
  <c r="AT341" i="1" s="1"/>
  <c r="AT332" i="1"/>
  <c r="AT342" i="1" s="1"/>
  <c r="AT462" i="1" s="1"/>
  <c r="AT500" i="1" s="1"/>
  <c r="AT321" i="1"/>
  <c r="AT323" i="1" s="1"/>
  <c r="AT739" i="1" s="1"/>
  <c r="AT755" i="1" s="1"/>
  <c r="AT18" i="7" s="1"/>
  <c r="AT31" i="7" s="1"/>
  <c r="AT305" i="1"/>
  <c r="AS704" i="1" l="1"/>
  <c r="AS785" i="1" s="1"/>
  <c r="AT306" i="1"/>
  <c r="AT307" i="1" s="1"/>
  <c r="AU301" i="1" s="1"/>
  <c r="AT381" i="1"/>
  <c r="AT375" i="1"/>
  <c r="AT376" i="1" s="1"/>
  <c r="AT426" i="1" s="1"/>
  <c r="AS28" i="12" l="1"/>
  <c r="AS129" i="12" s="1"/>
  <c r="AS217" i="12" s="1"/>
  <c r="AS230" i="12" s="1"/>
  <c r="AS285" i="12" s="1"/>
  <c r="AT316" i="1"/>
  <c r="AT319" i="1" s="1"/>
  <c r="AT340" i="1" s="1"/>
  <c r="AT594" i="1" s="1"/>
  <c r="AT380" i="1"/>
  <c r="AT382" i="1" s="1"/>
  <c r="AT502" i="1" s="1"/>
  <c r="AT377" i="1"/>
  <c r="AU303" i="1"/>
  <c r="AS184" i="12" l="1"/>
  <c r="AT325" i="1"/>
  <c r="AU329" i="1"/>
  <c r="AU304" i="1"/>
  <c r="AT420" i="1"/>
  <c r="AT693" i="1" l="1"/>
  <c r="AU409" i="1"/>
  <c r="AU321" i="1"/>
  <c r="AU323" i="1" s="1"/>
  <c r="AU739" i="1" s="1"/>
  <c r="AU755" i="1" s="1"/>
  <c r="AU18" i="7" s="1"/>
  <c r="AU31" i="7" s="1"/>
  <c r="AU317" i="1"/>
  <c r="AU332" i="1"/>
  <c r="AU342" i="1" s="1"/>
  <c r="AU462" i="1" s="1"/>
  <c r="AU500" i="1" s="1"/>
  <c r="AU331" i="1"/>
  <c r="AU341" i="1" s="1"/>
  <c r="AU305" i="1"/>
  <c r="AT703" i="1" l="1"/>
  <c r="AT708" i="1" s="1"/>
  <c r="AU375" i="1"/>
  <c r="AU376" i="1" s="1"/>
  <c r="AU426" i="1" s="1"/>
  <c r="AU381" i="1"/>
  <c r="AU306" i="1"/>
  <c r="AT704" i="1" l="1"/>
  <c r="AT785" i="1" s="1"/>
  <c r="AU316" i="1"/>
  <c r="AU319" i="1" s="1"/>
  <c r="AU340" i="1" s="1"/>
  <c r="AU594" i="1" s="1"/>
  <c r="AU307" i="1"/>
  <c r="AV301" i="1" s="1"/>
  <c r="AU380" i="1"/>
  <c r="AU382" i="1" s="1"/>
  <c r="AU502" i="1" s="1"/>
  <c r="AU377" i="1"/>
  <c r="AT28" i="12" l="1"/>
  <c r="AT129" i="12" s="1"/>
  <c r="AT217" i="12" s="1"/>
  <c r="AT230" i="12" s="1"/>
  <c r="AT285" i="12" s="1"/>
  <c r="AU325" i="1"/>
  <c r="AU420" i="1"/>
  <c r="AV409" i="1" s="1"/>
  <c r="AV303" i="1"/>
  <c r="AT184" i="12" l="1"/>
  <c r="AU693" i="1"/>
  <c r="AV329" i="1"/>
  <c r="AV304" i="1"/>
  <c r="AU703" i="1" l="1"/>
  <c r="AU708" i="1" s="1"/>
  <c r="AV321" i="1"/>
  <c r="AV323" i="1" s="1"/>
  <c r="AV739" i="1" s="1"/>
  <c r="AV755" i="1" s="1"/>
  <c r="AV18" i="7" s="1"/>
  <c r="AV31" i="7" s="1"/>
  <c r="AV317" i="1"/>
  <c r="AV331" i="1"/>
  <c r="AV341" i="1" s="1"/>
  <c r="AV332" i="1"/>
  <c r="AV342" i="1" s="1"/>
  <c r="AV462" i="1" s="1"/>
  <c r="AV500" i="1" s="1"/>
  <c r="AV305" i="1"/>
  <c r="AU704" i="1" l="1"/>
  <c r="AU28" i="12" s="1"/>
  <c r="AU129" i="12" s="1"/>
  <c r="AV306" i="1"/>
  <c r="AV375" i="1"/>
  <c r="AV376" i="1" s="1"/>
  <c r="AV426" i="1" s="1"/>
  <c r="AV381" i="1"/>
  <c r="AU785" i="1" l="1"/>
  <c r="AU184" i="12"/>
  <c r="AU217" i="12"/>
  <c r="AU230" i="12" s="1"/>
  <c r="AU285" i="12" s="1"/>
  <c r="AV316" i="1"/>
  <c r="AV319" i="1" s="1"/>
  <c r="AV325" i="1" s="1"/>
  <c r="AV693" i="1" s="1"/>
  <c r="AV307" i="1"/>
  <c r="AW301" i="1" s="1"/>
  <c r="AW303" i="1" s="1"/>
  <c r="AV380" i="1"/>
  <c r="AV382" i="1" s="1"/>
  <c r="AV502" i="1" s="1"/>
  <c r="AV377" i="1"/>
  <c r="AV703" i="1" l="1"/>
  <c r="AV708" i="1" s="1"/>
  <c r="AV340" i="1"/>
  <c r="AV594" i="1" s="1"/>
  <c r="AW329" i="1"/>
  <c r="AW304" i="1"/>
  <c r="AW317" i="1" s="1"/>
  <c r="AV420" i="1"/>
  <c r="AW409" i="1" s="1"/>
  <c r="AV704" i="1" l="1"/>
  <c r="AW332" i="1"/>
  <c r="AW342" i="1" s="1"/>
  <c r="AW462" i="1" s="1"/>
  <c r="AW500" i="1" s="1"/>
  <c r="AW331" i="1"/>
  <c r="AW341" i="1" s="1"/>
  <c r="AW321" i="1"/>
  <c r="AW323" i="1" s="1"/>
  <c r="AW739" i="1" s="1"/>
  <c r="AW755" i="1" s="1"/>
  <c r="AW18" i="7" s="1"/>
  <c r="AW31" i="7" s="1"/>
  <c r="AW305" i="1"/>
  <c r="AV28" i="12" l="1"/>
  <c r="AV129" i="12" s="1"/>
  <c r="AV785" i="1"/>
  <c r="AW381" i="1"/>
  <c r="AW375" i="1"/>
  <c r="AW376" i="1" s="1"/>
  <c r="AW426" i="1" s="1"/>
  <c r="AW306" i="1"/>
  <c r="AV217" i="12" l="1"/>
  <c r="AV230" i="12" s="1"/>
  <c r="AV285" i="12" s="1"/>
  <c r="AV184" i="12"/>
  <c r="AW316" i="1"/>
  <c r="AW319" i="1" s="1"/>
  <c r="AW340" i="1" s="1"/>
  <c r="AW594" i="1" s="1"/>
  <c r="AW307" i="1"/>
  <c r="AX301" i="1" s="1"/>
  <c r="AX303" i="1" s="1"/>
  <c r="AW380" i="1"/>
  <c r="AW382" i="1" s="1"/>
  <c r="AW502" i="1" s="1"/>
  <c r="AW377" i="1"/>
  <c r="AW325" i="1" l="1"/>
  <c r="AW420" i="1"/>
  <c r="AX409" i="1" s="1"/>
  <c r="AX304" i="1"/>
  <c r="AX317" i="1" s="1"/>
  <c r="AX329" i="1"/>
  <c r="F334" i="1" s="1"/>
  <c r="I303" i="1"/>
  <c r="I329" i="1" s="1"/>
  <c r="F309" i="1"/>
  <c r="AW693" i="1" l="1"/>
  <c r="AX332" i="1"/>
  <c r="F336" i="1" s="1"/>
  <c r="F346" i="1" s="1"/>
  <c r="AX331" i="1"/>
  <c r="AX321" i="1"/>
  <c r="AX323" i="1" s="1"/>
  <c r="F311" i="1"/>
  <c r="I304" i="1"/>
  <c r="AX305" i="1"/>
  <c r="AW703" i="1" l="1"/>
  <c r="AW708" i="1" s="1"/>
  <c r="F335" i="1"/>
  <c r="I321" i="1"/>
  <c r="I317" i="1"/>
  <c r="AX739" i="1"/>
  <c r="AX755" i="1" s="1"/>
  <c r="I323" i="1"/>
  <c r="I739" i="1" s="1"/>
  <c r="AX341" i="1"/>
  <c r="I331" i="1"/>
  <c r="AX306" i="1"/>
  <c r="AX316" i="1" s="1"/>
  <c r="AX319" i="1" s="1"/>
  <c r="F344" i="1" s="1"/>
  <c r="AX342" i="1"/>
  <c r="I332" i="1"/>
  <c r="AW704" i="1" l="1"/>
  <c r="AW28" i="12" s="1"/>
  <c r="AW129" i="12" s="1"/>
  <c r="AW217" i="12" s="1"/>
  <c r="AW230" i="12" s="1"/>
  <c r="AW285" i="12" s="1"/>
  <c r="F337" i="1"/>
  <c r="F796" i="1" s="1"/>
  <c r="F345" i="1"/>
  <c r="AX307" i="1"/>
  <c r="AX462" i="1"/>
  <c r="AX500" i="1" s="1"/>
  <c r="I342" i="1"/>
  <c r="I462" i="1" s="1"/>
  <c r="I500" i="1" s="1"/>
  <c r="AX381" i="1"/>
  <c r="AX375" i="1"/>
  <c r="AX376" i="1" s="1"/>
  <c r="I341" i="1"/>
  <c r="F312" i="1"/>
  <c r="F313" i="1" s="1"/>
  <c r="F795" i="1" s="1"/>
  <c r="I306" i="1"/>
  <c r="I316" i="1" s="1"/>
  <c r="AX18" i="7"/>
  <c r="I755" i="1"/>
  <c r="I18" i="7" s="1"/>
  <c r="I31" i="7" s="1"/>
  <c r="F768" i="1"/>
  <c r="O26" i="5" s="1"/>
  <c r="J63" i="35" s="1"/>
  <c r="I63" i="35" s="1"/>
  <c r="AW785" i="1" l="1"/>
  <c r="AW184" i="12"/>
  <c r="F399" i="1"/>
  <c r="F436" i="1" s="1"/>
  <c r="AX426" i="1"/>
  <c r="T75" i="5"/>
  <c r="F62" i="35"/>
  <c r="J62" i="35" s="1"/>
  <c r="I62" i="35" s="1"/>
  <c r="AX380" i="1"/>
  <c r="AX382" i="1" s="1"/>
  <c r="I376" i="1"/>
  <c r="AX377" i="1"/>
  <c r="AX325" i="1"/>
  <c r="AX693" i="1" s="1"/>
  <c r="AX340" i="1"/>
  <c r="F347" i="1" s="1"/>
  <c r="F348" i="1" s="1"/>
  <c r="I319" i="1"/>
  <c r="AX31" i="7"/>
  <c r="F66" i="7"/>
  <c r="I375" i="1"/>
  <c r="I381" i="1"/>
  <c r="AX703" i="1" l="1"/>
  <c r="AX704" i="1" s="1"/>
  <c r="AX785" i="1" s="1"/>
  <c r="I380" i="1"/>
  <c r="I426" i="1"/>
  <c r="F400" i="1"/>
  <c r="AX594" i="1"/>
  <c r="I340" i="1"/>
  <c r="I594" i="1" s="1"/>
  <c r="F797" i="1"/>
  <c r="AX502" i="1"/>
  <c r="I382" i="1"/>
  <c r="I502" i="1" s="1"/>
  <c r="AX420" i="1"/>
  <c r="R421" i="1" s="1"/>
  <c r="I397" i="1"/>
  <c r="F326" i="1"/>
  <c r="I325" i="1"/>
  <c r="I693" i="1" s="1"/>
  <c r="I704" i="1" l="1"/>
  <c r="AX28" i="12"/>
  <c r="AX129" i="12" s="1"/>
  <c r="I703" i="1"/>
  <c r="I708" i="1" s="1"/>
  <c r="AX708" i="1"/>
  <c r="S421" i="1"/>
  <c r="S409" i="1" s="1"/>
  <c r="U421" i="1"/>
  <c r="U409" i="1" s="1"/>
  <c r="O409" i="1"/>
  <c r="O411" i="1" s="1"/>
  <c r="O415" i="1" s="1"/>
  <c r="F401" i="1"/>
  <c r="F798" i="1" s="1"/>
  <c r="R409" i="1"/>
  <c r="I420" i="1"/>
  <c r="I408" i="1"/>
  <c r="F50" i="12" l="1"/>
  <c r="F41" i="12"/>
  <c r="I28" i="12"/>
  <c r="I785" i="1"/>
  <c r="P407" i="1"/>
  <c r="P411" i="1" s="1"/>
  <c r="P415" i="1" s="1"/>
  <c r="O427" i="1"/>
  <c r="O429" i="1" s="1"/>
  <c r="P425" i="1" s="1"/>
  <c r="O432" i="1"/>
  <c r="O434" i="1" s="1"/>
  <c r="O459" i="1" s="1"/>
  <c r="I421" i="1"/>
  <c r="I409" i="1" s="1"/>
  <c r="AX184" i="12"/>
  <c r="F197" i="12" s="1"/>
  <c r="K7" i="5" s="1"/>
  <c r="F33" i="35" s="1"/>
  <c r="AX217" i="12"/>
  <c r="AX230" i="12" s="1"/>
  <c r="I129" i="12"/>
  <c r="I217" i="12" s="1"/>
  <c r="F142" i="12"/>
  <c r="I7" i="5" s="1"/>
  <c r="F156" i="12"/>
  <c r="Q407" i="1" l="1"/>
  <c r="Q411" i="1" s="1"/>
  <c r="Q415" i="1" s="1"/>
  <c r="O501" i="1"/>
  <c r="O466" i="1"/>
  <c r="O469" i="1" s="1"/>
  <c r="P427" i="1"/>
  <c r="P429" i="1" s="1"/>
  <c r="Q425" i="1" s="1"/>
  <c r="P432" i="1"/>
  <c r="P434" i="1" s="1"/>
  <c r="P459" i="1" s="1"/>
  <c r="P501" i="1" s="1"/>
  <c r="F23" i="35"/>
  <c r="G7" i="5"/>
  <c r="AX285" i="12"/>
  <c r="F298" i="12" s="1"/>
  <c r="F257" i="12"/>
  <c r="F243" i="12"/>
  <c r="J7" i="5" s="1"/>
  <c r="J33" i="35"/>
  <c r="I33" i="35" s="1"/>
  <c r="T186" i="5"/>
  <c r="R407" i="1" l="1"/>
  <c r="R411" i="1" s="1"/>
  <c r="S407" i="1" s="1"/>
  <c r="S411" i="1" s="1"/>
  <c r="Q432" i="1"/>
  <c r="Q434" i="1" s="1"/>
  <c r="Q459" i="1" s="1"/>
  <c r="Q501" i="1" s="1"/>
  <c r="Q427" i="1"/>
  <c r="Q429" i="1" s="1"/>
  <c r="R425" i="1" s="1"/>
  <c r="O499" i="1"/>
  <c r="O503" i="1" s="1"/>
  <c r="O505" i="1" s="1"/>
  <c r="O471" i="1"/>
  <c r="J23" i="35"/>
  <c r="I23" i="35" s="1"/>
  <c r="L7" i="5"/>
  <c r="H7" i="5"/>
  <c r="R415" i="1" l="1"/>
  <c r="R432" i="1" s="1"/>
  <c r="R434" i="1" s="1"/>
  <c r="R459" i="1" s="1"/>
  <c r="P470" i="1"/>
  <c r="O477" i="1"/>
  <c r="T407" i="1"/>
  <c r="S415" i="1"/>
  <c r="T410" i="1" l="1"/>
  <c r="T411" i="1" s="1"/>
  <c r="R427" i="1"/>
  <c r="R429" i="1" s="1"/>
  <c r="S425" i="1" s="1"/>
  <c r="R501" i="1"/>
  <c r="S427" i="1"/>
  <c r="S432" i="1"/>
  <c r="S434" i="1" s="1"/>
  <c r="S459" i="1" s="1"/>
  <c r="S501" i="1" s="1"/>
  <c r="O736" i="1"/>
  <c r="O508" i="1"/>
  <c r="O512" i="1" s="1"/>
  <c r="O595" i="1"/>
  <c r="O752" i="1" l="1"/>
  <c r="U407" i="1"/>
  <c r="U411" i="1" s="1"/>
  <c r="V407" i="1" s="1"/>
  <c r="V411" i="1" s="1"/>
  <c r="T415" i="1"/>
  <c r="T432" i="1" s="1"/>
  <c r="S429" i="1"/>
  <c r="T425" i="1" s="1"/>
  <c r="O520" i="1"/>
  <c r="O521" i="1" s="1"/>
  <c r="O15" i="7" l="1"/>
  <c r="O28" i="7" s="1"/>
  <c r="U415" i="1"/>
  <c r="U427" i="1" s="1"/>
  <c r="T427" i="1"/>
  <c r="T428" i="1" s="1"/>
  <c r="P517" i="1"/>
  <c r="P518" i="1" s="1"/>
  <c r="O524" i="1"/>
  <c r="V415" i="1"/>
  <c r="W407" i="1"/>
  <c r="W411" i="1" s="1"/>
  <c r="U432" i="1" l="1"/>
  <c r="U434" i="1" s="1"/>
  <c r="U459" i="1" s="1"/>
  <c r="U501" i="1" s="1"/>
  <c r="T433" i="1"/>
  <c r="T434" i="1" s="1"/>
  <c r="T459" i="1" s="1"/>
  <c r="T501" i="1" s="1"/>
  <c r="T429" i="1"/>
  <c r="U425" i="1" s="1"/>
  <c r="U429" i="1" s="1"/>
  <c r="V425" i="1" s="1"/>
  <c r="O737" i="1"/>
  <c r="O529" i="1"/>
  <c r="P530" i="1" s="1"/>
  <c r="P465" i="1" s="1"/>
  <c r="P466" i="1" s="1"/>
  <c r="P469" i="1" s="1"/>
  <c r="O596" i="1"/>
  <c r="X407" i="1"/>
  <c r="X411" i="1" s="1"/>
  <c r="W415" i="1"/>
  <c r="V427" i="1"/>
  <c r="V432" i="1"/>
  <c r="V434" i="1" s="1"/>
  <c r="V459" i="1" s="1"/>
  <c r="V501" i="1" s="1"/>
  <c r="O753" i="1" l="1"/>
  <c r="O598" i="1"/>
  <c r="V429" i="1"/>
  <c r="W425" i="1" s="1"/>
  <c r="P493" i="1"/>
  <c r="P494" i="1" s="1"/>
  <c r="P496" i="1" s="1"/>
  <c r="P519" i="1" s="1"/>
  <c r="W427" i="1"/>
  <c r="W432" i="1"/>
  <c r="W434" i="1" s="1"/>
  <c r="W459" i="1" s="1"/>
  <c r="W501" i="1" s="1"/>
  <c r="P499" i="1"/>
  <c r="P503" i="1" s="1"/>
  <c r="P471" i="1"/>
  <c r="X415" i="1"/>
  <c r="Y407" i="1"/>
  <c r="Y411" i="1" s="1"/>
  <c r="O602" i="1" l="1"/>
  <c r="O628" i="1" s="1"/>
  <c r="O630" i="1" s="1"/>
  <c r="O633" i="1" s="1"/>
  <c r="O649" i="1" s="1"/>
  <c r="O650" i="1" s="1"/>
  <c r="O652" i="1" s="1"/>
  <c r="O653" i="1" s="1"/>
  <c r="O667" i="1" s="1"/>
  <c r="O16" i="7"/>
  <c r="O29" i="7" s="1"/>
  <c r="O603" i="1"/>
  <c r="O714" i="1"/>
  <c r="O600" i="1"/>
  <c r="O618" i="1" s="1"/>
  <c r="W429" i="1"/>
  <c r="X425" i="1" s="1"/>
  <c r="P505" i="1"/>
  <c r="X432" i="1"/>
  <c r="X434" i="1" s="1"/>
  <c r="X459" i="1" s="1"/>
  <c r="X501" i="1" s="1"/>
  <c r="X427" i="1"/>
  <c r="Q470" i="1"/>
  <c r="P477" i="1"/>
  <c r="Y415" i="1"/>
  <c r="Z407" i="1"/>
  <c r="Z411" i="1" s="1"/>
  <c r="O684" i="1" l="1"/>
  <c r="X429" i="1"/>
  <c r="Y425" i="1" s="1"/>
  <c r="AA407" i="1"/>
  <c r="AA411" i="1" s="1"/>
  <c r="Z415" i="1"/>
  <c r="Y432" i="1"/>
  <c r="Y434" i="1" s="1"/>
  <c r="Y459" i="1" s="1"/>
  <c r="Y501" i="1" s="1"/>
  <c r="Y427" i="1"/>
  <c r="P508" i="1"/>
  <c r="P512" i="1" s="1"/>
  <c r="P595" i="1"/>
  <c r="P736" i="1"/>
  <c r="P752" i="1" l="1"/>
  <c r="Y429" i="1"/>
  <c r="Z425" i="1" s="1"/>
  <c r="P520" i="1"/>
  <c r="P521" i="1" s="1"/>
  <c r="Z427" i="1"/>
  <c r="Z432" i="1"/>
  <c r="Z434" i="1" s="1"/>
  <c r="Z459" i="1" s="1"/>
  <c r="Z501" i="1" s="1"/>
  <c r="AB407" i="1"/>
  <c r="AB411" i="1" s="1"/>
  <c r="AA415" i="1"/>
  <c r="P15" i="7" l="1"/>
  <c r="P28" i="7" s="1"/>
  <c r="Z429" i="1"/>
  <c r="AA425" i="1" s="1"/>
  <c r="P524" i="1"/>
  <c r="Q517" i="1"/>
  <c r="Q518" i="1" s="1"/>
  <c r="AA427" i="1"/>
  <c r="AA432" i="1"/>
  <c r="AA434" i="1" s="1"/>
  <c r="AA459" i="1" s="1"/>
  <c r="AA501" i="1" s="1"/>
  <c r="AB415" i="1"/>
  <c r="AC407" i="1"/>
  <c r="AA429" i="1" l="1"/>
  <c r="AB425" i="1" s="1"/>
  <c r="P596" i="1"/>
  <c r="P529" i="1"/>
  <c r="Q530" i="1" s="1"/>
  <c r="Q465" i="1" s="1"/>
  <c r="Q466" i="1" s="1"/>
  <c r="Q469" i="1" s="1"/>
  <c r="AC410" i="1"/>
  <c r="AC411" i="1" s="1"/>
  <c r="P737" i="1"/>
  <c r="AB432" i="1"/>
  <c r="AB434" i="1" s="1"/>
  <c r="AB459" i="1" s="1"/>
  <c r="AB501" i="1" s="1"/>
  <c r="AB427" i="1"/>
  <c r="P753" i="1" l="1"/>
  <c r="P598" i="1"/>
  <c r="P602" i="1" s="1"/>
  <c r="P628" i="1" s="1"/>
  <c r="P630" i="1" s="1"/>
  <c r="P633" i="1" s="1"/>
  <c r="AB429" i="1"/>
  <c r="AC425" i="1" s="1"/>
  <c r="AC415" i="1"/>
  <c r="AC432" i="1" s="1"/>
  <c r="AD407" i="1"/>
  <c r="AD410" i="1" s="1"/>
  <c r="AD411" i="1" s="1"/>
  <c r="AD415" i="1" s="1"/>
  <c r="Q493" i="1"/>
  <c r="Q494" i="1" s="1"/>
  <c r="Q496" i="1" s="1"/>
  <c r="Q519" i="1" s="1"/>
  <c r="Q471" i="1"/>
  <c r="Q499" i="1"/>
  <c r="Q503" i="1" s="1"/>
  <c r="P16" i="7" l="1"/>
  <c r="P29" i="7" s="1"/>
  <c r="P714" i="1"/>
  <c r="P649" i="1"/>
  <c r="P650" i="1" s="1"/>
  <c r="P652" i="1" s="1"/>
  <c r="P653" i="1" s="1"/>
  <c r="P667" i="1" s="1"/>
  <c r="P684" i="1"/>
  <c r="P603" i="1"/>
  <c r="P600" i="1"/>
  <c r="P618" i="1" s="1"/>
  <c r="AC427" i="1"/>
  <c r="Q505" i="1"/>
  <c r="AE407" i="1"/>
  <c r="AC428" i="1"/>
  <c r="AC433" i="1" s="1"/>
  <c r="AC434" i="1" s="1"/>
  <c r="AC459" i="1" s="1"/>
  <c r="AC501" i="1" s="1"/>
  <c r="Q477" i="1"/>
  <c r="R470" i="1"/>
  <c r="AD427" i="1"/>
  <c r="AD432" i="1"/>
  <c r="AE410" i="1" l="1"/>
  <c r="AE411" i="1" s="1"/>
  <c r="AC429" i="1"/>
  <c r="AD425" i="1" s="1"/>
  <c r="AD428" i="1" s="1"/>
  <c r="Q595" i="1"/>
  <c r="Q508" i="1"/>
  <c r="Q512" i="1" s="1"/>
  <c r="Q736" i="1"/>
  <c r="Q752" i="1" l="1"/>
  <c r="AE415" i="1"/>
  <c r="AF407" i="1"/>
  <c r="AF411" i="1" s="1"/>
  <c r="AF415" i="1" s="1"/>
  <c r="AF427" i="1" s="1"/>
  <c r="AD433" i="1"/>
  <c r="AD434" i="1" s="1"/>
  <c r="AD459" i="1" s="1"/>
  <c r="AD501" i="1" s="1"/>
  <c r="AD429" i="1"/>
  <c r="AE425" i="1" s="1"/>
  <c r="Q520" i="1"/>
  <c r="Q521" i="1" s="1"/>
  <c r="Q15" i="7" l="1"/>
  <c r="Q28" i="7" s="1"/>
  <c r="AF432" i="1"/>
  <c r="AF434" i="1" s="1"/>
  <c r="AF459" i="1" s="1"/>
  <c r="AF501" i="1" s="1"/>
  <c r="AG407" i="1"/>
  <c r="AG411" i="1" s="1"/>
  <c r="AH407" i="1" s="1"/>
  <c r="AH411" i="1" s="1"/>
  <c r="AH415" i="1" s="1"/>
  <c r="AE432" i="1"/>
  <c r="AE427" i="1"/>
  <c r="R517" i="1"/>
  <c r="R518" i="1" s="1"/>
  <c r="Q524" i="1"/>
  <c r="AI407" i="1" l="1"/>
  <c r="AI411" i="1" s="1"/>
  <c r="AI415" i="1" s="1"/>
  <c r="AG415" i="1"/>
  <c r="AG432" i="1" s="1"/>
  <c r="AG434" i="1" s="1"/>
  <c r="AG459" i="1" s="1"/>
  <c r="AG501" i="1" s="1"/>
  <c r="AE428" i="1"/>
  <c r="AE433" i="1" s="1"/>
  <c r="AE434" i="1" s="1"/>
  <c r="AE459" i="1" s="1"/>
  <c r="AE501" i="1" s="1"/>
  <c r="Q596" i="1"/>
  <c r="Q529" i="1"/>
  <c r="R530" i="1" s="1"/>
  <c r="R465" i="1" s="1"/>
  <c r="R466" i="1" s="1"/>
  <c r="R469" i="1" s="1"/>
  <c r="Q737" i="1"/>
  <c r="AH427" i="1"/>
  <c r="AH432" i="1"/>
  <c r="AH434" i="1" s="1"/>
  <c r="AH459" i="1" s="1"/>
  <c r="AH501" i="1" s="1"/>
  <c r="Q753" i="1" l="1"/>
  <c r="Q598" i="1"/>
  <c r="Q602" i="1" s="1"/>
  <c r="Q628" i="1" s="1"/>
  <c r="Q630" i="1" s="1"/>
  <c r="Q633" i="1" s="1"/>
  <c r="AJ407" i="1"/>
  <c r="AJ411" i="1" s="1"/>
  <c r="AJ415" i="1" s="1"/>
  <c r="AG427" i="1"/>
  <c r="AE429" i="1"/>
  <c r="AF425" i="1" s="1"/>
  <c r="AF429" i="1" s="1"/>
  <c r="AG425" i="1" s="1"/>
  <c r="R493" i="1"/>
  <c r="R494" i="1" s="1"/>
  <c r="R496" i="1" s="1"/>
  <c r="R519" i="1" s="1"/>
  <c r="AI427" i="1"/>
  <c r="AI432" i="1"/>
  <c r="AI434" i="1" s="1"/>
  <c r="AI459" i="1" s="1"/>
  <c r="AI501" i="1" s="1"/>
  <c r="R499" i="1"/>
  <c r="R503" i="1" s="1"/>
  <c r="R471" i="1"/>
  <c r="Q603" i="1" l="1"/>
  <c r="Q16" i="7"/>
  <c r="Q29" i="7" s="1"/>
  <c r="Q600" i="1"/>
  <c r="Q618" i="1" s="1"/>
  <c r="Q714" i="1"/>
  <c r="Q649" i="1"/>
  <c r="Q650" i="1" s="1"/>
  <c r="Q652" i="1" s="1"/>
  <c r="Q653" i="1" s="1"/>
  <c r="Q667" i="1" s="1"/>
  <c r="Q684" i="1"/>
  <c r="AK407" i="1"/>
  <c r="AK410" i="1" s="1"/>
  <c r="AG429" i="1"/>
  <c r="AH425" i="1" s="1"/>
  <c r="AH429" i="1" s="1"/>
  <c r="AI425" i="1" s="1"/>
  <c r="AI429" i="1" s="1"/>
  <c r="AJ425" i="1" s="1"/>
  <c r="R505" i="1"/>
  <c r="AJ427" i="1"/>
  <c r="AJ432" i="1"/>
  <c r="AJ434" i="1" s="1"/>
  <c r="AJ459" i="1" s="1"/>
  <c r="AJ501" i="1" s="1"/>
  <c r="R477" i="1"/>
  <c r="S470" i="1"/>
  <c r="AK411" i="1" l="1"/>
  <c r="AL407" i="1" s="1"/>
  <c r="AL411" i="1" s="1"/>
  <c r="AL415" i="1" s="1"/>
  <c r="AJ429" i="1"/>
  <c r="AK425" i="1" s="1"/>
  <c r="R508" i="1"/>
  <c r="R512" i="1" s="1"/>
  <c r="R736" i="1"/>
  <c r="R595" i="1"/>
  <c r="AK415" i="1" l="1"/>
  <c r="AK432" i="1" s="1"/>
  <c r="AM407" i="1"/>
  <c r="AM411" i="1" s="1"/>
  <c r="AN407" i="1" s="1"/>
  <c r="AN411" i="1" s="1"/>
  <c r="R520" i="1"/>
  <c r="R521" i="1" s="1"/>
  <c r="AL427" i="1"/>
  <c r="AL432" i="1"/>
  <c r="AL434" i="1" s="1"/>
  <c r="AL459" i="1" s="1"/>
  <c r="AL501" i="1" s="1"/>
  <c r="R752" i="1"/>
  <c r="AK427" i="1" l="1"/>
  <c r="AK428" i="1"/>
  <c r="AK433" i="1" s="1"/>
  <c r="AK434" i="1" s="1"/>
  <c r="AK459" i="1" s="1"/>
  <c r="AK501" i="1" s="1"/>
  <c r="AM415" i="1"/>
  <c r="AM432" i="1" s="1"/>
  <c r="AM434" i="1" s="1"/>
  <c r="AM459" i="1" s="1"/>
  <c r="AM501" i="1" s="1"/>
  <c r="R524" i="1"/>
  <c r="S517" i="1"/>
  <c r="S518" i="1" s="1"/>
  <c r="AN415" i="1"/>
  <c r="AO407" i="1"/>
  <c r="R15" i="7"/>
  <c r="R28" i="7" s="1"/>
  <c r="AK429" i="1" l="1"/>
  <c r="AL425" i="1" s="1"/>
  <c r="AL429" i="1" s="1"/>
  <c r="AM425" i="1" s="1"/>
  <c r="R596" i="1"/>
  <c r="R529" i="1"/>
  <c r="S530" i="1" s="1"/>
  <c r="S465" i="1" s="1"/>
  <c r="S466" i="1" s="1"/>
  <c r="S469" i="1" s="1"/>
  <c r="AM427" i="1"/>
  <c r="R737" i="1"/>
  <c r="AO410" i="1"/>
  <c r="I410" i="1" s="1"/>
  <c r="AN427" i="1"/>
  <c r="AN432" i="1"/>
  <c r="AN434" i="1" s="1"/>
  <c r="AN459" i="1" s="1"/>
  <c r="AN501" i="1" s="1"/>
  <c r="R753" i="1" l="1"/>
  <c r="R16" i="7" s="1"/>
  <c r="R29" i="7" s="1"/>
  <c r="R598" i="1"/>
  <c r="R603" i="1" s="1"/>
  <c r="AM429" i="1"/>
  <c r="AN425" i="1" s="1"/>
  <c r="AN429" i="1" s="1"/>
  <c r="AO425" i="1" s="1"/>
  <c r="S493" i="1"/>
  <c r="S494" i="1" s="1"/>
  <c r="S496" i="1" s="1"/>
  <c r="S519" i="1" s="1"/>
  <c r="AO411" i="1"/>
  <c r="S471" i="1"/>
  <c r="S499" i="1"/>
  <c r="S503" i="1" s="1"/>
  <c r="R714" i="1" l="1"/>
  <c r="R602" i="1"/>
  <c r="R628" i="1" s="1"/>
  <c r="R630" i="1" s="1"/>
  <c r="R633" i="1" s="1"/>
  <c r="R649" i="1" s="1"/>
  <c r="R650" i="1" s="1"/>
  <c r="R652" i="1" s="1"/>
  <c r="R653" i="1" s="1"/>
  <c r="R667" i="1" s="1"/>
  <c r="R600" i="1"/>
  <c r="R618" i="1" s="1"/>
  <c r="S505" i="1"/>
  <c r="AO415" i="1"/>
  <c r="AP407" i="1"/>
  <c r="AP411" i="1" s="1"/>
  <c r="S477" i="1"/>
  <c r="T470" i="1"/>
  <c r="R684" i="1" l="1"/>
  <c r="AQ407" i="1"/>
  <c r="AQ411" i="1" s="1"/>
  <c r="AP415" i="1"/>
  <c r="AO427" i="1"/>
  <c r="AO432" i="1"/>
  <c r="S508" i="1"/>
  <c r="S512" i="1" s="1"/>
  <c r="S595" i="1"/>
  <c r="S736" i="1"/>
  <c r="AO428" i="1" l="1"/>
  <c r="AO429" i="1" s="1"/>
  <c r="AP425" i="1" s="1"/>
  <c r="AP427" i="1"/>
  <c r="AP432" i="1"/>
  <c r="AP434" i="1" s="1"/>
  <c r="AP459" i="1" s="1"/>
  <c r="AP501" i="1" s="1"/>
  <c r="AR407" i="1"/>
  <c r="AR411" i="1" s="1"/>
  <c r="AQ415" i="1"/>
  <c r="S520" i="1"/>
  <c r="S521" i="1" s="1"/>
  <c r="S752" i="1"/>
  <c r="AQ432" i="1" l="1"/>
  <c r="AQ434" i="1" s="1"/>
  <c r="AQ459" i="1" s="1"/>
  <c r="AQ501" i="1" s="1"/>
  <c r="AQ427" i="1"/>
  <c r="AR415" i="1"/>
  <c r="AS407" i="1"/>
  <c r="AS411" i="1" s="1"/>
  <c r="AP429" i="1"/>
  <c r="AQ425" i="1" s="1"/>
  <c r="AO433" i="1"/>
  <c r="AO434" i="1" s="1"/>
  <c r="AO459" i="1" s="1"/>
  <c r="AO501" i="1" s="1"/>
  <c r="I428" i="1"/>
  <c r="I433" i="1" s="1"/>
  <c r="T517" i="1"/>
  <c r="T518" i="1" s="1"/>
  <c r="S524" i="1"/>
  <c r="S15" i="7"/>
  <c r="S28" i="7" s="1"/>
  <c r="S529" i="1" l="1"/>
  <c r="T530" i="1" s="1"/>
  <c r="AQ429" i="1"/>
  <c r="AR425" i="1" s="1"/>
  <c r="AT407" i="1"/>
  <c r="AT411" i="1" s="1"/>
  <c r="AS415" i="1"/>
  <c r="AR427" i="1"/>
  <c r="AR432" i="1"/>
  <c r="AR434" i="1" s="1"/>
  <c r="AR459" i="1" s="1"/>
  <c r="AR501" i="1" s="1"/>
  <c r="S737" i="1"/>
  <c r="S596" i="1"/>
  <c r="S753" i="1" l="1"/>
  <c r="S16" i="7" s="1"/>
  <c r="S29" i="7" s="1"/>
  <c r="S598" i="1"/>
  <c r="S603" i="1" s="1"/>
  <c r="T493" i="1"/>
  <c r="T494" i="1" s="1"/>
  <c r="T496" i="1" s="1"/>
  <c r="T519" i="1" s="1"/>
  <c r="T465" i="1"/>
  <c r="T466" i="1" s="1"/>
  <c r="T469" i="1" s="1"/>
  <c r="T471" i="1" s="1"/>
  <c r="AR429" i="1"/>
  <c r="AS425" i="1" s="1"/>
  <c r="AS427" i="1"/>
  <c r="AS432" i="1"/>
  <c r="AS434" i="1" s="1"/>
  <c r="AS459" i="1" s="1"/>
  <c r="AS501" i="1" s="1"/>
  <c r="AT415" i="1"/>
  <c r="AU407" i="1"/>
  <c r="AU411" i="1" s="1"/>
  <c r="S602" i="1" l="1"/>
  <c r="S628" i="1" s="1"/>
  <c r="S630" i="1" s="1"/>
  <c r="S633" i="1" s="1"/>
  <c r="S649" i="1" s="1"/>
  <c r="S650" i="1" s="1"/>
  <c r="S652" i="1" s="1"/>
  <c r="S653" i="1" s="1"/>
  <c r="S667" i="1" s="1"/>
  <c r="S600" i="1"/>
  <c r="S618" i="1" s="1"/>
  <c r="S714" i="1"/>
  <c r="T499" i="1"/>
  <c r="T503" i="1" s="1"/>
  <c r="T505" i="1" s="1"/>
  <c r="AS429" i="1"/>
  <c r="AT425" i="1" s="1"/>
  <c r="AT427" i="1"/>
  <c r="AT432" i="1"/>
  <c r="AT434" i="1" s="1"/>
  <c r="AT459" i="1" s="1"/>
  <c r="AT501" i="1" s="1"/>
  <c r="AV407" i="1"/>
  <c r="AV411" i="1" s="1"/>
  <c r="AU415" i="1"/>
  <c r="T477" i="1"/>
  <c r="U470" i="1"/>
  <c r="S684" i="1" l="1"/>
  <c r="AT429" i="1"/>
  <c r="AU425" i="1" s="1"/>
  <c r="AU427" i="1"/>
  <c r="AU432" i="1"/>
  <c r="AU434" i="1" s="1"/>
  <c r="AU459" i="1" s="1"/>
  <c r="AU501" i="1" s="1"/>
  <c r="AW407" i="1"/>
  <c r="AW411" i="1" s="1"/>
  <c r="AV415" i="1"/>
  <c r="T736" i="1"/>
  <c r="T595" i="1"/>
  <c r="T508" i="1"/>
  <c r="T512" i="1" s="1"/>
  <c r="T752" i="1" l="1"/>
  <c r="AU429" i="1"/>
  <c r="AV425" i="1" s="1"/>
  <c r="AV432" i="1"/>
  <c r="AV434" i="1" s="1"/>
  <c r="AV427" i="1"/>
  <c r="AX407" i="1"/>
  <c r="AX411" i="1" s="1"/>
  <c r="AX415" i="1" s="1"/>
  <c r="AW415" i="1"/>
  <c r="T520" i="1"/>
  <c r="T521" i="1" s="1"/>
  <c r="T15" i="7" l="1"/>
  <c r="T28" i="7" s="1"/>
  <c r="AV429" i="1"/>
  <c r="AW425" i="1" s="1"/>
  <c r="AW432" i="1"/>
  <c r="AW434" i="1" s="1"/>
  <c r="AW459" i="1" s="1"/>
  <c r="AW501" i="1" s="1"/>
  <c r="AW427" i="1"/>
  <c r="AX432" i="1"/>
  <c r="AX434" i="1" s="1"/>
  <c r="AX459" i="1" s="1"/>
  <c r="AX501" i="1" s="1"/>
  <c r="AX427" i="1"/>
  <c r="I415" i="1"/>
  <c r="AV459" i="1"/>
  <c r="AV501" i="1" s="1"/>
  <c r="T524" i="1"/>
  <c r="U517" i="1"/>
  <c r="U518" i="1" s="1"/>
  <c r="AW429" i="1" l="1"/>
  <c r="AX425" i="1" s="1"/>
  <c r="AX429" i="1" s="1"/>
  <c r="T737" i="1"/>
  <c r="T529" i="1"/>
  <c r="U530" i="1" s="1"/>
  <c r="U465" i="1" s="1"/>
  <c r="U466" i="1" s="1"/>
  <c r="U469" i="1" s="1"/>
  <c r="I434" i="1"/>
  <c r="I459" i="1" s="1"/>
  <c r="I501" i="1" s="1"/>
  <c r="I432" i="1"/>
  <c r="I427" i="1"/>
  <c r="F437" i="1"/>
  <c r="F438" i="1" s="1"/>
  <c r="F799" i="1" s="1"/>
  <c r="T596" i="1"/>
  <c r="T753" i="1" l="1"/>
  <c r="T598" i="1"/>
  <c r="T602" i="1" s="1"/>
  <c r="T628" i="1" s="1"/>
  <c r="T630" i="1" s="1"/>
  <c r="T633" i="1" s="1"/>
  <c r="U493" i="1"/>
  <c r="U494" i="1" s="1"/>
  <c r="U496" i="1" s="1"/>
  <c r="U519" i="1" s="1"/>
  <c r="U499" i="1"/>
  <c r="U503" i="1" s="1"/>
  <c r="U471" i="1"/>
  <c r="T16" i="7" l="1"/>
  <c r="T29" i="7" s="1"/>
  <c r="T600" i="1"/>
  <c r="T618" i="1" s="1"/>
  <c r="T603" i="1"/>
  <c r="T684" i="1"/>
  <c r="T649" i="1"/>
  <c r="T650" i="1" s="1"/>
  <c r="T652" i="1" s="1"/>
  <c r="T653" i="1" s="1"/>
  <c r="T667" i="1" s="1"/>
  <c r="T714" i="1"/>
  <c r="U505" i="1"/>
  <c r="U477" i="1"/>
  <c r="V470" i="1"/>
  <c r="U736" i="1" l="1"/>
  <c r="U508" i="1"/>
  <c r="U512" i="1" s="1"/>
  <c r="U595" i="1"/>
  <c r="U520" i="1" l="1"/>
  <c r="U521" i="1" s="1"/>
  <c r="U752" i="1"/>
  <c r="V517" i="1" l="1"/>
  <c r="V518" i="1" s="1"/>
  <c r="U524" i="1"/>
  <c r="U15" i="7"/>
  <c r="U28" i="7" s="1"/>
  <c r="U737" i="1" l="1"/>
  <c r="U753" i="1" s="1"/>
  <c r="U529" i="1"/>
  <c r="V530" i="1" s="1"/>
  <c r="V493" i="1" s="1"/>
  <c r="V494" i="1" s="1"/>
  <c r="V496" i="1" s="1"/>
  <c r="V519" i="1" s="1"/>
  <c r="U596" i="1"/>
  <c r="U598" i="1" l="1"/>
  <c r="U603" i="1" s="1"/>
  <c r="V465" i="1"/>
  <c r="V466" i="1" s="1"/>
  <c r="V469" i="1" s="1"/>
  <c r="V499" i="1" s="1"/>
  <c r="V503" i="1" s="1"/>
  <c r="V505" i="1" s="1"/>
  <c r="U16" i="7"/>
  <c r="U29" i="7" s="1"/>
  <c r="U714" i="1" l="1"/>
  <c r="U602" i="1"/>
  <c r="U628" i="1" s="1"/>
  <c r="U630" i="1" s="1"/>
  <c r="U633" i="1" s="1"/>
  <c r="U649" i="1" s="1"/>
  <c r="U650" i="1" s="1"/>
  <c r="U652" i="1" s="1"/>
  <c r="U653" i="1" s="1"/>
  <c r="U667" i="1" s="1"/>
  <c r="U600" i="1"/>
  <c r="U618" i="1" s="1"/>
  <c r="V471" i="1"/>
  <c r="W470" i="1" s="1"/>
  <c r="U684" i="1" l="1"/>
  <c r="V477" i="1"/>
  <c r="V736" i="1" s="1"/>
  <c r="V752" i="1" l="1"/>
  <c r="V508" i="1"/>
  <c r="V595" i="1"/>
  <c r="V15" i="7" l="1"/>
  <c r="V28" i="7" s="1"/>
  <c r="V512" i="1"/>
  <c r="V520" i="1" s="1"/>
  <c r="V521" i="1" s="1"/>
  <c r="W517" i="1" l="1"/>
  <c r="W518" i="1" s="1"/>
  <c r="V524" i="1"/>
  <c r="V596" i="1" s="1"/>
  <c r="V598" i="1" l="1"/>
  <c r="V603" i="1" s="1"/>
  <c r="V737" i="1"/>
  <c r="V529" i="1"/>
  <c r="W530" i="1" s="1"/>
  <c r="W465" i="1" s="1"/>
  <c r="W466" i="1" s="1"/>
  <c r="W469" i="1" s="1"/>
  <c r="W499" i="1" s="1"/>
  <c r="W503" i="1" s="1"/>
  <c r="V600" i="1" l="1"/>
  <c r="V618" i="1" s="1"/>
  <c r="V714" i="1"/>
  <c r="V602" i="1"/>
  <c r="V628" i="1" s="1"/>
  <c r="V630" i="1" s="1"/>
  <c r="V633" i="1" s="1"/>
  <c r="V684" i="1" s="1"/>
  <c r="V753" i="1"/>
  <c r="W493" i="1"/>
  <c r="W494" i="1" s="1"/>
  <c r="W496" i="1" s="1"/>
  <c r="W519" i="1" s="1"/>
  <c r="W471" i="1"/>
  <c r="X470" i="1" s="1"/>
  <c r="V649" i="1" l="1"/>
  <c r="V650" i="1" s="1"/>
  <c r="V652" i="1" s="1"/>
  <c r="V653" i="1" s="1"/>
  <c r="V667" i="1" s="1"/>
  <c r="V16" i="7"/>
  <c r="V29" i="7" s="1"/>
  <c r="W477" i="1"/>
  <c r="W736" i="1" s="1"/>
  <c r="W505" i="1"/>
  <c r="W508" i="1" l="1"/>
  <c r="W512" i="1" s="1"/>
  <c r="W520" i="1" s="1"/>
  <c r="W521" i="1" s="1"/>
  <c r="W595" i="1"/>
  <c r="W752" i="1"/>
  <c r="W524" i="1" l="1"/>
  <c r="X517" i="1"/>
  <c r="X518" i="1" s="1"/>
  <c r="W15" i="7"/>
  <c r="W28" i="7" s="1"/>
  <c r="W529" i="1" l="1"/>
  <c r="X530" i="1" s="1"/>
  <c r="W737" i="1"/>
  <c r="W596" i="1"/>
  <c r="W753" i="1" l="1"/>
  <c r="W16" i="7" s="1"/>
  <c r="W29" i="7" s="1"/>
  <c r="W598" i="1"/>
  <c r="W603" i="1" s="1"/>
  <c r="X465" i="1"/>
  <c r="X466" i="1" s="1"/>
  <c r="X469" i="1" s="1"/>
  <c r="X499" i="1" s="1"/>
  <c r="X503" i="1" s="1"/>
  <c r="X493" i="1"/>
  <c r="X494" i="1" s="1"/>
  <c r="X496" i="1" s="1"/>
  <c r="X519" i="1" s="1"/>
  <c r="W602" i="1" l="1"/>
  <c r="W628" i="1" s="1"/>
  <c r="W630" i="1" s="1"/>
  <c r="W633" i="1" s="1"/>
  <c r="W649" i="1" s="1"/>
  <c r="W650" i="1" s="1"/>
  <c r="W652" i="1" s="1"/>
  <c r="W653" i="1" s="1"/>
  <c r="W667" i="1" s="1"/>
  <c r="W714" i="1"/>
  <c r="W600" i="1"/>
  <c r="W618" i="1" s="1"/>
  <c r="X471" i="1"/>
  <c r="X477" i="1" s="1"/>
  <c r="X505" i="1"/>
  <c r="W684" i="1" l="1"/>
  <c r="Y470" i="1"/>
  <c r="X508" i="1"/>
  <c r="X512" i="1" s="1"/>
  <c r="X595" i="1"/>
  <c r="X736" i="1"/>
  <c r="X520" i="1" l="1"/>
  <c r="X521" i="1" s="1"/>
  <c r="X752" i="1"/>
  <c r="Y517" i="1" l="1"/>
  <c r="Y518" i="1" s="1"/>
  <c r="X524" i="1"/>
  <c r="X15" i="7"/>
  <c r="X28" i="7" s="1"/>
  <c r="X737" i="1" l="1"/>
  <c r="X753" i="1" s="1"/>
  <c r="X529" i="1"/>
  <c r="Y530" i="1" s="1"/>
  <c r="Y465" i="1" s="1"/>
  <c r="Y466" i="1" s="1"/>
  <c r="Y469" i="1" s="1"/>
  <c r="X596" i="1"/>
  <c r="X598" i="1" l="1"/>
  <c r="X600" i="1" s="1"/>
  <c r="Y493" i="1"/>
  <c r="Y494" i="1" s="1"/>
  <c r="Y496" i="1" s="1"/>
  <c r="Y519" i="1" s="1"/>
  <c r="X16" i="7"/>
  <c r="X29" i="7" s="1"/>
  <c r="Y499" i="1"/>
  <c r="Y503" i="1" s="1"/>
  <c r="Y471" i="1"/>
  <c r="X714" i="1" l="1"/>
  <c r="X603" i="1"/>
  <c r="X618" i="1"/>
  <c r="X602" i="1"/>
  <c r="X628" i="1" s="1"/>
  <c r="X630" i="1" s="1"/>
  <c r="X633" i="1" s="1"/>
  <c r="X684" i="1" s="1"/>
  <c r="Y505" i="1"/>
  <c r="Z470" i="1"/>
  <c r="Y477" i="1"/>
  <c r="X649" i="1" l="1"/>
  <c r="X650" i="1" s="1"/>
  <c r="X652" i="1" s="1"/>
  <c r="X653" i="1" s="1"/>
  <c r="X667" i="1" s="1"/>
  <c r="Y595" i="1"/>
  <c r="Y508" i="1"/>
  <c r="Y512" i="1" s="1"/>
  <c r="Y736" i="1"/>
  <c r="Y520" i="1" l="1"/>
  <c r="Y521" i="1" s="1"/>
  <c r="Y752" i="1"/>
  <c r="Z517" i="1" l="1"/>
  <c r="Z518" i="1" s="1"/>
  <c r="Y524" i="1"/>
  <c r="Y15" i="7"/>
  <c r="Y28" i="7" s="1"/>
  <c r="Y529" i="1" l="1"/>
  <c r="Z530" i="1" s="1"/>
  <c r="Y737" i="1"/>
  <c r="Y753" i="1" s="1"/>
  <c r="Y596" i="1"/>
  <c r="Y598" i="1" l="1"/>
  <c r="Y603" i="1" s="1"/>
  <c r="Z493" i="1"/>
  <c r="Z494" i="1" s="1"/>
  <c r="Z496" i="1" s="1"/>
  <c r="Z519" i="1" s="1"/>
  <c r="Z465" i="1"/>
  <c r="Z466" i="1" s="1"/>
  <c r="Z469" i="1" s="1"/>
  <c r="Z471" i="1" s="1"/>
  <c r="Y16" i="7"/>
  <c r="Y29" i="7" s="1"/>
  <c r="Y602" i="1" l="1"/>
  <c r="Y628" i="1" s="1"/>
  <c r="Y630" i="1" s="1"/>
  <c r="Y633" i="1" s="1"/>
  <c r="Y684" i="1" s="1"/>
  <c r="Y714" i="1"/>
  <c r="Y600" i="1"/>
  <c r="Y618" i="1" s="1"/>
  <c r="Z499" i="1"/>
  <c r="Z503" i="1" s="1"/>
  <c r="Z505" i="1" s="1"/>
  <c r="Z477" i="1"/>
  <c r="AA470" i="1"/>
  <c r="Y649" i="1" l="1"/>
  <c r="Y650" i="1" s="1"/>
  <c r="Y652" i="1" s="1"/>
  <c r="Y653" i="1" s="1"/>
  <c r="Y667" i="1" s="1"/>
  <c r="Z736" i="1"/>
  <c r="Z508" i="1"/>
  <c r="Z512" i="1" s="1"/>
  <c r="Z595" i="1"/>
  <c r="Z520" i="1" l="1"/>
  <c r="Z521" i="1" s="1"/>
  <c r="Z752" i="1"/>
  <c r="Z524" i="1" l="1"/>
  <c r="AA517" i="1"/>
  <c r="AA518" i="1" s="1"/>
  <c r="Z15" i="7"/>
  <c r="Z28" i="7" s="1"/>
  <c r="Z737" i="1" l="1"/>
  <c r="Z753" i="1" s="1"/>
  <c r="Z529" i="1"/>
  <c r="AA530" i="1" s="1"/>
  <c r="AA465" i="1" s="1"/>
  <c r="AA466" i="1" s="1"/>
  <c r="AA469" i="1" s="1"/>
  <c r="Z596" i="1"/>
  <c r="Z598" i="1" l="1"/>
  <c r="Z600" i="1" s="1"/>
  <c r="AA493" i="1"/>
  <c r="AA494" i="1" s="1"/>
  <c r="AA496" i="1" s="1"/>
  <c r="AA519" i="1" s="1"/>
  <c r="AA499" i="1"/>
  <c r="AA503" i="1" s="1"/>
  <c r="AA471" i="1"/>
  <c r="Z16" i="7"/>
  <c r="Z29" i="7" s="1"/>
  <c r="Z602" i="1" l="1"/>
  <c r="Z628" i="1" s="1"/>
  <c r="Z630" i="1" s="1"/>
  <c r="Z633" i="1" s="1"/>
  <c r="Z649" i="1" s="1"/>
  <c r="Z650" i="1" s="1"/>
  <c r="Z652" i="1" s="1"/>
  <c r="Z653" i="1" s="1"/>
  <c r="Z667" i="1" s="1"/>
  <c r="Z714" i="1"/>
  <c r="Z603" i="1"/>
  <c r="Z618" i="1"/>
  <c r="AA505" i="1"/>
  <c r="AB470" i="1"/>
  <c r="AA477" i="1"/>
  <c r="Z684" i="1" l="1"/>
  <c r="AA736" i="1"/>
  <c r="AA595" i="1"/>
  <c r="AA508" i="1"/>
  <c r="AA512" i="1" s="1"/>
  <c r="AA520" i="1" l="1"/>
  <c r="AA521" i="1" s="1"/>
  <c r="AA752" i="1"/>
  <c r="AB517" i="1" l="1"/>
  <c r="AB518" i="1" s="1"/>
  <c r="AA524" i="1"/>
  <c r="AA15" i="7"/>
  <c r="AA28" i="7" s="1"/>
  <c r="AA737" i="1" l="1"/>
  <c r="AA753" i="1" s="1"/>
  <c r="AA529" i="1"/>
  <c r="AB530" i="1" s="1"/>
  <c r="AB493" i="1" s="1"/>
  <c r="AB494" i="1" s="1"/>
  <c r="AB496" i="1" s="1"/>
  <c r="AB519" i="1" s="1"/>
  <c r="AA596" i="1"/>
  <c r="AA598" i="1" l="1"/>
  <c r="AA603" i="1" s="1"/>
  <c r="AB465" i="1"/>
  <c r="AB466" i="1" s="1"/>
  <c r="AB469" i="1" s="1"/>
  <c r="AB499" i="1" s="1"/>
  <c r="AB503" i="1" s="1"/>
  <c r="AB505" i="1" s="1"/>
  <c r="AA16" i="7"/>
  <c r="AA29" i="7" s="1"/>
  <c r="AA602" i="1" l="1"/>
  <c r="AA628" i="1" s="1"/>
  <c r="AA630" i="1" s="1"/>
  <c r="AA633" i="1" s="1"/>
  <c r="AA649" i="1" s="1"/>
  <c r="AA650" i="1" s="1"/>
  <c r="AA652" i="1" s="1"/>
  <c r="AA653" i="1" s="1"/>
  <c r="AA667" i="1" s="1"/>
  <c r="AA714" i="1"/>
  <c r="AA600" i="1"/>
  <c r="AA618" i="1" s="1"/>
  <c r="AB471" i="1"/>
  <c r="AB477" i="1" s="1"/>
  <c r="AA684" i="1" l="1"/>
  <c r="AC470" i="1"/>
  <c r="AB508" i="1"/>
  <c r="AB512" i="1" s="1"/>
  <c r="AB595" i="1"/>
  <c r="AB736" i="1"/>
  <c r="AB520" i="1" l="1"/>
  <c r="AB521" i="1" s="1"/>
  <c r="AB752" i="1"/>
  <c r="AB15" i="7" l="1"/>
  <c r="AB28" i="7" s="1"/>
  <c r="AB524" i="1"/>
  <c r="AC517" i="1"/>
  <c r="AC518" i="1" s="1"/>
  <c r="AB737" i="1" l="1"/>
  <c r="AB753" i="1" s="1"/>
  <c r="AB529" i="1"/>
  <c r="AC530" i="1" s="1"/>
  <c r="AC493" i="1" s="1"/>
  <c r="AC494" i="1" s="1"/>
  <c r="AC496" i="1" s="1"/>
  <c r="AC519" i="1" s="1"/>
  <c r="AB596" i="1"/>
  <c r="AB16" i="7" l="1"/>
  <c r="AB29" i="7" s="1"/>
  <c r="AB598" i="1"/>
  <c r="AB603" i="1" s="1"/>
  <c r="AC465" i="1"/>
  <c r="AC466" i="1" s="1"/>
  <c r="AC469" i="1" s="1"/>
  <c r="AC499" i="1" s="1"/>
  <c r="AC503" i="1" s="1"/>
  <c r="AC505" i="1" s="1"/>
  <c r="AB602" i="1" l="1"/>
  <c r="AB628" i="1" s="1"/>
  <c r="AB630" i="1" s="1"/>
  <c r="AB633" i="1" s="1"/>
  <c r="AB649" i="1" s="1"/>
  <c r="AB650" i="1" s="1"/>
  <c r="AB652" i="1" s="1"/>
  <c r="AB653" i="1" s="1"/>
  <c r="AB667" i="1" s="1"/>
  <c r="AB714" i="1"/>
  <c r="AB600" i="1"/>
  <c r="AB618" i="1" s="1"/>
  <c r="AC471" i="1"/>
  <c r="AD470" i="1" s="1"/>
  <c r="AB684" i="1" l="1"/>
  <c r="AC477" i="1"/>
  <c r="AC595" i="1" s="1"/>
  <c r="AC736" i="1" l="1"/>
  <c r="AC508" i="1"/>
  <c r="AC512" i="1" s="1"/>
  <c r="AC520" i="1" s="1"/>
  <c r="AC521" i="1" s="1"/>
  <c r="AC752" i="1" l="1"/>
  <c r="AC524" i="1"/>
  <c r="AD517" i="1"/>
  <c r="AD518" i="1" s="1"/>
  <c r="AC15" i="7" l="1"/>
  <c r="AC28" i="7" s="1"/>
  <c r="AC596" i="1"/>
  <c r="AC529" i="1"/>
  <c r="AD530" i="1" s="1"/>
  <c r="AD465" i="1" s="1"/>
  <c r="AD466" i="1" s="1"/>
  <c r="AD469" i="1" s="1"/>
  <c r="AC737" i="1"/>
  <c r="AC753" i="1" l="1"/>
  <c r="AC598" i="1"/>
  <c r="AC600" i="1" s="1"/>
  <c r="AD493" i="1"/>
  <c r="AD494" i="1" s="1"/>
  <c r="AD496" i="1" s="1"/>
  <c r="AD519" i="1" s="1"/>
  <c r="AD499" i="1"/>
  <c r="AD503" i="1" s="1"/>
  <c r="AD471" i="1"/>
  <c r="AC603" i="1" l="1"/>
  <c r="AC16" i="7"/>
  <c r="AC29" i="7" s="1"/>
  <c r="AC618" i="1"/>
  <c r="AC602" i="1"/>
  <c r="AC628" i="1" s="1"/>
  <c r="AC630" i="1" s="1"/>
  <c r="AC633" i="1" s="1"/>
  <c r="AC684" i="1" s="1"/>
  <c r="AC714" i="1"/>
  <c r="AD505" i="1"/>
  <c r="AD477" i="1"/>
  <c r="AE470" i="1"/>
  <c r="AC649" i="1" l="1"/>
  <c r="AC650" i="1" s="1"/>
  <c r="AC652" i="1" s="1"/>
  <c r="AC653" i="1" s="1"/>
  <c r="AC667" i="1" s="1"/>
  <c r="AD595" i="1"/>
  <c r="AD508" i="1"/>
  <c r="AD512" i="1" s="1"/>
  <c r="AD736" i="1"/>
  <c r="AD752" i="1" l="1"/>
  <c r="AD520" i="1"/>
  <c r="AD521" i="1" s="1"/>
  <c r="AD15" i="7" l="1"/>
  <c r="AD28" i="7" s="1"/>
  <c r="AE517" i="1"/>
  <c r="AE518" i="1" s="1"/>
  <c r="AD524" i="1"/>
  <c r="AD529" i="1" l="1"/>
  <c r="AE530" i="1" s="1"/>
  <c r="AD596" i="1"/>
  <c r="AD737" i="1"/>
  <c r="AD753" i="1" l="1"/>
  <c r="AD598" i="1"/>
  <c r="AD714" i="1" s="1"/>
  <c r="AE465" i="1"/>
  <c r="AE466" i="1" s="1"/>
  <c r="AE469" i="1" s="1"/>
  <c r="AE471" i="1" s="1"/>
  <c r="AE493" i="1"/>
  <c r="AE494" i="1" s="1"/>
  <c r="AE496" i="1" s="1"/>
  <c r="AE519" i="1" s="1"/>
  <c r="AD600" i="1" l="1"/>
  <c r="AD618" i="1" s="1"/>
  <c r="AD602" i="1"/>
  <c r="AD628" i="1" s="1"/>
  <c r="AD630" i="1" s="1"/>
  <c r="AD633" i="1" s="1"/>
  <c r="AD649" i="1" s="1"/>
  <c r="AD650" i="1" s="1"/>
  <c r="AD652" i="1" s="1"/>
  <c r="AD653" i="1" s="1"/>
  <c r="AD667" i="1" s="1"/>
  <c r="AD603" i="1"/>
  <c r="AD16" i="7"/>
  <c r="AD29" i="7" s="1"/>
  <c r="AE499" i="1"/>
  <c r="AE503" i="1" s="1"/>
  <c r="AE505" i="1" s="1"/>
  <c r="AE477" i="1"/>
  <c r="AF470" i="1"/>
  <c r="AD684" i="1" l="1"/>
  <c r="AE508" i="1"/>
  <c r="AE512" i="1" s="1"/>
  <c r="AE736" i="1"/>
  <c r="AE595" i="1"/>
  <c r="AE752" i="1" l="1"/>
  <c r="AE520" i="1"/>
  <c r="AE521" i="1" s="1"/>
  <c r="AE15" i="7" l="1"/>
  <c r="AE28" i="7" s="1"/>
  <c r="AE524" i="1"/>
  <c r="AF517" i="1"/>
  <c r="AF518" i="1" s="1"/>
  <c r="AE596" i="1" l="1"/>
  <c r="AE529" i="1"/>
  <c r="AF530" i="1" s="1"/>
  <c r="AF493" i="1" s="1"/>
  <c r="AF494" i="1" s="1"/>
  <c r="AF496" i="1" s="1"/>
  <c r="AF519" i="1" s="1"/>
  <c r="AE737" i="1"/>
  <c r="AE753" i="1" l="1"/>
  <c r="AE598" i="1"/>
  <c r="AE603" i="1" s="1"/>
  <c r="AF465" i="1"/>
  <c r="AF466" i="1" s="1"/>
  <c r="AF469" i="1" s="1"/>
  <c r="AF499" i="1" s="1"/>
  <c r="AF503" i="1" s="1"/>
  <c r="AF505" i="1" s="1"/>
  <c r="AE16" i="7" l="1"/>
  <c r="AE29" i="7" s="1"/>
  <c r="AE602" i="1"/>
  <c r="AE628" i="1" s="1"/>
  <c r="AE630" i="1" s="1"/>
  <c r="AE633" i="1" s="1"/>
  <c r="AE649" i="1" s="1"/>
  <c r="AE650" i="1" s="1"/>
  <c r="AE652" i="1" s="1"/>
  <c r="AE653" i="1" s="1"/>
  <c r="AE667" i="1" s="1"/>
  <c r="AE600" i="1"/>
  <c r="AE618" i="1" s="1"/>
  <c r="AE714" i="1"/>
  <c r="AF471" i="1"/>
  <c r="AG470" i="1" s="1"/>
  <c r="AE684" i="1" l="1"/>
  <c r="AF477" i="1"/>
  <c r="AF595" i="1" s="1"/>
  <c r="AF736" i="1" l="1"/>
  <c r="AF508" i="1"/>
  <c r="AF752" i="1" l="1"/>
  <c r="AF512" i="1"/>
  <c r="AF520" i="1" s="1"/>
  <c r="AF521" i="1" s="1"/>
  <c r="AF15" i="7" l="1"/>
  <c r="AF28" i="7" s="1"/>
  <c r="AG517" i="1"/>
  <c r="AG518" i="1" s="1"/>
  <c r="AF524" i="1"/>
  <c r="AF737" i="1" s="1"/>
  <c r="AF753" i="1" l="1"/>
  <c r="AF596" i="1"/>
  <c r="AF598" i="1" s="1"/>
  <c r="AF529" i="1"/>
  <c r="AG530" i="1" s="1"/>
  <c r="AG465" i="1" s="1"/>
  <c r="AG466" i="1" s="1"/>
  <c r="AG469" i="1" s="1"/>
  <c r="AG471" i="1" s="1"/>
  <c r="AF16" i="7" l="1"/>
  <c r="AF29" i="7" s="1"/>
  <c r="AG499" i="1"/>
  <c r="AG503" i="1" s="1"/>
  <c r="AG493" i="1"/>
  <c r="AG494" i="1" s="1"/>
  <c r="AG496" i="1" s="1"/>
  <c r="AG519" i="1" s="1"/>
  <c r="AF600" i="1"/>
  <c r="AF618" i="1" s="1"/>
  <c r="AF602" i="1"/>
  <c r="AF628" i="1" s="1"/>
  <c r="AF630" i="1" s="1"/>
  <c r="AF633" i="1" s="1"/>
  <c r="AF603" i="1"/>
  <c r="AF714" i="1"/>
  <c r="AH470" i="1"/>
  <c r="AG477" i="1"/>
  <c r="AG505" i="1" l="1"/>
  <c r="AF649" i="1"/>
  <c r="AF650" i="1" s="1"/>
  <c r="AF652" i="1" s="1"/>
  <c r="AF653" i="1" s="1"/>
  <c r="AF667" i="1" s="1"/>
  <c r="AF684" i="1"/>
  <c r="AG508" i="1"/>
  <c r="AG512" i="1" s="1"/>
  <c r="AG736" i="1"/>
  <c r="AG595" i="1"/>
  <c r="AG752" i="1" l="1"/>
  <c r="AG520" i="1"/>
  <c r="AG521" i="1" s="1"/>
  <c r="AG15" i="7" l="1"/>
  <c r="AG28" i="7" s="1"/>
  <c r="AG524" i="1"/>
  <c r="AH517" i="1"/>
  <c r="AH518" i="1" s="1"/>
  <c r="AG529" i="1" l="1"/>
  <c r="AH530" i="1" s="1"/>
  <c r="AG596" i="1"/>
  <c r="AG737" i="1"/>
  <c r="AG753" i="1" l="1"/>
  <c r="AG598" i="1"/>
  <c r="AG603" i="1" s="1"/>
  <c r="AH465" i="1"/>
  <c r="AH466" i="1" s="1"/>
  <c r="AH469" i="1" s="1"/>
  <c r="AH499" i="1" s="1"/>
  <c r="AH503" i="1" s="1"/>
  <c r="AH493" i="1"/>
  <c r="AH494" i="1" s="1"/>
  <c r="AH496" i="1" s="1"/>
  <c r="AH519" i="1" s="1"/>
  <c r="AG714" i="1" l="1"/>
  <c r="AG16" i="7"/>
  <c r="AG29" i="7" s="1"/>
  <c r="AG600" i="1"/>
  <c r="AG618" i="1" s="1"/>
  <c r="AG602" i="1"/>
  <c r="AG628" i="1" s="1"/>
  <c r="AG630" i="1" s="1"/>
  <c r="AG633" i="1" s="1"/>
  <c r="AG684" i="1" s="1"/>
  <c r="AH471" i="1"/>
  <c r="AH477" i="1" s="1"/>
  <c r="AH505" i="1"/>
  <c r="AG649" i="1" l="1"/>
  <c r="AG650" i="1" s="1"/>
  <c r="AG652" i="1" s="1"/>
  <c r="AG653" i="1" s="1"/>
  <c r="AG667" i="1" s="1"/>
  <c r="AI470" i="1"/>
  <c r="AH736" i="1"/>
  <c r="AH595" i="1"/>
  <c r="AH508" i="1"/>
  <c r="AH512" i="1" s="1"/>
  <c r="AH520" i="1" l="1"/>
  <c r="AH521" i="1" s="1"/>
  <c r="AH752" i="1"/>
  <c r="AH524" i="1" l="1"/>
  <c r="AI517" i="1"/>
  <c r="AI518" i="1" s="1"/>
  <c r="AH15" i="7"/>
  <c r="AH28" i="7" s="1"/>
  <c r="AH737" i="1" l="1"/>
  <c r="AH529" i="1"/>
  <c r="AI530" i="1" s="1"/>
  <c r="AI493" i="1" s="1"/>
  <c r="AI494" i="1" s="1"/>
  <c r="AI496" i="1" s="1"/>
  <c r="AI519" i="1" s="1"/>
  <c r="AH596" i="1"/>
  <c r="AH753" i="1" l="1"/>
  <c r="AH16" i="7" s="1"/>
  <c r="AH29" i="7" s="1"/>
  <c r="AH598" i="1"/>
  <c r="AH714" i="1" s="1"/>
  <c r="AI465" i="1"/>
  <c r="AI466" i="1" s="1"/>
  <c r="AI469" i="1" s="1"/>
  <c r="AI471" i="1" s="1"/>
  <c r="AH600" i="1" l="1"/>
  <c r="AH618" i="1" s="1"/>
  <c r="AH603" i="1"/>
  <c r="AH602" i="1"/>
  <c r="AH628" i="1" s="1"/>
  <c r="AH630" i="1" s="1"/>
  <c r="AH633" i="1" s="1"/>
  <c r="AH649" i="1" s="1"/>
  <c r="AH650" i="1" s="1"/>
  <c r="AH652" i="1" s="1"/>
  <c r="AH653" i="1" s="1"/>
  <c r="AH667" i="1" s="1"/>
  <c r="AI499" i="1"/>
  <c r="AI503" i="1" s="1"/>
  <c r="AI505" i="1" s="1"/>
  <c r="AJ470" i="1"/>
  <c r="AI477" i="1"/>
  <c r="AH684" i="1" l="1"/>
  <c r="AI736" i="1"/>
  <c r="AI508" i="1"/>
  <c r="AI512" i="1" s="1"/>
  <c r="AI595" i="1"/>
  <c r="AI752" i="1" l="1"/>
  <c r="AI520" i="1"/>
  <c r="AI521" i="1" s="1"/>
  <c r="AI15" i="7" l="1"/>
  <c r="AI28" i="7" s="1"/>
  <c r="AJ517" i="1"/>
  <c r="AJ518" i="1" s="1"/>
  <c r="AI524" i="1"/>
  <c r="AI737" i="1" l="1"/>
  <c r="AI529" i="1"/>
  <c r="AJ530" i="1" s="1"/>
  <c r="AJ465" i="1" s="1"/>
  <c r="AJ466" i="1" s="1"/>
  <c r="AJ469" i="1" s="1"/>
  <c r="AI596" i="1"/>
  <c r="AI753" i="1" l="1"/>
  <c r="AI598" i="1"/>
  <c r="AI600" i="1" s="1"/>
  <c r="AJ493" i="1"/>
  <c r="AJ494" i="1" s="1"/>
  <c r="AJ496" i="1" s="1"/>
  <c r="AJ519" i="1" s="1"/>
  <c r="AJ499" i="1"/>
  <c r="AJ503" i="1" s="1"/>
  <c r="AJ471" i="1"/>
  <c r="AI16" i="7" l="1"/>
  <c r="AI29" i="7" s="1"/>
  <c r="AI603" i="1"/>
  <c r="AI714" i="1"/>
  <c r="AI618" i="1"/>
  <c r="AI602" i="1"/>
  <c r="AI628" i="1" s="1"/>
  <c r="AI630" i="1" s="1"/>
  <c r="AI633" i="1" s="1"/>
  <c r="AI684" i="1" s="1"/>
  <c r="AJ505" i="1"/>
  <c r="AJ477" i="1"/>
  <c r="AK470" i="1"/>
  <c r="AI649" i="1" l="1"/>
  <c r="AI650" i="1" s="1"/>
  <c r="AI652" i="1" s="1"/>
  <c r="AI653" i="1" s="1"/>
  <c r="AI667" i="1" s="1"/>
  <c r="AJ736" i="1"/>
  <c r="AJ508" i="1"/>
  <c r="AJ512" i="1" s="1"/>
  <c r="AJ595" i="1"/>
  <c r="AJ752" i="1" l="1"/>
  <c r="AJ520" i="1"/>
  <c r="AJ521" i="1" s="1"/>
  <c r="AJ15" i="7" l="1"/>
  <c r="AJ28" i="7" s="1"/>
  <c r="AK517" i="1"/>
  <c r="AK518" i="1" s="1"/>
  <c r="AJ524" i="1"/>
  <c r="AJ596" i="1" l="1"/>
  <c r="AJ529" i="1"/>
  <c r="AK530" i="1" s="1"/>
  <c r="AK493" i="1" s="1"/>
  <c r="AK494" i="1" s="1"/>
  <c r="AK496" i="1" s="1"/>
  <c r="AK519" i="1" s="1"/>
  <c r="AJ737" i="1"/>
  <c r="AJ753" i="1" l="1"/>
  <c r="AJ598" i="1"/>
  <c r="AJ714" i="1" s="1"/>
  <c r="AK465" i="1"/>
  <c r="AK466" i="1" s="1"/>
  <c r="AK469" i="1" s="1"/>
  <c r="AK471" i="1" s="1"/>
  <c r="AJ16" i="7" l="1"/>
  <c r="AJ29" i="7" s="1"/>
  <c r="AJ602" i="1"/>
  <c r="AJ628" i="1" s="1"/>
  <c r="AJ630" i="1" s="1"/>
  <c r="AJ633" i="1" s="1"/>
  <c r="AJ684" i="1" s="1"/>
  <c r="AJ600" i="1"/>
  <c r="AJ618" i="1" s="1"/>
  <c r="AJ603" i="1"/>
  <c r="AK499" i="1"/>
  <c r="AK503" i="1" s="1"/>
  <c r="AK505" i="1" s="1"/>
  <c r="AK477" i="1"/>
  <c r="AL470" i="1"/>
  <c r="AJ649" i="1" l="1"/>
  <c r="AJ650" i="1" s="1"/>
  <c r="AJ652" i="1" s="1"/>
  <c r="AJ653" i="1" s="1"/>
  <c r="AJ667" i="1" s="1"/>
  <c r="AK508" i="1"/>
  <c r="AK512" i="1" s="1"/>
  <c r="AK595" i="1"/>
  <c r="AK736" i="1"/>
  <c r="AK752" i="1" l="1"/>
  <c r="AK520" i="1"/>
  <c r="AK521" i="1" s="1"/>
  <c r="AK15" i="7" l="1"/>
  <c r="AK28" i="7" s="1"/>
  <c r="AL517" i="1"/>
  <c r="AL518" i="1" s="1"/>
  <c r="AK524" i="1"/>
  <c r="AK529" i="1" l="1"/>
  <c r="AL530" i="1" s="1"/>
  <c r="AK596" i="1"/>
  <c r="AK737" i="1"/>
  <c r="AK753" i="1" l="1"/>
  <c r="AK598" i="1"/>
  <c r="AK714" i="1" s="1"/>
  <c r="AL493" i="1"/>
  <c r="AL494" i="1" s="1"/>
  <c r="AL496" i="1" s="1"/>
  <c r="AL519" i="1" s="1"/>
  <c r="AL465" i="1"/>
  <c r="AL466" i="1" s="1"/>
  <c r="AL469" i="1" s="1"/>
  <c r="AL499" i="1" s="1"/>
  <c r="AL503" i="1" s="1"/>
  <c r="AK602" i="1" l="1"/>
  <c r="AK628" i="1" s="1"/>
  <c r="AK630" i="1" s="1"/>
  <c r="AK633" i="1" s="1"/>
  <c r="AK684" i="1" s="1"/>
  <c r="AK600" i="1"/>
  <c r="AK618" i="1" s="1"/>
  <c r="AK603" i="1"/>
  <c r="AK16" i="7"/>
  <c r="AK29" i="7" s="1"/>
  <c r="AL505" i="1"/>
  <c r="AL471" i="1"/>
  <c r="AL477" i="1" s="1"/>
  <c r="AK649" i="1" l="1"/>
  <c r="AK650" i="1" s="1"/>
  <c r="AK652" i="1" s="1"/>
  <c r="AK653" i="1" s="1"/>
  <c r="AK667" i="1" s="1"/>
  <c r="AM470" i="1"/>
  <c r="AL736" i="1"/>
  <c r="AL595" i="1"/>
  <c r="AL508" i="1"/>
  <c r="AL512" i="1" s="1"/>
  <c r="AL752" i="1" l="1"/>
  <c r="AL520" i="1"/>
  <c r="AL521" i="1" s="1"/>
  <c r="AL15" i="7" l="1"/>
  <c r="AL28" i="7" s="1"/>
  <c r="AM517" i="1"/>
  <c r="AM518" i="1" s="1"/>
  <c r="AL524" i="1"/>
  <c r="AL596" i="1" l="1"/>
  <c r="AL529" i="1"/>
  <c r="AM530" i="1" s="1"/>
  <c r="AL737" i="1"/>
  <c r="AL753" i="1" l="1"/>
  <c r="AL598" i="1"/>
  <c r="AL600" i="1" s="1"/>
  <c r="AM465" i="1"/>
  <c r="AM466" i="1" s="1"/>
  <c r="AM469" i="1" s="1"/>
  <c r="AM499" i="1" s="1"/>
  <c r="AM503" i="1" s="1"/>
  <c r="AM493" i="1"/>
  <c r="AM494" i="1" s="1"/>
  <c r="AM496" i="1" s="1"/>
  <c r="AM519" i="1" s="1"/>
  <c r="AL16" i="7" l="1"/>
  <c r="AL29" i="7" s="1"/>
  <c r="AL602" i="1"/>
  <c r="AL628" i="1" s="1"/>
  <c r="AL630" i="1" s="1"/>
  <c r="AL633" i="1" s="1"/>
  <c r="AL649" i="1" s="1"/>
  <c r="AL650" i="1" s="1"/>
  <c r="AL652" i="1" s="1"/>
  <c r="AL653" i="1" s="1"/>
  <c r="AL667" i="1" s="1"/>
  <c r="AL618" i="1"/>
  <c r="AL603" i="1"/>
  <c r="AL714" i="1"/>
  <c r="AM471" i="1"/>
  <c r="AN470" i="1" s="1"/>
  <c r="AM505" i="1"/>
  <c r="AL684" i="1" l="1"/>
  <c r="AM477" i="1"/>
  <c r="AM736" i="1" s="1"/>
  <c r="AM595" i="1" l="1"/>
  <c r="AM508" i="1"/>
  <c r="AM512" i="1" s="1"/>
  <c r="AM520" i="1" s="1"/>
  <c r="AM521" i="1" s="1"/>
  <c r="AM752" i="1"/>
  <c r="AM524" i="1" l="1"/>
  <c r="AN517" i="1"/>
  <c r="AN518" i="1" s="1"/>
  <c r="AM15" i="7"/>
  <c r="AM28" i="7" s="1"/>
  <c r="AM737" i="1" l="1"/>
  <c r="AM529" i="1"/>
  <c r="AN530" i="1" s="1"/>
  <c r="AN465" i="1" s="1"/>
  <c r="AN466" i="1" s="1"/>
  <c r="AN469" i="1" s="1"/>
  <c r="AM596" i="1"/>
  <c r="AM753" i="1" l="1"/>
  <c r="AM16" i="7" s="1"/>
  <c r="AM29" i="7" s="1"/>
  <c r="AM598" i="1"/>
  <c r="AM600" i="1" s="1"/>
  <c r="AN493" i="1"/>
  <c r="AN494" i="1" s="1"/>
  <c r="AN496" i="1" s="1"/>
  <c r="AN519" i="1" s="1"/>
  <c r="AN471" i="1"/>
  <c r="AN499" i="1"/>
  <c r="AN503" i="1" s="1"/>
  <c r="AM714" i="1" l="1"/>
  <c r="AM602" i="1"/>
  <c r="AM628" i="1" s="1"/>
  <c r="AM630" i="1" s="1"/>
  <c r="AM633" i="1" s="1"/>
  <c r="AM649" i="1" s="1"/>
  <c r="AM650" i="1" s="1"/>
  <c r="AM652" i="1" s="1"/>
  <c r="AM653" i="1" s="1"/>
  <c r="AM667" i="1" s="1"/>
  <c r="AM618" i="1"/>
  <c r="AM603" i="1"/>
  <c r="AN505" i="1"/>
  <c r="AN477" i="1"/>
  <c r="AO470" i="1"/>
  <c r="AM684" i="1" l="1"/>
  <c r="AN595" i="1"/>
  <c r="AN508" i="1"/>
  <c r="AN512" i="1" s="1"/>
  <c r="AN736" i="1"/>
  <c r="AN520" i="1" l="1"/>
  <c r="AN521" i="1" s="1"/>
  <c r="AN752" i="1"/>
  <c r="AN524" i="1" l="1"/>
  <c r="AO517" i="1"/>
  <c r="AO518" i="1" s="1"/>
  <c r="AN15" i="7"/>
  <c r="AN28" i="7" s="1"/>
  <c r="AN596" i="1" l="1"/>
  <c r="AN529" i="1"/>
  <c r="AO530" i="1" s="1"/>
  <c r="AN737" i="1"/>
  <c r="AN753" i="1" l="1"/>
  <c r="AN16" i="7" s="1"/>
  <c r="AN29" i="7" s="1"/>
  <c r="AN598" i="1"/>
  <c r="AN714" i="1" s="1"/>
  <c r="AO493" i="1"/>
  <c r="AO494" i="1" s="1"/>
  <c r="AO496" i="1" s="1"/>
  <c r="AO519" i="1" s="1"/>
  <c r="AO465" i="1"/>
  <c r="AO466" i="1" s="1"/>
  <c r="AO469" i="1" s="1"/>
  <c r="AO471" i="1" s="1"/>
  <c r="AN600" i="1" l="1"/>
  <c r="AN618" i="1" s="1"/>
  <c r="AN603" i="1"/>
  <c r="AN602" i="1"/>
  <c r="AN628" i="1" s="1"/>
  <c r="AN630" i="1" s="1"/>
  <c r="AN633" i="1" s="1"/>
  <c r="AN649" i="1" s="1"/>
  <c r="AN650" i="1" s="1"/>
  <c r="AN652" i="1" s="1"/>
  <c r="AN653" i="1" s="1"/>
  <c r="AN667" i="1" s="1"/>
  <c r="AO499" i="1"/>
  <c r="AO503" i="1" s="1"/>
  <c r="AO505" i="1" s="1"/>
  <c r="AO477" i="1"/>
  <c r="AP470" i="1"/>
  <c r="AN684" i="1" l="1"/>
  <c r="AO595" i="1"/>
  <c r="AO736" i="1"/>
  <c r="AO508" i="1"/>
  <c r="AO512" i="1" s="1"/>
  <c r="AO520" i="1" l="1"/>
  <c r="AO521" i="1" s="1"/>
  <c r="AO752" i="1"/>
  <c r="AO524" i="1" l="1"/>
  <c r="AP517" i="1"/>
  <c r="AP518" i="1" s="1"/>
  <c r="AO15" i="7"/>
  <c r="AO28" i="7" s="1"/>
  <c r="AO737" i="1" l="1"/>
  <c r="AO529" i="1"/>
  <c r="AP530" i="1" s="1"/>
  <c r="AP493" i="1" s="1"/>
  <c r="AP494" i="1" s="1"/>
  <c r="AP496" i="1" s="1"/>
  <c r="AP519" i="1" s="1"/>
  <c r="AO596" i="1"/>
  <c r="AO753" i="1" l="1"/>
  <c r="AO16" i="7" s="1"/>
  <c r="AO29" i="7" s="1"/>
  <c r="AO598" i="1"/>
  <c r="AO714" i="1" s="1"/>
  <c r="AP465" i="1"/>
  <c r="AP466" i="1" s="1"/>
  <c r="AP469" i="1" s="1"/>
  <c r="AP471" i="1" s="1"/>
  <c r="AO603" i="1" l="1"/>
  <c r="AO600" i="1"/>
  <c r="AO618" i="1" s="1"/>
  <c r="AO602" i="1"/>
  <c r="AO628" i="1" s="1"/>
  <c r="AO630" i="1" s="1"/>
  <c r="AO633" i="1" s="1"/>
  <c r="AO649" i="1" s="1"/>
  <c r="AO650" i="1" s="1"/>
  <c r="AO652" i="1" s="1"/>
  <c r="AO653" i="1" s="1"/>
  <c r="AO667" i="1" s="1"/>
  <c r="AP499" i="1"/>
  <c r="AP503" i="1" s="1"/>
  <c r="AP505" i="1" s="1"/>
  <c r="AP477" i="1"/>
  <c r="AQ470" i="1"/>
  <c r="AO684" i="1" l="1"/>
  <c r="AP736" i="1"/>
  <c r="AP508" i="1"/>
  <c r="AP512" i="1" s="1"/>
  <c r="AP595" i="1"/>
  <c r="AP520" i="1" l="1"/>
  <c r="AP521" i="1" s="1"/>
  <c r="AP752" i="1"/>
  <c r="AQ517" i="1" l="1"/>
  <c r="AQ518" i="1" s="1"/>
  <c r="AP524" i="1"/>
  <c r="AP15" i="7"/>
  <c r="AP28" i="7" s="1"/>
  <c r="AP737" i="1" l="1"/>
  <c r="AP753" i="1" s="1"/>
  <c r="AP529" i="1"/>
  <c r="AQ530" i="1" s="1"/>
  <c r="AQ465" i="1" s="1"/>
  <c r="AQ466" i="1" s="1"/>
  <c r="AQ469" i="1" s="1"/>
  <c r="AP596" i="1"/>
  <c r="AP598" i="1" l="1"/>
  <c r="AP602" i="1" s="1"/>
  <c r="AP628" i="1" s="1"/>
  <c r="AP630" i="1" s="1"/>
  <c r="AP633" i="1" s="1"/>
  <c r="AQ493" i="1"/>
  <c r="AQ494" i="1" s="1"/>
  <c r="AQ496" i="1" s="1"/>
  <c r="AQ519" i="1" s="1"/>
  <c r="AP16" i="7"/>
  <c r="AP29" i="7" s="1"/>
  <c r="AQ499" i="1"/>
  <c r="AQ503" i="1" s="1"/>
  <c r="AQ471" i="1"/>
  <c r="AP603" i="1" l="1"/>
  <c r="AP600" i="1"/>
  <c r="AP618" i="1" s="1"/>
  <c r="AP714" i="1"/>
  <c r="AP649" i="1"/>
  <c r="AP650" i="1" s="1"/>
  <c r="AP652" i="1" s="1"/>
  <c r="AP653" i="1" s="1"/>
  <c r="AP667" i="1" s="1"/>
  <c r="AP684" i="1"/>
  <c r="AQ505" i="1"/>
  <c r="AR470" i="1"/>
  <c r="AQ477" i="1"/>
  <c r="AQ508" i="1" l="1"/>
  <c r="AQ512" i="1" s="1"/>
  <c r="AQ736" i="1"/>
  <c r="AQ595" i="1"/>
  <c r="AQ520" i="1" l="1"/>
  <c r="AQ521" i="1" s="1"/>
  <c r="AQ752" i="1"/>
  <c r="AQ524" i="1" l="1"/>
  <c r="AR517" i="1"/>
  <c r="AR518" i="1" s="1"/>
  <c r="AQ15" i="7"/>
  <c r="AQ28" i="7" s="1"/>
  <c r="AQ596" i="1" l="1"/>
  <c r="AQ529" i="1"/>
  <c r="AR530" i="1" s="1"/>
  <c r="AQ737" i="1"/>
  <c r="AQ753" i="1" s="1"/>
  <c r="AQ598" i="1" l="1"/>
  <c r="AQ602" i="1" s="1"/>
  <c r="AQ628" i="1" s="1"/>
  <c r="AQ630" i="1" s="1"/>
  <c r="AQ633" i="1" s="1"/>
  <c r="AR465" i="1"/>
  <c r="AR466" i="1" s="1"/>
  <c r="AR469" i="1" s="1"/>
  <c r="AR499" i="1" s="1"/>
  <c r="AR503" i="1" s="1"/>
  <c r="AR493" i="1"/>
  <c r="AR494" i="1" s="1"/>
  <c r="AR496" i="1" s="1"/>
  <c r="AR519" i="1" s="1"/>
  <c r="AQ16" i="7"/>
  <c r="AQ29" i="7" s="1"/>
  <c r="AQ603" i="1" l="1"/>
  <c r="AQ684" i="1"/>
  <c r="AQ649" i="1"/>
  <c r="AQ650" i="1" s="1"/>
  <c r="AQ652" i="1" s="1"/>
  <c r="AQ653" i="1" s="1"/>
  <c r="AQ667" i="1" s="1"/>
  <c r="AQ600" i="1"/>
  <c r="AQ618" i="1" s="1"/>
  <c r="AQ714" i="1"/>
  <c r="AR471" i="1"/>
  <c r="AS470" i="1" s="1"/>
  <c r="AR505" i="1"/>
  <c r="AR477" i="1" l="1"/>
  <c r="AR508" i="1" s="1"/>
  <c r="AR512" i="1" s="1"/>
  <c r="AR736" i="1" l="1"/>
  <c r="AR595" i="1"/>
  <c r="AR520" i="1"/>
  <c r="AR521" i="1" s="1"/>
  <c r="AR752" i="1" l="1"/>
  <c r="AR15" i="7" s="1"/>
  <c r="AR28" i="7" s="1"/>
  <c r="AR524" i="1"/>
  <c r="AS517" i="1"/>
  <c r="AS518" i="1" s="1"/>
  <c r="AR737" i="1" l="1"/>
  <c r="AR529" i="1"/>
  <c r="AS530" i="1" s="1"/>
  <c r="AS493" i="1" s="1"/>
  <c r="AS494" i="1" s="1"/>
  <c r="AS496" i="1" s="1"/>
  <c r="AS519" i="1" s="1"/>
  <c r="AR596" i="1"/>
  <c r="AR753" i="1" l="1"/>
  <c r="AR16" i="7" s="1"/>
  <c r="AR29" i="7" s="1"/>
  <c r="AR598" i="1"/>
  <c r="AR714" i="1" s="1"/>
  <c r="AS465" i="1"/>
  <c r="AS466" i="1" s="1"/>
  <c r="AS469" i="1" s="1"/>
  <c r="AS499" i="1" s="1"/>
  <c r="AS503" i="1" s="1"/>
  <c r="AS505" i="1" s="1"/>
  <c r="AR603" i="1" l="1"/>
  <c r="AR600" i="1"/>
  <c r="AR618" i="1" s="1"/>
  <c r="AR602" i="1"/>
  <c r="AR628" i="1" s="1"/>
  <c r="AR630" i="1" s="1"/>
  <c r="AR633" i="1" s="1"/>
  <c r="AR684" i="1" s="1"/>
  <c r="AS471" i="1"/>
  <c r="AS477" i="1" s="1"/>
  <c r="AR649" i="1" l="1"/>
  <c r="AR650" i="1" s="1"/>
  <c r="AR652" i="1" s="1"/>
  <c r="AR653" i="1" s="1"/>
  <c r="AR667" i="1" s="1"/>
  <c r="AT470" i="1"/>
  <c r="AS736" i="1"/>
  <c r="AS595" i="1"/>
  <c r="AS508" i="1"/>
  <c r="AS512" i="1" s="1"/>
  <c r="AS520" i="1" l="1"/>
  <c r="AS521" i="1" s="1"/>
  <c r="AS752" i="1"/>
  <c r="AT517" i="1" l="1"/>
  <c r="AT518" i="1" s="1"/>
  <c r="AS524" i="1"/>
  <c r="AS15" i="7"/>
  <c r="AS28" i="7" s="1"/>
  <c r="AS737" i="1" l="1"/>
  <c r="AS529" i="1"/>
  <c r="AT530" i="1" s="1"/>
  <c r="AT493" i="1" s="1"/>
  <c r="AT494" i="1" s="1"/>
  <c r="AT496" i="1" s="1"/>
  <c r="AT519" i="1" s="1"/>
  <c r="AS596" i="1"/>
  <c r="AS753" i="1" l="1"/>
  <c r="AS16" i="7" s="1"/>
  <c r="AS29" i="7" s="1"/>
  <c r="AS598" i="1"/>
  <c r="AS603" i="1" s="1"/>
  <c r="AT465" i="1"/>
  <c r="AT466" i="1" s="1"/>
  <c r="AT469" i="1" s="1"/>
  <c r="AT499" i="1" s="1"/>
  <c r="AT503" i="1" s="1"/>
  <c r="AT505" i="1" s="1"/>
  <c r="AS714" i="1" l="1"/>
  <c r="AS600" i="1"/>
  <c r="AS618" i="1" s="1"/>
  <c r="AS602" i="1"/>
  <c r="AS628" i="1" s="1"/>
  <c r="AS630" i="1" s="1"/>
  <c r="AS633" i="1" s="1"/>
  <c r="AS684" i="1" s="1"/>
  <c r="AT471" i="1"/>
  <c r="AU470" i="1" s="1"/>
  <c r="AS649" i="1" l="1"/>
  <c r="AS650" i="1" s="1"/>
  <c r="AS652" i="1" s="1"/>
  <c r="AS653" i="1" s="1"/>
  <c r="AS667" i="1" s="1"/>
  <c r="AT477" i="1"/>
  <c r="AT595" i="1" s="1"/>
  <c r="AT736" i="1" l="1"/>
  <c r="AT508" i="1"/>
  <c r="AT752" i="1" l="1"/>
  <c r="AT15" i="7" s="1"/>
  <c r="AT28" i="7" s="1"/>
  <c r="AT512" i="1"/>
  <c r="AT520" i="1" s="1"/>
  <c r="AT521" i="1" s="1"/>
  <c r="AT524" i="1" l="1"/>
  <c r="AT737" i="1" s="1"/>
  <c r="AU517" i="1"/>
  <c r="AU518" i="1" s="1"/>
  <c r="AT753" i="1" l="1"/>
  <c r="AT16" i="7" s="1"/>
  <c r="AT29" i="7" s="1"/>
  <c r="AT596" i="1"/>
  <c r="AT598" i="1" s="1"/>
  <c r="AT529" i="1"/>
  <c r="AU530" i="1" s="1"/>
  <c r="AU493" i="1" s="1"/>
  <c r="AU494" i="1" s="1"/>
  <c r="AU496" i="1" s="1"/>
  <c r="AU519" i="1" s="1"/>
  <c r="AU465" i="1" l="1"/>
  <c r="AU466" i="1" s="1"/>
  <c r="AU469" i="1" s="1"/>
  <c r="AU499" i="1" s="1"/>
  <c r="AU503" i="1" s="1"/>
  <c r="AU505" i="1" s="1"/>
  <c r="AT602" i="1"/>
  <c r="AT628" i="1" s="1"/>
  <c r="AT630" i="1" s="1"/>
  <c r="AT633" i="1" s="1"/>
  <c r="AT714" i="1"/>
  <c r="AT600" i="1"/>
  <c r="AT618" i="1" s="1"/>
  <c r="AT603" i="1"/>
  <c r="AU471" i="1" l="1"/>
  <c r="AV470" i="1" s="1"/>
  <c r="AT649" i="1"/>
  <c r="AT650" i="1" s="1"/>
  <c r="AT652" i="1" s="1"/>
  <c r="AT653" i="1" s="1"/>
  <c r="AT667" i="1" s="1"/>
  <c r="AT684" i="1"/>
  <c r="AU477" i="1" l="1"/>
  <c r="AU508" i="1" s="1"/>
  <c r="AU512" i="1" s="1"/>
  <c r="AU520" i="1" s="1"/>
  <c r="AU521" i="1" s="1"/>
  <c r="AU736" i="1" l="1"/>
  <c r="AU595" i="1"/>
  <c r="AV517" i="1"/>
  <c r="AV518" i="1" s="1"/>
  <c r="AU524" i="1"/>
  <c r="AU752" i="1" l="1"/>
  <c r="AU596" i="1"/>
  <c r="AU529" i="1"/>
  <c r="AV530" i="1" s="1"/>
  <c r="AV465" i="1" s="1"/>
  <c r="AV466" i="1" s="1"/>
  <c r="AV469" i="1" s="1"/>
  <c r="AU737" i="1"/>
  <c r="AU753" i="1" s="1"/>
  <c r="AU15" i="7" l="1"/>
  <c r="AU28" i="7" s="1"/>
  <c r="AU598" i="1"/>
  <c r="AU600" i="1" s="1"/>
  <c r="AV493" i="1"/>
  <c r="AV494" i="1" s="1"/>
  <c r="AV496" i="1" s="1"/>
  <c r="AV519" i="1" s="1"/>
  <c r="AV499" i="1"/>
  <c r="AV503" i="1" s="1"/>
  <c r="AV471" i="1"/>
  <c r="AU16" i="7"/>
  <c r="AU29" i="7" s="1"/>
  <c r="AU602" i="1" l="1"/>
  <c r="AU628" i="1" s="1"/>
  <c r="AU630" i="1" s="1"/>
  <c r="AU633" i="1" s="1"/>
  <c r="AU684" i="1" s="1"/>
  <c r="AU714" i="1"/>
  <c r="AU618" i="1"/>
  <c r="AU603" i="1"/>
  <c r="AV505" i="1"/>
  <c r="AW470" i="1"/>
  <c r="AV477" i="1"/>
  <c r="AU649" i="1" l="1"/>
  <c r="AU650" i="1" s="1"/>
  <c r="AU652" i="1" s="1"/>
  <c r="AU653" i="1" s="1"/>
  <c r="AU667" i="1" s="1"/>
  <c r="AV595" i="1"/>
  <c r="AV736" i="1"/>
  <c r="AV508" i="1"/>
  <c r="AV512" i="1" s="1"/>
  <c r="AV752" i="1" l="1"/>
  <c r="AV520" i="1"/>
  <c r="AV521" i="1" s="1"/>
  <c r="AV15" i="7" l="1"/>
  <c r="AV28" i="7" s="1"/>
  <c r="AW517" i="1"/>
  <c r="AW518" i="1" s="1"/>
  <c r="AV524" i="1"/>
  <c r="AV737" i="1" s="1"/>
  <c r="AV753" i="1" l="1"/>
  <c r="AV596" i="1"/>
  <c r="AV529" i="1"/>
  <c r="AW530" i="1" s="1"/>
  <c r="AW493" i="1" s="1"/>
  <c r="AW494" i="1" s="1"/>
  <c r="AV16" i="7" l="1"/>
  <c r="AV29" i="7" s="1"/>
  <c r="AV598" i="1"/>
  <c r="AV602" i="1" s="1"/>
  <c r="AV628" i="1" s="1"/>
  <c r="AV630" i="1" s="1"/>
  <c r="AV633" i="1" s="1"/>
  <c r="AW465" i="1"/>
  <c r="AW466" i="1" s="1"/>
  <c r="AW469" i="1" s="1"/>
  <c r="AW496" i="1"/>
  <c r="AV714" i="1" l="1"/>
  <c r="AV649" i="1"/>
  <c r="AV650" i="1" s="1"/>
  <c r="AV652" i="1" s="1"/>
  <c r="AV653" i="1" s="1"/>
  <c r="AV667" i="1" s="1"/>
  <c r="AV684" i="1"/>
  <c r="AV603" i="1"/>
  <c r="AV600" i="1"/>
  <c r="AV618" i="1" s="1"/>
  <c r="AW519" i="1"/>
  <c r="AW499" i="1"/>
  <c r="AW503" i="1" s="1"/>
  <c r="AW505" i="1" s="1"/>
  <c r="AW471" i="1"/>
  <c r="AW477" i="1" l="1"/>
  <c r="AX470" i="1"/>
  <c r="AW595" i="1" l="1"/>
  <c r="AW508" i="1"/>
  <c r="AW512" i="1" s="1"/>
  <c r="AW736" i="1"/>
  <c r="AW752" i="1" l="1"/>
  <c r="AW15" i="7" s="1"/>
  <c r="AW520" i="1"/>
  <c r="AW521" i="1" s="1"/>
  <c r="AW28" i="7" l="1"/>
  <c r="AX517" i="1"/>
  <c r="AX518" i="1" s="1"/>
  <c r="I518" i="1" s="1"/>
  <c r="AW524" i="1"/>
  <c r="AW529" i="1" s="1"/>
  <c r="AW737" i="1" l="1"/>
  <c r="AX530" i="1"/>
  <c r="AW596" i="1"/>
  <c r="AW598" i="1" s="1"/>
  <c r="AW753" i="1" l="1"/>
  <c r="AW16" i="7" s="1"/>
  <c r="AW603" i="1"/>
  <c r="AW602" i="1"/>
  <c r="AW714" i="1"/>
  <c r="AW600" i="1"/>
  <c r="AW618" i="1" s="1"/>
  <c r="AX465" i="1"/>
  <c r="AX466" i="1" s="1"/>
  <c r="AX493" i="1"/>
  <c r="AX494" i="1" s="1"/>
  <c r="I530" i="1"/>
  <c r="AX496" i="1" l="1"/>
  <c r="I494" i="1"/>
  <c r="AX469" i="1"/>
  <c r="I466" i="1"/>
  <c r="AW29" i="7"/>
  <c r="I465" i="1"/>
  <c r="I493" i="1"/>
  <c r="AW628" i="1"/>
  <c r="AW630" i="1" s="1"/>
  <c r="AX499" i="1" l="1"/>
  <c r="AX503" i="1" s="1"/>
  <c r="I503" i="1" s="1"/>
  <c r="AX471" i="1"/>
  <c r="I469" i="1"/>
  <c r="I499" i="1" s="1"/>
  <c r="AW633" i="1"/>
  <c r="AX519" i="1"/>
  <c r="I496" i="1"/>
  <c r="I519" i="1" s="1"/>
  <c r="AX477" i="1" l="1"/>
  <c r="F472" i="1"/>
  <c r="AW649" i="1"/>
  <c r="AW650" i="1" s="1"/>
  <c r="AW684" i="1"/>
  <c r="AX505" i="1"/>
  <c r="AW652" i="1" l="1"/>
  <c r="F505" i="1"/>
  <c r="I505" i="1"/>
  <c r="AX736" i="1"/>
  <c r="AX595" i="1"/>
  <c r="AX508" i="1"/>
  <c r="AX512" i="1" s="1"/>
  <c r="I477" i="1"/>
  <c r="F800" i="1" l="1"/>
  <c r="AX752" i="1"/>
  <c r="AX15" i="7" s="1"/>
  <c r="I508" i="1"/>
  <c r="I736" i="1"/>
  <c r="I595" i="1"/>
  <c r="AX520" i="1"/>
  <c r="AX521" i="1" s="1"/>
  <c r="AX524" i="1" s="1"/>
  <c r="AX529" i="1" s="1"/>
  <c r="I512" i="1"/>
  <c r="I520" i="1" s="1"/>
  <c r="AW653" i="1"/>
  <c r="I752" i="1" l="1"/>
  <c r="I15" i="7" s="1"/>
  <c r="I28" i="7" s="1"/>
  <c r="F765" i="1"/>
  <c r="O23" i="5" s="1"/>
  <c r="F59" i="35" s="1"/>
  <c r="J59" i="35" s="1"/>
  <c r="I59" i="35" s="1"/>
  <c r="AX596" i="1"/>
  <c r="AX598" i="1" s="1"/>
  <c r="F599" i="1" s="1"/>
  <c r="AX737" i="1"/>
  <c r="I529" i="1"/>
  <c r="I524" i="1"/>
  <c r="AX28" i="7"/>
  <c r="F63" i="7"/>
  <c r="AW667" i="1"/>
  <c r="K605" i="1" l="1"/>
  <c r="T72" i="5"/>
  <c r="AX753" i="1"/>
  <c r="F766" i="1" s="1"/>
  <c r="O24" i="5" s="1"/>
  <c r="I737" i="1"/>
  <c r="I596" i="1"/>
  <c r="AX603" i="1"/>
  <c r="AX602" i="1"/>
  <c r="AX714" i="1"/>
  <c r="I598" i="1"/>
  <c r="I714" i="1" s="1"/>
  <c r="AX600" i="1"/>
  <c r="AX618" i="1" s="1"/>
  <c r="L605" i="1" l="1"/>
  <c r="M605" i="1" s="1"/>
  <c r="M636" i="1" s="1"/>
  <c r="K636" i="1"/>
  <c r="K606" i="1"/>
  <c r="K637" i="1" s="1"/>
  <c r="I753" i="1"/>
  <c r="I16" i="7" s="1"/>
  <c r="I29" i="7" s="1"/>
  <c r="AX16" i="7"/>
  <c r="AX29" i="7" s="1"/>
  <c r="F619" i="1"/>
  <c r="F620" i="1" s="1" a="1"/>
  <c r="F620" i="1" s="1"/>
  <c r="F623" i="1" s="1"/>
  <c r="C32" i="5" s="1"/>
  <c r="F60" i="35"/>
  <c r="J60" i="35" s="1"/>
  <c r="I60" i="35" s="1"/>
  <c r="T73" i="5"/>
  <c r="I603" i="1"/>
  <c r="AX628" i="1"/>
  <c r="AX630" i="1" s="1"/>
  <c r="I602" i="1"/>
  <c r="I628" i="1" s="1"/>
  <c r="K640" i="1" l="1"/>
  <c r="K661" i="1" s="1"/>
  <c r="K663" i="1" s="1"/>
  <c r="K670" i="1" s="1"/>
  <c r="L606" i="1"/>
  <c r="L637" i="1" s="1"/>
  <c r="L636" i="1"/>
  <c r="M606" i="1"/>
  <c r="M637" i="1" s="1"/>
  <c r="M640" i="1" s="1"/>
  <c r="N605" i="1"/>
  <c r="N636" i="1" s="1"/>
  <c r="F64" i="7"/>
  <c r="AX633" i="1"/>
  <c r="I630" i="1"/>
  <c r="K685" i="1" l="1"/>
  <c r="M661" i="1"/>
  <c r="M663" i="1" s="1"/>
  <c r="M685" i="1"/>
  <c r="L640" i="1"/>
  <c r="L661" i="1" s="1"/>
  <c r="L663" i="1" s="1"/>
  <c r="K674" i="1"/>
  <c r="K686" i="1" s="1"/>
  <c r="K671" i="1"/>
  <c r="L666" i="1" s="1"/>
  <c r="N606" i="1"/>
  <c r="N637" i="1" s="1"/>
  <c r="N640" i="1" s="1"/>
  <c r="O605" i="1"/>
  <c r="AX649" i="1"/>
  <c r="AX650" i="1" s="1"/>
  <c r="AX684" i="1"/>
  <c r="I633" i="1"/>
  <c r="K687" i="1" l="1"/>
  <c r="K707" i="1" s="1"/>
  <c r="K709" i="1" s="1"/>
  <c r="K25" i="12" s="1"/>
  <c r="K126" i="12" s="1"/>
  <c r="L685" i="1"/>
  <c r="N661" i="1"/>
  <c r="N663" i="1" s="1"/>
  <c r="N685" i="1"/>
  <c r="L668" i="1"/>
  <c r="L669" i="1" s="1"/>
  <c r="L670" i="1" s="1"/>
  <c r="L674" i="1" s="1"/>
  <c r="L686" i="1" s="1"/>
  <c r="P605" i="1"/>
  <c r="O636" i="1"/>
  <c r="O606" i="1"/>
  <c r="O637" i="1" s="1"/>
  <c r="AX652" i="1"/>
  <c r="I650" i="1"/>
  <c r="I684" i="1"/>
  <c r="I649" i="1"/>
  <c r="L687" i="1" l="1"/>
  <c r="L707" i="1" s="1"/>
  <c r="L709" i="1" s="1"/>
  <c r="L25" i="12" s="1"/>
  <c r="L126" i="12" s="1"/>
  <c r="K715" i="1"/>
  <c r="K716" i="1" s="1"/>
  <c r="K722" i="1" s="1"/>
  <c r="O640" i="1"/>
  <c r="O661" i="1" s="1"/>
  <c r="O663" i="1" s="1"/>
  <c r="L671" i="1"/>
  <c r="M666" i="1" s="1"/>
  <c r="M668" i="1" s="1"/>
  <c r="M669" i="1" s="1"/>
  <c r="M670" i="1" s="1"/>
  <c r="M674" i="1" s="1"/>
  <c r="M686" i="1" s="1"/>
  <c r="M687" i="1" s="1"/>
  <c r="K742" i="1"/>
  <c r="K758" i="1" s="1"/>
  <c r="K21" i="7" s="1"/>
  <c r="K33" i="7" s="1"/>
  <c r="K784" i="1"/>
  <c r="K214" i="12"/>
  <c r="K227" i="12" s="1"/>
  <c r="K282" i="12" s="1"/>
  <c r="K181" i="12"/>
  <c r="P606" i="1"/>
  <c r="P637" i="1" s="1"/>
  <c r="P636" i="1"/>
  <c r="Q605" i="1"/>
  <c r="R605" i="1" s="1"/>
  <c r="AX653" i="1"/>
  <c r="I652" i="1"/>
  <c r="L715" i="1" l="1"/>
  <c r="L716" i="1" s="1"/>
  <c r="L722" i="1" s="1"/>
  <c r="O685" i="1"/>
  <c r="K717" i="1"/>
  <c r="P640" i="1"/>
  <c r="P661" i="1" s="1"/>
  <c r="P663" i="1" s="1"/>
  <c r="M671" i="1"/>
  <c r="N666" i="1" s="1"/>
  <c r="N668" i="1" s="1"/>
  <c r="N669" i="1" s="1"/>
  <c r="N670" i="1" s="1"/>
  <c r="N674" i="1" s="1"/>
  <c r="N686" i="1" s="1"/>
  <c r="N687" i="1" s="1"/>
  <c r="R606" i="1"/>
  <c r="R637" i="1" s="1"/>
  <c r="R636" i="1"/>
  <c r="L742" i="1"/>
  <c r="L758" i="1" s="1"/>
  <c r="L21" i="7" s="1"/>
  <c r="L33" i="7" s="1"/>
  <c r="L784" i="1"/>
  <c r="M707" i="1"/>
  <c r="M709" i="1" s="1"/>
  <c r="M25" i="12" s="1"/>
  <c r="M126" i="12" s="1"/>
  <c r="M715" i="1"/>
  <c r="M716" i="1" s="1"/>
  <c r="M722" i="1" s="1"/>
  <c r="Q606" i="1"/>
  <c r="Q637" i="1" s="1"/>
  <c r="Q636" i="1"/>
  <c r="S605" i="1"/>
  <c r="S636" i="1" s="1"/>
  <c r="L181" i="12"/>
  <c r="L214" i="12"/>
  <c r="L227" i="12" s="1"/>
  <c r="L282" i="12" s="1"/>
  <c r="AX667" i="1"/>
  <c r="I653" i="1"/>
  <c r="I667" i="1" s="1"/>
  <c r="L717" i="1" l="1"/>
  <c r="M717" i="1" s="1"/>
  <c r="P685" i="1"/>
  <c r="Q640" i="1"/>
  <c r="Q661" i="1" s="1"/>
  <c r="Q663" i="1" s="1"/>
  <c r="T605" i="1"/>
  <c r="T636" i="1" s="1"/>
  <c r="S606" i="1"/>
  <c r="S637" i="1" s="1"/>
  <c r="S640" i="1" s="1"/>
  <c r="S661" i="1" s="1"/>
  <c r="S663" i="1" s="1"/>
  <c r="N671" i="1"/>
  <c r="O666" i="1" s="1"/>
  <c r="O668" i="1" s="1"/>
  <c r="O669" i="1" s="1"/>
  <c r="O670" i="1" s="1"/>
  <c r="O674" i="1" s="1"/>
  <c r="O686" i="1" s="1"/>
  <c r="O687" i="1" s="1"/>
  <c r="R640" i="1"/>
  <c r="R661" i="1" s="1"/>
  <c r="R663" i="1" s="1"/>
  <c r="N707" i="1"/>
  <c r="N709" i="1" s="1"/>
  <c r="N25" i="12" s="1"/>
  <c r="N126" i="12" s="1"/>
  <c r="N715" i="1"/>
  <c r="N716" i="1" s="1"/>
  <c r="M181" i="12"/>
  <c r="M214" i="12"/>
  <c r="M227" i="12" s="1"/>
  <c r="M282" i="12" s="1"/>
  <c r="M742" i="1"/>
  <c r="M758" i="1" s="1"/>
  <c r="M21" i="7" s="1"/>
  <c r="M33" i="7" s="1"/>
  <c r="M784" i="1"/>
  <c r="F677" i="1"/>
  <c r="Q685" i="1" l="1"/>
  <c r="U605" i="1"/>
  <c r="U636" i="1" s="1"/>
  <c r="T606" i="1"/>
  <c r="T637" i="1" s="1"/>
  <c r="T640" i="1" s="1"/>
  <c r="T685" i="1" s="1"/>
  <c r="R685" i="1"/>
  <c r="N717" i="1"/>
  <c r="S685" i="1"/>
  <c r="O707" i="1"/>
  <c r="O709" i="1" s="1"/>
  <c r="O25" i="12" s="1"/>
  <c r="O126" i="12" s="1"/>
  <c r="O715" i="1"/>
  <c r="O716" i="1" s="1"/>
  <c r="N181" i="12"/>
  <c r="N214" i="12"/>
  <c r="N227" i="12" s="1"/>
  <c r="N282" i="12" s="1"/>
  <c r="O671" i="1"/>
  <c r="P666" i="1" s="1"/>
  <c r="P668" i="1" s="1"/>
  <c r="P669" i="1" s="1"/>
  <c r="P670" i="1" s="1"/>
  <c r="N742" i="1"/>
  <c r="N758" i="1" s="1"/>
  <c r="N21" i="7" s="1"/>
  <c r="N33" i="7" s="1"/>
  <c r="N784" i="1"/>
  <c r="T661" i="1" l="1"/>
  <c r="T663" i="1" s="1"/>
  <c r="U606" i="1"/>
  <c r="U637" i="1" s="1"/>
  <c r="U640" i="1" s="1"/>
  <c r="U661" i="1" s="1"/>
  <c r="U663" i="1" s="1"/>
  <c r="V605" i="1"/>
  <c r="V636" i="1" s="1"/>
  <c r="O717" i="1"/>
  <c r="P671" i="1"/>
  <c r="Q666" i="1" s="1"/>
  <c r="P674" i="1"/>
  <c r="P686" i="1" s="1"/>
  <c r="P687" i="1" s="1"/>
  <c r="O181" i="12"/>
  <c r="O214" i="12"/>
  <c r="O227" i="12" s="1"/>
  <c r="O282" i="12" s="1"/>
  <c r="O742" i="1"/>
  <c r="O758" i="1" s="1"/>
  <c r="O21" i="7" s="1"/>
  <c r="O33" i="7" s="1"/>
  <c r="O784" i="1"/>
  <c r="W605" i="1" l="1"/>
  <c r="W636" i="1" s="1"/>
  <c r="U685" i="1"/>
  <c r="V606" i="1"/>
  <c r="V637" i="1" s="1"/>
  <c r="V640" i="1" s="1"/>
  <c r="V685" i="1" s="1"/>
  <c r="Q668" i="1"/>
  <c r="P707" i="1"/>
  <c r="P709" i="1" s="1"/>
  <c r="P25" i="12" s="1"/>
  <c r="P126" i="12" s="1"/>
  <c r="P715" i="1"/>
  <c r="P716" i="1" s="1"/>
  <c r="P717" i="1" s="1"/>
  <c r="W606" i="1" l="1"/>
  <c r="W637" i="1" s="1"/>
  <c r="W640" i="1" s="1"/>
  <c r="W685" i="1" s="1"/>
  <c r="X605" i="1"/>
  <c r="X636" i="1" s="1"/>
  <c r="V661" i="1"/>
  <c r="V663" i="1" s="1"/>
  <c r="P214" i="12"/>
  <c r="P227" i="12" s="1"/>
  <c r="P282" i="12" s="1"/>
  <c r="P181" i="12"/>
  <c r="P742" i="1"/>
  <c r="P758" i="1" s="1"/>
  <c r="P21" i="7" s="1"/>
  <c r="P33" i="7" s="1"/>
  <c r="P784" i="1"/>
  <c r="Q669" i="1"/>
  <c r="Q670" i="1" s="1"/>
  <c r="W661" i="1" l="1"/>
  <c r="W663" i="1" s="1"/>
  <c r="Y605" i="1"/>
  <c r="Y636" i="1" s="1"/>
  <c r="X606" i="1"/>
  <c r="X637" i="1" s="1"/>
  <c r="X640" i="1" s="1"/>
  <c r="X685" i="1" s="1"/>
  <c r="Q674" i="1"/>
  <c r="Q671" i="1"/>
  <c r="R666" i="1" s="1"/>
  <c r="Y606" i="1" l="1"/>
  <c r="Y637" i="1" s="1"/>
  <c r="Y640" i="1" s="1"/>
  <c r="Y661" i="1" s="1"/>
  <c r="Y663" i="1" s="1"/>
  <c r="Z605" i="1"/>
  <c r="Z636" i="1" s="1"/>
  <c r="X661" i="1"/>
  <c r="X663" i="1" s="1"/>
  <c r="Q686" i="1"/>
  <c r="Q687" i="1" s="1"/>
  <c r="R668" i="1"/>
  <c r="Z606" i="1" l="1"/>
  <c r="Z637" i="1" s="1"/>
  <c r="Z640" i="1" s="1"/>
  <c r="Z661" i="1" s="1"/>
  <c r="Z663" i="1" s="1"/>
  <c r="Y685" i="1"/>
  <c r="AA605" i="1"/>
  <c r="AA636" i="1" s="1"/>
  <c r="R669" i="1"/>
  <c r="R670" i="1" s="1"/>
  <c r="Q715" i="1"/>
  <c r="Q716" i="1" s="1"/>
  <c r="Q707" i="1"/>
  <c r="Q709" i="1" s="1"/>
  <c r="Q25" i="12" s="1"/>
  <c r="Z685" i="1" l="1"/>
  <c r="AB605" i="1"/>
  <c r="AB636" i="1" s="1"/>
  <c r="AA606" i="1"/>
  <c r="AA637" i="1" s="1"/>
  <c r="AA640" i="1" s="1"/>
  <c r="AA685" i="1" s="1"/>
  <c r="Q717" i="1"/>
  <c r="R674" i="1"/>
  <c r="R671" i="1"/>
  <c r="S666" i="1" s="1"/>
  <c r="Q126" i="12"/>
  <c r="Q742" i="1"/>
  <c r="Q758" i="1" s="1"/>
  <c r="Q784" i="1"/>
  <c r="AC605" i="1" l="1"/>
  <c r="AC636" i="1" s="1"/>
  <c r="AA661" i="1"/>
  <c r="AA663" i="1" s="1"/>
  <c r="AB606" i="1"/>
  <c r="AB637" i="1" s="1"/>
  <c r="AB640" i="1" s="1"/>
  <c r="AB661" i="1" s="1"/>
  <c r="AB663" i="1" s="1"/>
  <c r="S668" i="1"/>
  <c r="Q214" i="12"/>
  <c r="Q227" i="12" s="1"/>
  <c r="Q181" i="12"/>
  <c r="Q21" i="7"/>
  <c r="R686" i="1"/>
  <c r="R687" i="1" s="1"/>
  <c r="O722" i="1"/>
  <c r="AB685" i="1" l="1"/>
  <c r="AC606" i="1"/>
  <c r="AC637" i="1" s="1"/>
  <c r="AC640" i="1" s="1"/>
  <c r="AC685" i="1" s="1"/>
  <c r="AD605" i="1"/>
  <c r="AD636" i="1" s="1"/>
  <c r="Q282" i="12"/>
  <c r="R715" i="1"/>
  <c r="R716" i="1" s="1"/>
  <c r="R707" i="1"/>
  <c r="R709" i="1" s="1"/>
  <c r="R25" i="12" s="1"/>
  <c r="Q33" i="7"/>
  <c r="S669" i="1"/>
  <c r="S670" i="1" s="1"/>
  <c r="AC661" i="1" l="1"/>
  <c r="AC663" i="1" s="1"/>
  <c r="AE605" i="1"/>
  <c r="AE636" i="1" s="1"/>
  <c r="AD606" i="1"/>
  <c r="AD637" i="1" s="1"/>
  <c r="AD640" i="1" s="1"/>
  <c r="AD661" i="1" s="1"/>
  <c r="AD663" i="1" s="1"/>
  <c r="S674" i="1"/>
  <c r="S671" i="1"/>
  <c r="T666" i="1" s="1"/>
  <c r="R717" i="1"/>
  <c r="R742" i="1"/>
  <c r="R758" i="1" s="1"/>
  <c r="R784" i="1"/>
  <c r="R126" i="12"/>
  <c r="AE606" i="1" l="1"/>
  <c r="AE637" i="1" s="1"/>
  <c r="AE640" i="1" s="1"/>
  <c r="AE661" i="1" s="1"/>
  <c r="AE663" i="1" s="1"/>
  <c r="AF605" i="1"/>
  <c r="AF636" i="1" s="1"/>
  <c r="AD685" i="1"/>
  <c r="R21" i="7"/>
  <c r="T668" i="1"/>
  <c r="R214" i="12"/>
  <c r="R227" i="12" s="1"/>
  <c r="R181" i="12"/>
  <c r="S686" i="1"/>
  <c r="S687" i="1" s="1"/>
  <c r="AE685" i="1" l="1"/>
  <c r="AG605" i="1"/>
  <c r="AG636" i="1" s="1"/>
  <c r="AF606" i="1"/>
  <c r="AF637" i="1" s="1"/>
  <c r="AF640" i="1" s="1"/>
  <c r="AF661" i="1" s="1"/>
  <c r="AF663" i="1" s="1"/>
  <c r="S707" i="1"/>
  <c r="S709" i="1" s="1"/>
  <c r="S25" i="12" s="1"/>
  <c r="S715" i="1"/>
  <c r="S716" i="1" s="1"/>
  <c r="T669" i="1"/>
  <c r="T670" i="1" s="1"/>
  <c r="R282" i="12"/>
  <c r="R33" i="7"/>
  <c r="AG606" i="1" l="1"/>
  <c r="AG637" i="1" s="1"/>
  <c r="AG640" i="1" s="1"/>
  <c r="AG661" i="1" s="1"/>
  <c r="AG663" i="1" s="1"/>
  <c r="AH605" i="1"/>
  <c r="AH636" i="1" s="1"/>
  <c r="AF685" i="1"/>
  <c r="T674" i="1"/>
  <c r="T671" i="1"/>
  <c r="U666" i="1" s="1"/>
  <c r="S717" i="1"/>
  <c r="S126" i="12"/>
  <c r="S742" i="1"/>
  <c r="S758" i="1" s="1"/>
  <c r="S784" i="1"/>
  <c r="AG685" i="1" l="1"/>
  <c r="AI605" i="1"/>
  <c r="AI636" i="1" s="1"/>
  <c r="AH606" i="1"/>
  <c r="AH637" i="1" s="1"/>
  <c r="AH640" i="1" s="1"/>
  <c r="AH685" i="1" s="1"/>
  <c r="S21" i="7"/>
  <c r="U668" i="1"/>
  <c r="U669" i="1" s="1"/>
  <c r="U670" i="1" s="1"/>
  <c r="U671" i="1" s="1"/>
  <c r="V666" i="1" s="1"/>
  <c r="S181" i="12"/>
  <c r="S214" i="12"/>
  <c r="S227" i="12" s="1"/>
  <c r="T686" i="1"/>
  <c r="T687" i="1" s="1"/>
  <c r="AJ605" i="1" l="1"/>
  <c r="AJ636" i="1" s="1"/>
  <c r="AI606" i="1"/>
  <c r="AI637" i="1" s="1"/>
  <c r="AI640" i="1" s="1"/>
  <c r="AI661" i="1" s="1"/>
  <c r="AI663" i="1" s="1"/>
  <c r="AH661" i="1"/>
  <c r="AH663" i="1" s="1"/>
  <c r="V668" i="1"/>
  <c r="V669" i="1" s="1"/>
  <c r="V670" i="1" s="1"/>
  <c r="V674" i="1" s="1"/>
  <c r="V686" i="1" s="1"/>
  <c r="V687" i="1" s="1"/>
  <c r="T707" i="1"/>
  <c r="T709" i="1" s="1"/>
  <c r="T25" i="12" s="1"/>
  <c r="T715" i="1"/>
  <c r="T716" i="1" s="1"/>
  <c r="U674" i="1"/>
  <c r="S33" i="7"/>
  <c r="S282" i="12"/>
  <c r="F206" i="1"/>
  <c r="K208" i="1" s="1"/>
  <c r="AI685" i="1" l="1"/>
  <c r="AJ606" i="1"/>
  <c r="AJ637" i="1" s="1"/>
  <c r="AJ640" i="1" s="1"/>
  <c r="AJ661" i="1" s="1"/>
  <c r="AJ663" i="1" s="1"/>
  <c r="AK605" i="1"/>
  <c r="AK636" i="1" s="1"/>
  <c r="V671" i="1"/>
  <c r="W666" i="1" s="1"/>
  <c r="W668" i="1" s="1"/>
  <c r="W669" i="1" s="1"/>
  <c r="W670" i="1" s="1"/>
  <c r="W674" i="1" s="1"/>
  <c r="W686" i="1" s="1"/>
  <c r="W687" i="1" s="1"/>
  <c r="U686" i="1"/>
  <c r="U687" i="1" s="1"/>
  <c r="T717" i="1"/>
  <c r="T126" i="12"/>
  <c r="T742" i="1"/>
  <c r="T758" i="1" s="1"/>
  <c r="T784" i="1"/>
  <c r="V707" i="1"/>
  <c r="V709" i="1" s="1"/>
  <c r="V25" i="12" s="1"/>
  <c r="V126" i="12" s="1"/>
  <c r="V715" i="1"/>
  <c r="V716" i="1" s="1"/>
  <c r="L208" i="1"/>
  <c r="M208" i="1"/>
  <c r="AL605" i="1" l="1"/>
  <c r="AL636" i="1" s="1"/>
  <c r="AK606" i="1"/>
  <c r="AK637" i="1" s="1"/>
  <c r="AK640" i="1" s="1"/>
  <c r="AK685" i="1" s="1"/>
  <c r="AJ685" i="1"/>
  <c r="W671" i="1"/>
  <c r="X666" i="1" s="1"/>
  <c r="X668" i="1" s="1"/>
  <c r="X669" i="1" s="1"/>
  <c r="X670" i="1" s="1"/>
  <c r="X674" i="1" s="1"/>
  <c r="X686" i="1" s="1"/>
  <c r="X687" i="1" s="1"/>
  <c r="T214" i="12"/>
  <c r="T227" i="12" s="1"/>
  <c r="T181" i="12"/>
  <c r="V214" i="12"/>
  <c r="V227" i="12" s="1"/>
  <c r="V282" i="12" s="1"/>
  <c r="V181" i="12"/>
  <c r="T21" i="7"/>
  <c r="V742" i="1"/>
  <c r="V758" i="1" s="1"/>
  <c r="V21" i="7" s="1"/>
  <c r="V33" i="7" s="1"/>
  <c r="V784" i="1"/>
  <c r="W715" i="1"/>
  <c r="W716" i="1" s="1"/>
  <c r="W707" i="1"/>
  <c r="W709" i="1" s="1"/>
  <c r="W25" i="12" s="1"/>
  <c r="W126" i="12" s="1"/>
  <c r="U707" i="1"/>
  <c r="U709" i="1" s="1"/>
  <c r="U25" i="12" s="1"/>
  <c r="U715" i="1"/>
  <c r="U716" i="1" s="1"/>
  <c r="N208" i="1"/>
  <c r="AL606" i="1" l="1"/>
  <c r="AL637" i="1" s="1"/>
  <c r="AL640" i="1" s="1"/>
  <c r="AL661" i="1" s="1"/>
  <c r="AL663" i="1" s="1"/>
  <c r="AM605" i="1"/>
  <c r="AM636" i="1" s="1"/>
  <c r="AK661" i="1"/>
  <c r="AK663" i="1" s="1"/>
  <c r="X671" i="1"/>
  <c r="Y666" i="1" s="1"/>
  <c r="Y668" i="1" s="1"/>
  <c r="Y669" i="1" s="1"/>
  <c r="Y670" i="1" s="1"/>
  <c r="Y674" i="1" s="1"/>
  <c r="Y686" i="1" s="1"/>
  <c r="Y687" i="1" s="1"/>
  <c r="U742" i="1"/>
  <c r="U758" i="1" s="1"/>
  <c r="U784" i="1"/>
  <c r="W742" i="1"/>
  <c r="W758" i="1" s="1"/>
  <c r="W21" i="7" s="1"/>
  <c r="W33" i="7" s="1"/>
  <c r="W784" i="1"/>
  <c r="T33" i="7"/>
  <c r="X707" i="1"/>
  <c r="X709" i="1" s="1"/>
  <c r="X25" i="12" s="1"/>
  <c r="X126" i="12" s="1"/>
  <c r="X715" i="1"/>
  <c r="X716" i="1" s="1"/>
  <c r="W181" i="12"/>
  <c r="W214" i="12"/>
  <c r="W227" i="12" s="1"/>
  <c r="W282" i="12" s="1"/>
  <c r="U126" i="12"/>
  <c r="T282" i="12"/>
  <c r="U717" i="1"/>
  <c r="V717" i="1" s="1"/>
  <c r="W717" i="1" s="1"/>
  <c r="O208" i="1"/>
  <c r="AL685" i="1" l="1"/>
  <c r="AN605" i="1"/>
  <c r="AN636" i="1" s="1"/>
  <c r="AM606" i="1"/>
  <c r="AM637" i="1" s="1"/>
  <c r="AM640" i="1" s="1"/>
  <c r="AM661" i="1" s="1"/>
  <c r="AM663" i="1" s="1"/>
  <c r="Y671" i="1"/>
  <c r="Z666" i="1" s="1"/>
  <c r="Z668" i="1" s="1"/>
  <c r="Z669" i="1" s="1"/>
  <c r="Z670" i="1" s="1"/>
  <c r="Z674" i="1" s="1"/>
  <c r="Z686" i="1" s="1"/>
  <c r="Z687" i="1" s="1"/>
  <c r="X214" i="12"/>
  <c r="X227" i="12" s="1"/>
  <c r="X282" i="12" s="1"/>
  <c r="X181" i="12"/>
  <c r="X717" i="1"/>
  <c r="X742" i="1"/>
  <c r="X758" i="1" s="1"/>
  <c r="X21" i="7" s="1"/>
  <c r="X33" i="7" s="1"/>
  <c r="X784" i="1"/>
  <c r="U214" i="12"/>
  <c r="U227" i="12" s="1"/>
  <c r="U181" i="12"/>
  <c r="Y707" i="1"/>
  <c r="Y709" i="1" s="1"/>
  <c r="Y25" i="12" s="1"/>
  <c r="Y126" i="12" s="1"/>
  <c r="Y715" i="1"/>
  <c r="Y716" i="1" s="1"/>
  <c r="U21" i="7"/>
  <c r="P208" i="1"/>
  <c r="AM685" i="1" l="1"/>
  <c r="AO605" i="1"/>
  <c r="AO636" i="1" s="1"/>
  <c r="AN606" i="1"/>
  <c r="AN637" i="1" s="1"/>
  <c r="AN640" i="1" s="1"/>
  <c r="AN685" i="1" s="1"/>
  <c r="Z671" i="1"/>
  <c r="AA666" i="1" s="1"/>
  <c r="AA668" i="1" s="1"/>
  <c r="AA669" i="1" s="1"/>
  <c r="AA670" i="1" s="1"/>
  <c r="Y717" i="1"/>
  <c r="Z707" i="1"/>
  <c r="Z709" i="1" s="1"/>
  <c r="Z25" i="12" s="1"/>
  <c r="Z126" i="12" s="1"/>
  <c r="Z715" i="1"/>
  <c r="Z716" i="1" s="1"/>
  <c r="Y214" i="12"/>
  <c r="Y227" i="12" s="1"/>
  <c r="Y282" i="12" s="1"/>
  <c r="Y181" i="12"/>
  <c r="U282" i="12"/>
  <c r="U33" i="7"/>
  <c r="Y742" i="1"/>
  <c r="Y758" i="1" s="1"/>
  <c r="Y21" i="7" s="1"/>
  <c r="Y33" i="7" s="1"/>
  <c r="Y784" i="1"/>
  <c r="Q208" i="1"/>
  <c r="AP605" i="1" l="1"/>
  <c r="AP636" i="1" s="1"/>
  <c r="AO606" i="1"/>
  <c r="AO637" i="1" s="1"/>
  <c r="AO640" i="1" s="1"/>
  <c r="AO685" i="1" s="1"/>
  <c r="AN661" i="1"/>
  <c r="AN663" i="1" s="1"/>
  <c r="Z717" i="1"/>
  <c r="Z181" i="12"/>
  <c r="Z214" i="12"/>
  <c r="Z227" i="12" s="1"/>
  <c r="Z282" i="12" s="1"/>
  <c r="Z742" i="1"/>
  <c r="Z758" i="1" s="1"/>
  <c r="Z21" i="7" s="1"/>
  <c r="Z33" i="7" s="1"/>
  <c r="Z784" i="1"/>
  <c r="AA671" i="1"/>
  <c r="AB666" i="1" s="1"/>
  <c r="AB668" i="1" s="1"/>
  <c r="AB669" i="1" s="1"/>
  <c r="AB670" i="1" s="1"/>
  <c r="AA674" i="1"/>
  <c r="AA686" i="1" s="1"/>
  <c r="AA687" i="1" s="1"/>
  <c r="R208" i="1"/>
  <c r="AQ605" i="1" l="1"/>
  <c r="AQ636" i="1" s="1"/>
  <c r="AO661" i="1"/>
  <c r="AO663" i="1" s="1"/>
  <c r="AP606" i="1"/>
  <c r="AP637" i="1" s="1"/>
  <c r="AP640" i="1" s="1"/>
  <c r="AP661" i="1" s="1"/>
  <c r="AP663" i="1" s="1"/>
  <c r="AB671" i="1"/>
  <c r="AC666" i="1" s="1"/>
  <c r="AB674" i="1"/>
  <c r="AB686" i="1" s="1"/>
  <c r="AB687" i="1" s="1"/>
  <c r="AA715" i="1"/>
  <c r="AA716" i="1" s="1"/>
  <c r="AA707" i="1"/>
  <c r="AA709" i="1" s="1"/>
  <c r="AA25" i="12" s="1"/>
  <c r="AA126" i="12" s="1"/>
  <c r="S208" i="1"/>
  <c r="T208" i="1"/>
  <c r="AQ606" i="1" l="1"/>
  <c r="AQ637" i="1" s="1"/>
  <c r="AQ640" i="1" s="1"/>
  <c r="AQ661" i="1" s="1"/>
  <c r="AQ663" i="1" s="1"/>
  <c r="AR605" i="1"/>
  <c r="AR636" i="1" s="1"/>
  <c r="AP685" i="1"/>
  <c r="AA742" i="1"/>
  <c r="AA758" i="1" s="1"/>
  <c r="AA21" i="7" s="1"/>
  <c r="AA33" i="7" s="1"/>
  <c r="AA784" i="1"/>
  <c r="AA717" i="1"/>
  <c r="AB707" i="1"/>
  <c r="AB709" i="1" s="1"/>
  <c r="AB25" i="12" s="1"/>
  <c r="AB126" i="12" s="1"/>
  <c r="AB715" i="1"/>
  <c r="AB716" i="1" s="1"/>
  <c r="AC668" i="1"/>
  <c r="AC669" i="1" s="1"/>
  <c r="AC670" i="1" s="1"/>
  <c r="AC674" i="1" s="1"/>
  <c r="AC686" i="1" s="1"/>
  <c r="AC687" i="1" s="1"/>
  <c r="AA181" i="12"/>
  <c r="AA214" i="12"/>
  <c r="AA227" i="12" s="1"/>
  <c r="AA282" i="12" s="1"/>
  <c r="U208" i="1"/>
  <c r="AS605" i="1" l="1"/>
  <c r="AS636" i="1" s="1"/>
  <c r="AR606" i="1"/>
  <c r="AR637" i="1" s="1"/>
  <c r="AR640" i="1" s="1"/>
  <c r="AR661" i="1" s="1"/>
  <c r="AR663" i="1" s="1"/>
  <c r="AQ685" i="1"/>
  <c r="AC671" i="1"/>
  <c r="AD666" i="1" s="1"/>
  <c r="AD668" i="1" s="1"/>
  <c r="AD669" i="1" s="1"/>
  <c r="AD670" i="1" s="1"/>
  <c r="AD674" i="1" s="1"/>
  <c r="AD686" i="1" s="1"/>
  <c r="AD687" i="1" s="1"/>
  <c r="AB181" i="12"/>
  <c r="AB214" i="12"/>
  <c r="AB227" i="12" s="1"/>
  <c r="AB282" i="12" s="1"/>
  <c r="AB742" i="1"/>
  <c r="AB758" i="1" s="1"/>
  <c r="AB21" i="7" s="1"/>
  <c r="AB33" i="7" s="1"/>
  <c r="AB784" i="1"/>
  <c r="AC707" i="1"/>
  <c r="AC709" i="1" s="1"/>
  <c r="AC25" i="12" s="1"/>
  <c r="AC126" i="12" s="1"/>
  <c r="AC715" i="1"/>
  <c r="AC716" i="1" s="1"/>
  <c r="AB717" i="1"/>
  <c r="AS606" i="1"/>
  <c r="AS637" i="1" s="1"/>
  <c r="AS640" i="1" s="1"/>
  <c r="AT605" i="1"/>
  <c r="AT636" i="1" s="1"/>
  <c r="V208" i="1"/>
  <c r="AR685" i="1" l="1"/>
  <c r="AD671" i="1"/>
  <c r="AE666" i="1" s="1"/>
  <c r="AE668" i="1" s="1"/>
  <c r="AE669" i="1" s="1"/>
  <c r="AE670" i="1" s="1"/>
  <c r="AE674" i="1" s="1"/>
  <c r="AE686" i="1" s="1"/>
  <c r="AE687" i="1" s="1"/>
  <c r="AS661" i="1"/>
  <c r="AS663" i="1" s="1"/>
  <c r="AS685" i="1"/>
  <c r="AC181" i="12"/>
  <c r="AC214" i="12"/>
  <c r="AC227" i="12" s="1"/>
  <c r="AC282" i="12" s="1"/>
  <c r="AD715" i="1"/>
  <c r="AD716" i="1" s="1"/>
  <c r="AD707" i="1"/>
  <c r="AD709" i="1" s="1"/>
  <c r="AD25" i="12" s="1"/>
  <c r="AD126" i="12" s="1"/>
  <c r="AC742" i="1"/>
  <c r="AC758" i="1" s="1"/>
  <c r="AC21" i="7" s="1"/>
  <c r="AC33" i="7" s="1"/>
  <c r="AC784" i="1"/>
  <c r="AC717" i="1"/>
  <c r="AT606" i="1"/>
  <c r="AT637" i="1" s="1"/>
  <c r="AT640" i="1" s="1"/>
  <c r="AU605" i="1"/>
  <c r="AU636" i="1" s="1"/>
  <c r="W208" i="1"/>
  <c r="AT661" i="1" l="1"/>
  <c r="AT663" i="1" s="1"/>
  <c r="AT685" i="1"/>
  <c r="AE671" i="1"/>
  <c r="AF666" i="1" s="1"/>
  <c r="AF668" i="1" s="1"/>
  <c r="AF669" i="1" s="1"/>
  <c r="AF670" i="1" s="1"/>
  <c r="AF674" i="1" s="1"/>
  <c r="AF686" i="1" s="1"/>
  <c r="AF687" i="1" s="1"/>
  <c r="AD181" i="12"/>
  <c r="AD214" i="12"/>
  <c r="AD227" i="12" s="1"/>
  <c r="AD282" i="12" s="1"/>
  <c r="AD742" i="1"/>
  <c r="AD758" i="1" s="1"/>
  <c r="AD21" i="7" s="1"/>
  <c r="AD33" i="7" s="1"/>
  <c r="AD784" i="1"/>
  <c r="AE715" i="1"/>
  <c r="AE716" i="1" s="1"/>
  <c r="AE707" i="1"/>
  <c r="AE709" i="1" s="1"/>
  <c r="AE25" i="12" s="1"/>
  <c r="AE126" i="12" s="1"/>
  <c r="AD717" i="1"/>
  <c r="AU606" i="1"/>
  <c r="AU637" i="1" s="1"/>
  <c r="AU640" i="1" s="1"/>
  <c r="AV605" i="1"/>
  <c r="AV636" i="1" s="1"/>
  <c r="X208" i="1"/>
  <c r="AU661" i="1" l="1"/>
  <c r="AU663" i="1" s="1"/>
  <c r="AU685" i="1"/>
  <c r="AF671" i="1"/>
  <c r="AG666" i="1" s="1"/>
  <c r="AG668" i="1" s="1"/>
  <c r="AG669" i="1" s="1"/>
  <c r="AG670" i="1" s="1"/>
  <c r="AG674" i="1" s="1"/>
  <c r="AG686" i="1" s="1"/>
  <c r="AG687" i="1" s="1"/>
  <c r="AE717" i="1"/>
  <c r="AF707" i="1"/>
  <c r="AF709" i="1" s="1"/>
  <c r="AF25" i="12" s="1"/>
  <c r="AF126" i="12" s="1"/>
  <c r="AF715" i="1"/>
  <c r="AF716" i="1" s="1"/>
  <c r="AE214" i="12"/>
  <c r="AE227" i="12" s="1"/>
  <c r="AE282" i="12" s="1"/>
  <c r="AE181" i="12"/>
  <c r="AE742" i="1"/>
  <c r="AE758" i="1" s="1"/>
  <c r="AE21" i="7" s="1"/>
  <c r="AE33" i="7" s="1"/>
  <c r="AE784" i="1"/>
  <c r="AV606" i="1"/>
  <c r="AV637" i="1" s="1"/>
  <c r="AV640" i="1" s="1"/>
  <c r="AW605" i="1"/>
  <c r="AW636" i="1" s="1"/>
  <c r="Y208" i="1"/>
  <c r="AV661" i="1" l="1"/>
  <c r="AV663" i="1" s="1"/>
  <c r="AV685" i="1"/>
  <c r="AG707" i="1"/>
  <c r="AG709" i="1" s="1"/>
  <c r="AG25" i="12" s="1"/>
  <c r="AG126" i="12" s="1"/>
  <c r="AG715" i="1"/>
  <c r="AG716" i="1" s="1"/>
  <c r="AF742" i="1"/>
  <c r="AF758" i="1" s="1"/>
  <c r="AF21" i="7" s="1"/>
  <c r="AF33" i="7" s="1"/>
  <c r="AF784" i="1"/>
  <c r="AF722" i="1"/>
  <c r="AF181" i="12"/>
  <c r="AF214" i="12"/>
  <c r="AF227" i="12" s="1"/>
  <c r="AF282" i="12" s="1"/>
  <c r="AG671" i="1"/>
  <c r="AH666" i="1" s="1"/>
  <c r="AF717" i="1"/>
  <c r="AW606" i="1"/>
  <c r="AW637" i="1" s="1"/>
  <c r="AW640" i="1" s="1"/>
  <c r="AX605" i="1"/>
  <c r="AX636" i="1" s="1"/>
  <c r="Z208" i="1"/>
  <c r="AW685" i="1" l="1"/>
  <c r="AW661" i="1"/>
  <c r="AW663" i="1" s="1"/>
  <c r="AH668" i="1"/>
  <c r="AH669" i="1" s="1"/>
  <c r="AH670" i="1" s="1"/>
  <c r="AH674" i="1" s="1"/>
  <c r="AH686" i="1" s="1"/>
  <c r="AH687" i="1" s="1"/>
  <c r="AG717" i="1"/>
  <c r="AG722" i="1"/>
  <c r="AG742" i="1"/>
  <c r="AG758" i="1" s="1"/>
  <c r="AG21" i="7" s="1"/>
  <c r="AG33" i="7" s="1"/>
  <c r="AG784" i="1"/>
  <c r="AG181" i="12"/>
  <c r="AG214" i="12"/>
  <c r="AG227" i="12" s="1"/>
  <c r="AG282" i="12" s="1"/>
  <c r="AX606" i="1"/>
  <c r="AX637" i="1" s="1"/>
  <c r="I605" i="1"/>
  <c r="I636" i="1" s="1"/>
  <c r="AA208" i="1"/>
  <c r="AH671" i="1" l="1"/>
  <c r="AI666" i="1" s="1"/>
  <c r="AI668" i="1" s="1"/>
  <c r="AI669" i="1" s="1"/>
  <c r="AI670" i="1" s="1"/>
  <c r="AI674" i="1" s="1"/>
  <c r="AI686" i="1" s="1"/>
  <c r="AI687" i="1" s="1"/>
  <c r="AX640" i="1"/>
  <c r="AH707" i="1"/>
  <c r="AH709" i="1" s="1"/>
  <c r="AH25" i="12" s="1"/>
  <c r="AH126" i="12" s="1"/>
  <c r="AH715" i="1"/>
  <c r="AH716" i="1" s="1"/>
  <c r="I606" i="1"/>
  <c r="I637" i="1" s="1"/>
  <c r="F608" i="1"/>
  <c r="F801" i="1" s="1"/>
  <c r="AB208" i="1"/>
  <c r="AI671" i="1" l="1"/>
  <c r="AJ666" i="1" s="1"/>
  <c r="AJ668" i="1" s="1"/>
  <c r="AJ669" i="1" s="1"/>
  <c r="AJ670" i="1" s="1"/>
  <c r="AJ674" i="1" s="1"/>
  <c r="AJ686" i="1" s="1"/>
  <c r="AJ687" i="1" s="1"/>
  <c r="AH181" i="12"/>
  <c r="AH214" i="12"/>
  <c r="AH227" i="12" s="1"/>
  <c r="AH282" i="12" s="1"/>
  <c r="AH717" i="1"/>
  <c r="AH722" i="1"/>
  <c r="AH742" i="1"/>
  <c r="AH758" i="1" s="1"/>
  <c r="AH21" i="7" s="1"/>
  <c r="AH33" i="7" s="1"/>
  <c r="AH784" i="1"/>
  <c r="AX661" i="1"/>
  <c r="AX663" i="1" s="1"/>
  <c r="I663" i="1" s="1"/>
  <c r="AX685" i="1"/>
  <c r="I640" i="1"/>
  <c r="AI707" i="1"/>
  <c r="AI709" i="1" s="1"/>
  <c r="AI25" i="12" s="1"/>
  <c r="AI126" i="12" s="1"/>
  <c r="AI715" i="1"/>
  <c r="AI716" i="1" s="1"/>
  <c r="AC208" i="1"/>
  <c r="AJ671" i="1" l="1"/>
  <c r="AK666" i="1" s="1"/>
  <c r="AK668" i="1" s="1"/>
  <c r="AK669" i="1" s="1"/>
  <c r="AK670" i="1" s="1"/>
  <c r="AK674" i="1" s="1"/>
  <c r="AK686" i="1" s="1"/>
  <c r="AK687" i="1" s="1"/>
  <c r="AJ715" i="1"/>
  <c r="AJ716" i="1" s="1"/>
  <c r="AJ707" i="1"/>
  <c r="AJ709" i="1" s="1"/>
  <c r="AJ25" i="12" s="1"/>
  <c r="AJ126" i="12" s="1"/>
  <c r="AI717" i="1"/>
  <c r="AI722" i="1"/>
  <c r="AI742" i="1"/>
  <c r="AI758" i="1" s="1"/>
  <c r="AI21" i="7" s="1"/>
  <c r="AI33" i="7" s="1"/>
  <c r="AI784" i="1"/>
  <c r="I661" i="1"/>
  <c r="I685" i="1"/>
  <c r="AI214" i="12"/>
  <c r="AI227" i="12" s="1"/>
  <c r="AI282" i="12" s="1"/>
  <c r="AI181" i="12"/>
  <c r="AD208" i="1"/>
  <c r="AJ214" i="12" l="1"/>
  <c r="AJ227" i="12" s="1"/>
  <c r="AJ282" i="12" s="1"/>
  <c r="AJ181" i="12"/>
  <c r="AK671" i="1"/>
  <c r="AL666" i="1" s="1"/>
  <c r="AJ742" i="1"/>
  <c r="AJ758" i="1" s="1"/>
  <c r="AJ21" i="7" s="1"/>
  <c r="AJ33" i="7" s="1"/>
  <c r="AJ784" i="1"/>
  <c r="AK707" i="1"/>
  <c r="AK709" i="1" s="1"/>
  <c r="AK25" i="12" s="1"/>
  <c r="AK126" i="12" s="1"/>
  <c r="AK715" i="1"/>
  <c r="AK716" i="1" s="1"/>
  <c r="AJ717" i="1"/>
  <c r="AJ722" i="1"/>
  <c r="AE208" i="1"/>
  <c r="AK214" i="12" l="1"/>
  <c r="AK227" i="12" s="1"/>
  <c r="AK282" i="12" s="1"/>
  <c r="AK181" i="12"/>
  <c r="AK717" i="1"/>
  <c r="AK722" i="1"/>
  <c r="AK742" i="1"/>
  <c r="AK758" i="1" s="1"/>
  <c r="AK21" i="7" s="1"/>
  <c r="AK33" i="7" s="1"/>
  <c r="AK784" i="1"/>
  <c r="AL668" i="1"/>
  <c r="AL669" i="1" s="1"/>
  <c r="AL670" i="1" s="1"/>
  <c r="AL674" i="1" s="1"/>
  <c r="AL686" i="1" s="1"/>
  <c r="AL687" i="1" s="1"/>
  <c r="AF208" i="1"/>
  <c r="AL707" i="1" l="1"/>
  <c r="AL709" i="1" s="1"/>
  <c r="AL25" i="12" s="1"/>
  <c r="AL126" i="12" s="1"/>
  <c r="AL715" i="1"/>
  <c r="AL716" i="1" s="1"/>
  <c r="AL671" i="1"/>
  <c r="AM666" i="1" s="1"/>
  <c r="AH208" i="1"/>
  <c r="AG208" i="1"/>
  <c r="AM668" i="1" l="1"/>
  <c r="AM669" i="1" s="1"/>
  <c r="AM670" i="1" s="1"/>
  <c r="AM674" i="1" s="1"/>
  <c r="AM686" i="1" s="1"/>
  <c r="AM687" i="1" s="1"/>
  <c r="AL717" i="1"/>
  <c r="AL722" i="1"/>
  <c r="AL742" i="1"/>
  <c r="AL758" i="1" s="1"/>
  <c r="AL21" i="7" s="1"/>
  <c r="AL33" i="7" s="1"/>
  <c r="AL784" i="1"/>
  <c r="AL214" i="12"/>
  <c r="AL227" i="12" s="1"/>
  <c r="AL282" i="12" s="1"/>
  <c r="AL181" i="12"/>
  <c r="AI208" i="1"/>
  <c r="AJ208" i="1"/>
  <c r="AM671" i="1" l="1"/>
  <c r="AN666" i="1" s="1"/>
  <c r="AN668" i="1" s="1"/>
  <c r="AN669" i="1" s="1"/>
  <c r="AN670" i="1" s="1"/>
  <c r="AM715" i="1"/>
  <c r="AM716" i="1" s="1"/>
  <c r="AM707" i="1"/>
  <c r="AM709" i="1" s="1"/>
  <c r="AM25" i="12" s="1"/>
  <c r="AM126" i="12" s="1"/>
  <c r="AK208" i="1"/>
  <c r="AM214" i="12" l="1"/>
  <c r="AM227" i="12" s="1"/>
  <c r="AM282" i="12" s="1"/>
  <c r="AM181" i="12"/>
  <c r="AN671" i="1"/>
  <c r="AO666" i="1" s="1"/>
  <c r="AN674" i="1"/>
  <c r="AN686" i="1" s="1"/>
  <c r="AN687" i="1" s="1"/>
  <c r="AM742" i="1"/>
  <c r="AM758" i="1" s="1"/>
  <c r="AM21" i="7" s="1"/>
  <c r="AM33" i="7" s="1"/>
  <c r="AM784" i="1"/>
  <c r="AM722" i="1"/>
  <c r="AM717" i="1"/>
  <c r="AL208" i="1"/>
  <c r="AN707" i="1" l="1"/>
  <c r="AN709" i="1" s="1"/>
  <c r="AN25" i="12" s="1"/>
  <c r="AN126" i="12" s="1"/>
  <c r="AN715" i="1"/>
  <c r="AN716" i="1" s="1"/>
  <c r="AO668" i="1"/>
  <c r="AO669" i="1" s="1"/>
  <c r="AO670" i="1" s="1"/>
  <c r="AO674" i="1" s="1"/>
  <c r="AO686" i="1" s="1"/>
  <c r="AO687" i="1" s="1"/>
  <c r="AM208" i="1"/>
  <c r="AO671" i="1" l="1"/>
  <c r="AP666" i="1" s="1"/>
  <c r="AP668" i="1" s="1"/>
  <c r="AP669" i="1" s="1"/>
  <c r="AP670" i="1" s="1"/>
  <c r="AP674" i="1" s="1"/>
  <c r="AP686" i="1" s="1"/>
  <c r="AP687" i="1" s="1"/>
  <c r="AN717" i="1"/>
  <c r="AN722" i="1"/>
  <c r="AN742" i="1"/>
  <c r="AN758" i="1" s="1"/>
  <c r="AN21" i="7" s="1"/>
  <c r="AN33" i="7" s="1"/>
  <c r="AN784" i="1"/>
  <c r="AO707" i="1"/>
  <c r="AO709" i="1" s="1"/>
  <c r="AO25" i="12" s="1"/>
  <c r="AO126" i="12" s="1"/>
  <c r="AO715" i="1"/>
  <c r="AO716" i="1" s="1"/>
  <c r="AN181" i="12"/>
  <c r="AN214" i="12"/>
  <c r="AN227" i="12" s="1"/>
  <c r="AN282" i="12" s="1"/>
  <c r="AN208" i="1"/>
  <c r="AP671" i="1" l="1"/>
  <c r="AQ666" i="1" s="1"/>
  <c r="AQ668" i="1" s="1"/>
  <c r="AQ669" i="1" s="1"/>
  <c r="AQ670" i="1" s="1"/>
  <c r="AQ674" i="1" s="1"/>
  <c r="AQ686" i="1" s="1"/>
  <c r="AQ687" i="1" s="1"/>
  <c r="AP707" i="1"/>
  <c r="AP709" i="1" s="1"/>
  <c r="AP25" i="12" s="1"/>
  <c r="AP126" i="12" s="1"/>
  <c r="AP715" i="1"/>
  <c r="AP716" i="1" s="1"/>
  <c r="AO717" i="1"/>
  <c r="AO722" i="1"/>
  <c r="AO214" i="12"/>
  <c r="AO227" i="12" s="1"/>
  <c r="AO282" i="12" s="1"/>
  <c r="AO181" i="12"/>
  <c r="AO742" i="1"/>
  <c r="AO758" i="1" s="1"/>
  <c r="AO21" i="7" s="1"/>
  <c r="AO33" i="7" s="1"/>
  <c r="AO784" i="1"/>
  <c r="AO208" i="1"/>
  <c r="AQ671" i="1" l="1"/>
  <c r="AR666" i="1" s="1"/>
  <c r="AR668" i="1" s="1"/>
  <c r="AR669" i="1" s="1"/>
  <c r="AR670" i="1" s="1"/>
  <c r="AR674" i="1" s="1"/>
  <c r="AR686" i="1" s="1"/>
  <c r="AR687" i="1" s="1"/>
  <c r="AQ707" i="1"/>
  <c r="AQ709" i="1" s="1"/>
  <c r="AQ25" i="12" s="1"/>
  <c r="AQ126" i="12" s="1"/>
  <c r="AQ715" i="1"/>
  <c r="AQ716" i="1" s="1"/>
  <c r="AP214" i="12"/>
  <c r="AP227" i="12" s="1"/>
  <c r="AP282" i="12" s="1"/>
  <c r="AP181" i="12"/>
  <c r="AP717" i="1"/>
  <c r="AP722" i="1"/>
  <c r="AP742" i="1"/>
  <c r="AP758" i="1" s="1"/>
  <c r="AP21" i="7" s="1"/>
  <c r="AP33" i="7" s="1"/>
  <c r="AP784" i="1"/>
  <c r="AP208" i="1"/>
  <c r="AR671" i="1" l="1"/>
  <c r="AS666" i="1" s="1"/>
  <c r="AR715" i="1"/>
  <c r="AR716" i="1" s="1"/>
  <c r="AR707" i="1"/>
  <c r="AR709" i="1" s="1"/>
  <c r="AR25" i="12" s="1"/>
  <c r="AR126" i="12" s="1"/>
  <c r="AQ722" i="1"/>
  <c r="AQ742" i="1"/>
  <c r="AQ758" i="1" s="1"/>
  <c r="AQ21" i="7" s="1"/>
  <c r="AQ33" i="7" s="1"/>
  <c r="AQ784" i="1"/>
  <c r="AQ717" i="1"/>
  <c r="AQ214" i="12"/>
  <c r="AQ227" i="12" s="1"/>
  <c r="AQ282" i="12" s="1"/>
  <c r="AQ181" i="12"/>
  <c r="AQ208" i="1"/>
  <c r="AR214" i="12" l="1"/>
  <c r="AR227" i="12" s="1"/>
  <c r="AR282" i="12" s="1"/>
  <c r="AR181" i="12"/>
  <c r="AR742" i="1"/>
  <c r="AR758" i="1" s="1"/>
  <c r="AR21" i="7" s="1"/>
  <c r="AR33" i="7" s="1"/>
  <c r="AR784" i="1"/>
  <c r="AR722" i="1"/>
  <c r="AR717" i="1"/>
  <c r="AS668" i="1"/>
  <c r="AS669" i="1" s="1"/>
  <c r="AS670" i="1" s="1"/>
  <c r="AS674" i="1" s="1"/>
  <c r="AS686" i="1" s="1"/>
  <c r="AS687" i="1" s="1"/>
  <c r="AR208" i="1"/>
  <c r="AS707" i="1" l="1"/>
  <c r="AS709" i="1" s="1"/>
  <c r="AS25" i="12" s="1"/>
  <c r="AS126" i="12" s="1"/>
  <c r="AS715" i="1"/>
  <c r="AS716" i="1" s="1"/>
  <c r="AS717" i="1" s="1"/>
  <c r="AS671" i="1"/>
  <c r="AT666" i="1" s="1"/>
  <c r="AS208" i="1"/>
  <c r="AT668" i="1" l="1"/>
  <c r="AT669" i="1" s="1"/>
  <c r="AT670" i="1" s="1"/>
  <c r="AT674" i="1" s="1"/>
  <c r="AT686" i="1" s="1"/>
  <c r="AT687" i="1" s="1"/>
  <c r="AS722" i="1"/>
  <c r="AS214" i="12"/>
  <c r="AS227" i="12" s="1"/>
  <c r="AS282" i="12" s="1"/>
  <c r="AS181" i="12"/>
  <c r="AS742" i="1"/>
  <c r="AS758" i="1" s="1"/>
  <c r="AS21" i="7" s="1"/>
  <c r="AS33" i="7" s="1"/>
  <c r="AS784" i="1"/>
  <c r="AT208" i="1"/>
  <c r="AT671" i="1" l="1"/>
  <c r="AU666" i="1" s="1"/>
  <c r="AU668" i="1" s="1"/>
  <c r="AU669" i="1" s="1"/>
  <c r="AU670" i="1" s="1"/>
  <c r="AU674" i="1" s="1"/>
  <c r="AU686" i="1" s="1"/>
  <c r="AU687" i="1" s="1"/>
  <c r="AT715" i="1"/>
  <c r="AT716" i="1" s="1"/>
  <c r="AT707" i="1"/>
  <c r="AT709" i="1" s="1"/>
  <c r="AT25" i="12" s="1"/>
  <c r="AT126" i="12" s="1"/>
  <c r="AU208" i="1"/>
  <c r="AU671" i="1" l="1"/>
  <c r="AV666" i="1" s="1"/>
  <c r="AV668" i="1" s="1"/>
  <c r="AV669" i="1" s="1"/>
  <c r="AV670" i="1" s="1"/>
  <c r="AV674" i="1" s="1"/>
  <c r="AV686" i="1" s="1"/>
  <c r="AV687" i="1" s="1"/>
  <c r="AT181" i="12"/>
  <c r="AT214" i="12"/>
  <c r="AT227" i="12" s="1"/>
  <c r="AT282" i="12" s="1"/>
  <c r="AT742" i="1"/>
  <c r="AT758" i="1" s="1"/>
  <c r="AT21" i="7" s="1"/>
  <c r="AT33" i="7" s="1"/>
  <c r="AT784" i="1"/>
  <c r="AT722" i="1"/>
  <c r="AT717" i="1"/>
  <c r="AU707" i="1"/>
  <c r="AU709" i="1" s="1"/>
  <c r="AU25" i="12" s="1"/>
  <c r="AU126" i="12" s="1"/>
  <c r="AU715" i="1"/>
  <c r="AU716" i="1" s="1"/>
  <c r="AV208" i="1"/>
  <c r="AV671" i="1" l="1"/>
  <c r="AW666" i="1" s="1"/>
  <c r="AW668" i="1" s="1"/>
  <c r="AW669" i="1" s="1"/>
  <c r="AW670" i="1" s="1"/>
  <c r="AU722" i="1"/>
  <c r="AU214" i="12"/>
  <c r="AU227" i="12" s="1"/>
  <c r="AU282" i="12" s="1"/>
  <c r="AU181" i="12"/>
  <c r="AV715" i="1"/>
  <c r="AV716" i="1" s="1"/>
  <c r="AV707" i="1"/>
  <c r="AV709" i="1" s="1"/>
  <c r="AV25" i="12" s="1"/>
  <c r="AV126" i="12" s="1"/>
  <c r="AU742" i="1"/>
  <c r="AU758" i="1" s="1"/>
  <c r="AU21" i="7" s="1"/>
  <c r="AU33" i="7" s="1"/>
  <c r="AU784" i="1"/>
  <c r="AU717" i="1"/>
  <c r="AW208" i="1"/>
  <c r="AW674" i="1" l="1"/>
  <c r="AW686" i="1" s="1"/>
  <c r="AW687" i="1" s="1"/>
  <c r="AW715" i="1" s="1"/>
  <c r="AW716" i="1" s="1"/>
  <c r="AW671" i="1"/>
  <c r="AX666" i="1" s="1"/>
  <c r="AX668" i="1" s="1"/>
  <c r="AX669" i="1" s="1"/>
  <c r="AX670" i="1" s="1"/>
  <c r="AV722" i="1"/>
  <c r="AV717" i="1"/>
  <c r="AV181" i="12"/>
  <c r="AV214" i="12"/>
  <c r="AV227" i="12" s="1"/>
  <c r="AV282" i="12" s="1"/>
  <c r="AV742" i="1"/>
  <c r="AV758" i="1" s="1"/>
  <c r="AV21" i="7" s="1"/>
  <c r="AV33" i="7" s="1"/>
  <c r="AV784" i="1"/>
  <c r="AX208" i="1"/>
  <c r="AW707" i="1" l="1"/>
  <c r="AW709" i="1" s="1"/>
  <c r="AW25" i="12" s="1"/>
  <c r="AW126" i="12" s="1"/>
  <c r="AW181" i="12" s="1"/>
  <c r="AW717" i="1"/>
  <c r="AX674" i="1"/>
  <c r="F679" i="1"/>
  <c r="I670" i="1"/>
  <c r="AX671" i="1"/>
  <c r="F680" i="1" s="1"/>
  <c r="I668" i="1"/>
  <c r="F678" i="1"/>
  <c r="AW722" i="1"/>
  <c r="AW784" i="1" l="1"/>
  <c r="AW742" i="1"/>
  <c r="AW758" i="1" s="1"/>
  <c r="AW21" i="7" s="1"/>
  <c r="AW33" i="7" s="1"/>
  <c r="F681" i="1"/>
  <c r="F802" i="1" s="1"/>
  <c r="AW214" i="12"/>
  <c r="AW227" i="12" s="1"/>
  <c r="AW282" i="12" s="1"/>
  <c r="AX686" i="1"/>
  <c r="AX687" i="1" s="1"/>
  <c r="I674" i="1"/>
  <c r="I686" i="1" s="1"/>
  <c r="AX707" i="1" l="1"/>
  <c r="AX709" i="1" s="1"/>
  <c r="AX25" i="12" s="1"/>
  <c r="AX715" i="1"/>
  <c r="AX716" i="1" s="1"/>
  <c r="I687" i="1"/>
  <c r="I707" i="1" l="1"/>
  <c r="I715" i="1"/>
  <c r="AX126" i="12"/>
  <c r="F38" i="12"/>
  <c r="F52" i="12"/>
  <c r="AX722" i="1"/>
  <c r="F719" i="1"/>
  <c r="I716" i="1"/>
  <c r="AX717" i="1"/>
  <c r="AX784" i="1"/>
  <c r="AX742" i="1"/>
  <c r="AX758" i="1" s="1"/>
  <c r="I709" i="1"/>
  <c r="I25" i="12" s="1"/>
  <c r="AX21" i="7" l="1"/>
  <c r="I758" i="1"/>
  <c r="I21" i="7" s="1"/>
  <c r="I33" i="7" s="1"/>
  <c r="F771" i="1"/>
  <c r="O29" i="5" s="1"/>
  <c r="K721" i="1"/>
  <c r="I742" i="1"/>
  <c r="I784" i="1"/>
  <c r="AX181" i="12"/>
  <c r="F194" i="12" s="1"/>
  <c r="AX214" i="12"/>
  <c r="AX227" i="12" s="1"/>
  <c r="F139" i="12"/>
  <c r="I10" i="5" s="1"/>
  <c r="I126" i="12"/>
  <c r="I214" i="12" s="1"/>
  <c r="F158" i="12"/>
  <c r="G10" i="5" s="1"/>
  <c r="L721" i="1" l="1"/>
  <c r="K725" i="1"/>
  <c r="K10" i="5"/>
  <c r="T183" i="5"/>
  <c r="F65" i="35"/>
  <c r="J65" i="35" s="1"/>
  <c r="I65" i="35" s="1"/>
  <c r="T78" i="5"/>
  <c r="AX282" i="12"/>
  <c r="F295" i="12" s="1"/>
  <c r="L10" i="5" s="1"/>
  <c r="F240" i="12"/>
  <c r="J10" i="5" s="1"/>
  <c r="F259" i="12"/>
  <c r="H10" i="5" s="1"/>
  <c r="AX33" i="7"/>
  <c r="F68" i="7"/>
  <c r="K727" i="1" l="1"/>
  <c r="K738" i="1"/>
  <c r="L725" i="1"/>
  <c r="M721" i="1"/>
  <c r="N721" i="1" s="1"/>
  <c r="N722" i="1" l="1"/>
  <c r="N725" i="1"/>
  <c r="L727" i="1"/>
  <c r="L738" i="1"/>
  <c r="K741" i="1"/>
  <c r="K754" i="1"/>
  <c r="M725" i="1"/>
  <c r="K27" i="12"/>
  <c r="K783" i="1"/>
  <c r="O721" i="1"/>
  <c r="N727" i="1" l="1"/>
  <c r="N738" i="1"/>
  <c r="M727" i="1"/>
  <c r="M738" i="1"/>
  <c r="L741" i="1"/>
  <c r="L754" i="1"/>
  <c r="K17" i="7"/>
  <c r="K757" i="1"/>
  <c r="L27" i="12"/>
  <c r="L783" i="1"/>
  <c r="K29" i="12"/>
  <c r="K128" i="12"/>
  <c r="K743" i="1"/>
  <c r="K782" i="1"/>
  <c r="K786" i="1" s="1"/>
  <c r="K24" i="12"/>
  <c r="P721" i="1"/>
  <c r="P722" i="1" s="1"/>
  <c r="O725" i="1"/>
  <c r="K125" i="12" l="1"/>
  <c r="K26" i="12"/>
  <c r="K130" i="12"/>
  <c r="K56" i="12"/>
  <c r="K58" i="12" s="1"/>
  <c r="M741" i="1"/>
  <c r="M754" i="1"/>
  <c r="M783" i="1"/>
  <c r="M27" i="12"/>
  <c r="K788" i="1"/>
  <c r="L29" i="12"/>
  <c r="L128" i="12"/>
  <c r="L17" i="7"/>
  <c r="L30" i="7" s="1"/>
  <c r="L757" i="1"/>
  <c r="O727" i="1"/>
  <c r="O738" i="1"/>
  <c r="K20" i="7"/>
  <c r="K759" i="1"/>
  <c r="L743" i="1"/>
  <c r="L24" i="12"/>
  <c r="L782" i="1"/>
  <c r="L786" i="1" s="1"/>
  <c r="L788" i="1" s="1"/>
  <c r="L789" i="1" s="1"/>
  <c r="N741" i="1"/>
  <c r="N754" i="1"/>
  <c r="P725" i="1"/>
  <c r="Q721" i="1"/>
  <c r="K30" i="7"/>
  <c r="N27" i="12"/>
  <c r="N783" i="1"/>
  <c r="K216" i="12"/>
  <c r="K229" i="12" s="1"/>
  <c r="K183" i="12"/>
  <c r="P738" i="1" l="1"/>
  <c r="P727" i="1"/>
  <c r="K22" i="7"/>
  <c r="T99" i="5"/>
  <c r="T102" i="5" s="1"/>
  <c r="K789" i="1"/>
  <c r="K62" i="12"/>
  <c r="N24" i="12"/>
  <c r="N782" i="1"/>
  <c r="N786" i="1" s="1"/>
  <c r="N788" i="1" s="1"/>
  <c r="N789" i="1" s="1"/>
  <c r="N743" i="1"/>
  <c r="O741" i="1"/>
  <c r="O754" i="1"/>
  <c r="K185" i="12"/>
  <c r="K162" i="12"/>
  <c r="K164" i="12" s="1"/>
  <c r="K218" i="12"/>
  <c r="K231" i="12" s="1"/>
  <c r="O783" i="1"/>
  <c r="O27" i="12"/>
  <c r="M128" i="12"/>
  <c r="M29" i="12"/>
  <c r="K284" i="12"/>
  <c r="L125" i="12"/>
  <c r="L26" i="12"/>
  <c r="L20" i="7"/>
  <c r="L759" i="1"/>
  <c r="M757" i="1"/>
  <c r="M17" i="7"/>
  <c r="N757" i="1"/>
  <c r="N17" i="7"/>
  <c r="N30" i="7" s="1"/>
  <c r="N29" i="12"/>
  <c r="N128" i="12"/>
  <c r="L216" i="12"/>
  <c r="L229" i="12" s="1"/>
  <c r="L284" i="12" s="1"/>
  <c r="L183" i="12"/>
  <c r="M782" i="1"/>
  <c r="M786" i="1" s="1"/>
  <c r="M24" i="12"/>
  <c r="M743" i="1"/>
  <c r="K127" i="12"/>
  <c r="K32" i="12"/>
  <c r="Q722" i="1"/>
  <c r="Q725" i="1"/>
  <c r="R721" i="1"/>
  <c r="L56" i="12"/>
  <c r="L58" i="12" s="1"/>
  <c r="L130" i="12"/>
  <c r="K180" i="12"/>
  <c r="K213" i="12"/>
  <c r="K226" i="12" s="1"/>
  <c r="L62" i="12" l="1"/>
  <c r="M788" i="1"/>
  <c r="N759" i="1"/>
  <c r="N20" i="7"/>
  <c r="L213" i="12"/>
  <c r="L226" i="12" s="1"/>
  <c r="L281" i="12" s="1"/>
  <c r="L180" i="12"/>
  <c r="O743" i="1"/>
  <c r="O24" i="12"/>
  <c r="O782" i="1"/>
  <c r="O786" i="1" s="1"/>
  <c r="O788" i="1" s="1"/>
  <c r="O789" i="1" s="1"/>
  <c r="K33" i="12"/>
  <c r="K263" i="12"/>
  <c r="K265" i="12" s="1"/>
  <c r="K286" i="12"/>
  <c r="M30" i="7"/>
  <c r="K168" i="12"/>
  <c r="N26" i="12"/>
  <c r="N125" i="12"/>
  <c r="K182" i="12"/>
  <c r="K215" i="12"/>
  <c r="K228" i="12" s="1"/>
  <c r="K133" i="12"/>
  <c r="M20" i="7"/>
  <c r="M759" i="1"/>
  <c r="R725" i="1"/>
  <c r="R722" i="1"/>
  <c r="S721" i="1"/>
  <c r="Q727" i="1"/>
  <c r="Q738" i="1"/>
  <c r="N183" i="12"/>
  <c r="N216" i="12"/>
  <c r="N229" i="12" s="1"/>
  <c r="N284" i="12" s="1"/>
  <c r="L22" i="7"/>
  <c r="U99" i="5"/>
  <c r="U102" i="5" s="1"/>
  <c r="M130" i="12"/>
  <c r="M56" i="12"/>
  <c r="M58" i="12" s="1"/>
  <c r="P27" i="12"/>
  <c r="P783" i="1"/>
  <c r="N130" i="12"/>
  <c r="N56" i="12"/>
  <c r="M183" i="12"/>
  <c r="M216" i="12"/>
  <c r="M229" i="12" s="1"/>
  <c r="M284" i="12" s="1"/>
  <c r="P754" i="1"/>
  <c r="P741" i="1"/>
  <c r="K281" i="12"/>
  <c r="L162" i="12"/>
  <c r="L164" i="12" s="1"/>
  <c r="L218" i="12"/>
  <c r="L231" i="12" s="1"/>
  <c r="L185" i="12"/>
  <c r="M125" i="12"/>
  <c r="M26" i="12"/>
  <c r="L32" i="12"/>
  <c r="L33" i="12" s="1"/>
  <c r="L127" i="12"/>
  <c r="O128" i="12"/>
  <c r="O29" i="12"/>
  <c r="O757" i="1"/>
  <c r="O17" i="7"/>
  <c r="O30" i="7" s="1"/>
  <c r="M62" i="12" l="1"/>
  <c r="N58" i="12"/>
  <c r="N180" i="12"/>
  <c r="N213" i="12"/>
  <c r="N226" i="12" s="1"/>
  <c r="N281" i="12" s="1"/>
  <c r="M789" i="1"/>
  <c r="O183" i="12"/>
  <c r="O216" i="12"/>
  <c r="O229" i="12" s="1"/>
  <c r="O284" i="12" s="1"/>
  <c r="N32" i="12"/>
  <c r="N33" i="12" s="1"/>
  <c r="N127" i="12"/>
  <c r="K269" i="12"/>
  <c r="O125" i="12"/>
  <c r="O26" i="12"/>
  <c r="N185" i="12"/>
  <c r="N162" i="12"/>
  <c r="N218" i="12"/>
  <c r="N231" i="12" s="1"/>
  <c r="Q741" i="1"/>
  <c r="Q754" i="1"/>
  <c r="K134" i="12"/>
  <c r="L168" i="12"/>
  <c r="P29" i="12"/>
  <c r="P128" i="12"/>
  <c r="K283" i="12"/>
  <c r="K234" i="12"/>
  <c r="P782" i="1"/>
  <c r="P786" i="1" s="1"/>
  <c r="P788" i="1" s="1"/>
  <c r="P789" i="1" s="1"/>
  <c r="P24" i="12"/>
  <c r="P743" i="1"/>
  <c r="M180" i="12"/>
  <c r="M213" i="12"/>
  <c r="M226" i="12" s="1"/>
  <c r="O20" i="7"/>
  <c r="O759" i="1"/>
  <c r="M185" i="12"/>
  <c r="M162" i="12"/>
  <c r="M164" i="12" s="1"/>
  <c r="M218" i="12"/>
  <c r="M231" i="12" s="1"/>
  <c r="L215" i="12"/>
  <c r="L228" i="12" s="1"/>
  <c r="L133" i="12"/>
  <c r="L134" i="12" s="1"/>
  <c r="L182" i="12"/>
  <c r="L188" i="12" s="1"/>
  <c r="L189" i="12" s="1"/>
  <c r="V99" i="5"/>
  <c r="V102" i="5" s="1"/>
  <c r="M22" i="7"/>
  <c r="M32" i="12"/>
  <c r="M33" i="12" s="1"/>
  <c r="M127" i="12"/>
  <c r="P757" i="1"/>
  <c r="P17" i="7"/>
  <c r="P30" i="7" s="1"/>
  <c r="Q783" i="1"/>
  <c r="Q27" i="12"/>
  <c r="L286" i="12"/>
  <c r="L263" i="12"/>
  <c r="L265" i="12" s="1"/>
  <c r="O56" i="12"/>
  <c r="O130" i="12"/>
  <c r="T721" i="1"/>
  <c r="S725" i="1"/>
  <c r="S722" i="1"/>
  <c r="R727" i="1"/>
  <c r="R738" i="1"/>
  <c r="K188" i="12"/>
  <c r="W99" i="5"/>
  <c r="W102" i="5" s="1"/>
  <c r="N22" i="7"/>
  <c r="N164" i="12" l="1"/>
  <c r="M168" i="12"/>
  <c r="L269" i="12"/>
  <c r="T725" i="1"/>
  <c r="T722" i="1"/>
  <c r="U721" i="1"/>
  <c r="O22" i="7"/>
  <c r="X99" i="5"/>
  <c r="X102" i="5" s="1"/>
  <c r="P125" i="12"/>
  <c r="P26" i="12"/>
  <c r="P183" i="12"/>
  <c r="P216" i="12"/>
  <c r="P229" i="12" s="1"/>
  <c r="N263" i="12"/>
  <c r="N286" i="12"/>
  <c r="P56" i="12"/>
  <c r="P130" i="12"/>
  <c r="K189" i="12"/>
  <c r="N215" i="12"/>
  <c r="N228" i="12" s="1"/>
  <c r="N133" i="12"/>
  <c r="N134" i="12" s="1"/>
  <c r="N182" i="12"/>
  <c r="N188" i="12" s="1"/>
  <c r="N189" i="12" s="1"/>
  <c r="M263" i="12"/>
  <c r="M265" i="12" s="1"/>
  <c r="M286" i="12"/>
  <c r="O162" i="12"/>
  <c r="O185" i="12"/>
  <c r="O218" i="12"/>
  <c r="O231" i="12" s="1"/>
  <c r="R27" i="12"/>
  <c r="R783" i="1"/>
  <c r="P759" i="1"/>
  <c r="P20" i="7"/>
  <c r="M281" i="12"/>
  <c r="K235" i="12"/>
  <c r="K289" i="12"/>
  <c r="R754" i="1"/>
  <c r="R741" i="1"/>
  <c r="Q128" i="12"/>
  <c r="Q29" i="12"/>
  <c r="Q17" i="7"/>
  <c r="Q757" i="1"/>
  <c r="O32" i="12"/>
  <c r="O127" i="12"/>
  <c r="S727" i="1"/>
  <c r="S738" i="1"/>
  <c r="M182" i="12"/>
  <c r="M215" i="12"/>
  <c r="M228" i="12" s="1"/>
  <c r="M133" i="12"/>
  <c r="M134" i="12" s="1"/>
  <c r="L234" i="12"/>
  <c r="L235" i="12" s="1"/>
  <c r="L283" i="12"/>
  <c r="L289" i="12" s="1"/>
  <c r="L290" i="12" s="1"/>
  <c r="Q782" i="1"/>
  <c r="Q786" i="1" s="1"/>
  <c r="Q788" i="1" s="1"/>
  <c r="Q789" i="1" s="1"/>
  <c r="Q743" i="1"/>
  <c r="Q24" i="12"/>
  <c r="O213" i="12"/>
  <c r="O226" i="12" s="1"/>
  <c r="O281" i="12" s="1"/>
  <c r="O180" i="12"/>
  <c r="O58" i="12"/>
  <c r="N62" i="12"/>
  <c r="N265" i="12" l="1"/>
  <c r="M269" i="12"/>
  <c r="N283" i="12"/>
  <c r="N289" i="12" s="1"/>
  <c r="N290" i="12" s="1"/>
  <c r="N234" i="12"/>
  <c r="N235" i="12" s="1"/>
  <c r="R757" i="1"/>
  <c r="R17" i="7"/>
  <c r="R30" i="7" s="1"/>
  <c r="U725" i="1"/>
  <c r="U722" i="1"/>
  <c r="V721" i="1"/>
  <c r="O182" i="12"/>
  <c r="O188" i="12" s="1"/>
  <c r="O189" i="12" s="1"/>
  <c r="O133" i="12"/>
  <c r="O134" i="12" s="1"/>
  <c r="O215" i="12"/>
  <c r="O228" i="12" s="1"/>
  <c r="Q30" i="7"/>
  <c r="P284" i="12"/>
  <c r="O164" i="12"/>
  <c r="N168" i="12"/>
  <c r="Y99" i="5"/>
  <c r="Y102" i="5" s="1"/>
  <c r="P22" i="7"/>
  <c r="Q125" i="12"/>
  <c r="Q26" i="12"/>
  <c r="M234" i="12"/>
  <c r="M235" i="12" s="1"/>
  <c r="M283" i="12"/>
  <c r="M289" i="12" s="1"/>
  <c r="M290" i="12" s="1"/>
  <c r="M188" i="12"/>
  <c r="R128" i="12"/>
  <c r="R29" i="12"/>
  <c r="T738" i="1"/>
  <c r="T727" i="1"/>
  <c r="R743" i="1"/>
  <c r="R24" i="12"/>
  <c r="R782" i="1"/>
  <c r="R786" i="1" s="1"/>
  <c r="O33" i="12"/>
  <c r="Q759" i="1"/>
  <c r="Q20" i="7"/>
  <c r="S754" i="1"/>
  <c r="S741" i="1"/>
  <c r="K290" i="12"/>
  <c r="P218" i="12"/>
  <c r="P231" i="12" s="1"/>
  <c r="P162" i="12"/>
  <c r="P185" i="12"/>
  <c r="P32" i="12"/>
  <c r="P33" i="12" s="1"/>
  <c r="P127" i="12"/>
  <c r="P58" i="12"/>
  <c r="O62" i="12"/>
  <c r="Q130" i="12"/>
  <c r="Q56" i="12"/>
  <c r="S783" i="1"/>
  <c r="S27" i="12"/>
  <c r="Q183" i="12"/>
  <c r="Q216" i="12"/>
  <c r="Q229" i="12" s="1"/>
  <c r="Q284" i="12" s="1"/>
  <c r="O263" i="12"/>
  <c r="O286" i="12"/>
  <c r="P213" i="12"/>
  <c r="P226" i="12" s="1"/>
  <c r="P281" i="12" s="1"/>
  <c r="P180" i="12"/>
  <c r="R130" i="12" l="1"/>
  <c r="R56" i="12"/>
  <c r="R216" i="12"/>
  <c r="R229" i="12" s="1"/>
  <c r="R183" i="12"/>
  <c r="Q127" i="12"/>
  <c r="Q32" i="12"/>
  <c r="O168" i="12"/>
  <c r="P164" i="12"/>
  <c r="O283" i="12"/>
  <c r="O234" i="12"/>
  <c r="O235" i="12" s="1"/>
  <c r="O265" i="12"/>
  <c r="N269" i="12"/>
  <c r="Q58" i="12"/>
  <c r="P62" i="12"/>
  <c r="R759" i="1"/>
  <c r="R20" i="7"/>
  <c r="R788" i="1"/>
  <c r="S782" i="1"/>
  <c r="S786" i="1" s="1"/>
  <c r="S788" i="1" s="1"/>
  <c r="S789" i="1" s="1"/>
  <c r="S743" i="1"/>
  <c r="S24" i="12"/>
  <c r="V725" i="1"/>
  <c r="V722" i="1"/>
  <c r="W721" i="1"/>
  <c r="P133" i="12"/>
  <c r="P134" i="12" s="1"/>
  <c r="P215" i="12"/>
  <c r="P228" i="12" s="1"/>
  <c r="P182" i="12"/>
  <c r="S17" i="7"/>
  <c r="S30" i="7" s="1"/>
  <c r="S757" i="1"/>
  <c r="M189" i="12"/>
  <c r="P286" i="12"/>
  <c r="P263" i="12"/>
  <c r="Q213" i="12"/>
  <c r="Q226" i="12" s="1"/>
  <c r="Q281" i="12" s="1"/>
  <c r="Q180" i="12"/>
  <c r="T27" i="12"/>
  <c r="T783" i="1"/>
  <c r="U738" i="1"/>
  <c r="U727" i="1"/>
  <c r="S29" i="12"/>
  <c r="S128" i="12"/>
  <c r="R125" i="12"/>
  <c r="R26" i="12"/>
  <c r="Q162" i="12"/>
  <c r="Q185" i="12"/>
  <c r="Q218" i="12"/>
  <c r="Q231" i="12" s="1"/>
  <c r="Z99" i="5"/>
  <c r="Z102" i="5" s="1"/>
  <c r="Q22" i="7"/>
  <c r="T754" i="1"/>
  <c r="T741" i="1"/>
  <c r="O289" i="12" l="1"/>
  <c r="P188" i="12"/>
  <c r="V738" i="1"/>
  <c r="V727" i="1"/>
  <c r="R22" i="7"/>
  <c r="AA99" i="5"/>
  <c r="AA102" i="5" s="1"/>
  <c r="Q164" i="12"/>
  <c r="P168" i="12"/>
  <c r="P283" i="12"/>
  <c r="P289" i="12" s="1"/>
  <c r="P290" i="12" s="1"/>
  <c r="P234" i="12"/>
  <c r="Q263" i="12"/>
  <c r="Q286" i="12"/>
  <c r="S216" i="12"/>
  <c r="S229" i="12" s="1"/>
  <c r="S284" i="12" s="1"/>
  <c r="S183" i="12"/>
  <c r="R58" i="12"/>
  <c r="Q62" i="12"/>
  <c r="Q33" i="12"/>
  <c r="Q215" i="12"/>
  <c r="Q228" i="12" s="1"/>
  <c r="Q133" i="12"/>
  <c r="Q134" i="12" s="1"/>
  <c r="Q182" i="12"/>
  <c r="Q188" i="12" s="1"/>
  <c r="Q189" i="12" s="1"/>
  <c r="R218" i="12"/>
  <c r="R231" i="12" s="1"/>
  <c r="R185" i="12"/>
  <c r="R162" i="12"/>
  <c r="T128" i="12"/>
  <c r="T29" i="12"/>
  <c r="T17" i="7"/>
  <c r="T30" i="7" s="1"/>
  <c r="T757" i="1"/>
  <c r="U783" i="1"/>
  <c r="U27" i="12"/>
  <c r="R180" i="12"/>
  <c r="R213" i="12"/>
  <c r="R226" i="12" s="1"/>
  <c r="T743" i="1"/>
  <c r="T782" i="1"/>
  <c r="T786" i="1" s="1"/>
  <c r="T788" i="1" s="1"/>
  <c r="T789" i="1" s="1"/>
  <c r="T24" i="12"/>
  <c r="S26" i="12"/>
  <c r="S125" i="12"/>
  <c r="S130" i="12"/>
  <c r="S56" i="12"/>
  <c r="U754" i="1"/>
  <c r="U741" i="1"/>
  <c r="R789" i="1"/>
  <c r="P265" i="12"/>
  <c r="O269" i="12"/>
  <c r="R32" i="12"/>
  <c r="R33" i="12" s="1"/>
  <c r="R127" i="12"/>
  <c r="S759" i="1"/>
  <c r="S20" i="7"/>
  <c r="W725" i="1"/>
  <c r="W722" i="1"/>
  <c r="X721" i="1"/>
  <c r="R284" i="12"/>
  <c r="W738" i="1" l="1"/>
  <c r="W727" i="1"/>
  <c r="S58" i="12"/>
  <c r="R62" i="12"/>
  <c r="R164" i="12"/>
  <c r="Q168" i="12"/>
  <c r="P189" i="12"/>
  <c r="R286" i="12"/>
  <c r="R263" i="12"/>
  <c r="O290" i="12"/>
  <c r="S180" i="12"/>
  <c r="S213" i="12"/>
  <c r="S226" i="12" s="1"/>
  <c r="S281" i="12" s="1"/>
  <c r="AB99" i="5"/>
  <c r="AB102" i="5" s="1"/>
  <c r="S22" i="7"/>
  <c r="U782" i="1"/>
  <c r="U786" i="1" s="1"/>
  <c r="U788" i="1" s="1"/>
  <c r="U24" i="12"/>
  <c r="U743" i="1"/>
  <c r="U757" i="1"/>
  <c r="U17" i="7"/>
  <c r="U30" i="7" s="1"/>
  <c r="Q283" i="12"/>
  <c r="Q234" i="12"/>
  <c r="Q235" i="12" s="1"/>
  <c r="R182" i="12"/>
  <c r="R215" i="12"/>
  <c r="R228" i="12" s="1"/>
  <c r="R133" i="12"/>
  <c r="R134" i="12" s="1"/>
  <c r="T20" i="7"/>
  <c r="T759" i="1"/>
  <c r="X725" i="1"/>
  <c r="X722" i="1"/>
  <c r="Y721" i="1"/>
  <c r="R281" i="12"/>
  <c r="T56" i="12"/>
  <c r="T130" i="12"/>
  <c r="P235" i="12"/>
  <c r="V783" i="1"/>
  <c r="V27" i="12"/>
  <c r="U128" i="12"/>
  <c r="U29" i="12"/>
  <c r="S32" i="12"/>
  <c r="S33" i="12" s="1"/>
  <c r="S127" i="12"/>
  <c r="T26" i="12"/>
  <c r="T125" i="12"/>
  <c r="P269" i="12"/>
  <c r="Q265" i="12"/>
  <c r="S218" i="12"/>
  <c r="S231" i="12" s="1"/>
  <c r="S162" i="12"/>
  <c r="S185" i="12"/>
  <c r="T183" i="12"/>
  <c r="T216" i="12"/>
  <c r="T229" i="12" s="1"/>
  <c r="T284" i="12" s="1"/>
  <c r="V741" i="1"/>
  <c r="V754" i="1"/>
  <c r="T185" i="12" l="1"/>
  <c r="T162" i="12"/>
  <c r="T218" i="12"/>
  <c r="T231" i="12" s="1"/>
  <c r="S164" i="12"/>
  <c r="R168" i="12"/>
  <c r="V782" i="1"/>
  <c r="V786" i="1" s="1"/>
  <c r="V788" i="1" s="1"/>
  <c r="V789" i="1" s="1"/>
  <c r="V743" i="1"/>
  <c r="V24" i="12"/>
  <c r="U759" i="1"/>
  <c r="U20" i="7"/>
  <c r="U125" i="12"/>
  <c r="U26" i="12"/>
  <c r="T180" i="12"/>
  <c r="T213" i="12"/>
  <c r="T226" i="12" s="1"/>
  <c r="T281" i="12" s="1"/>
  <c r="S62" i="12"/>
  <c r="T58" i="12"/>
  <c r="U789" i="1"/>
  <c r="T127" i="12"/>
  <c r="T32" i="12"/>
  <c r="T33" i="12" s="1"/>
  <c r="W783" i="1"/>
  <c r="W27" i="12"/>
  <c r="S286" i="12"/>
  <c r="S263" i="12"/>
  <c r="U56" i="12"/>
  <c r="U130" i="12"/>
  <c r="U216" i="12"/>
  <c r="U229" i="12" s="1"/>
  <c r="U284" i="12" s="1"/>
  <c r="U183" i="12"/>
  <c r="V29" i="12"/>
  <c r="V128" i="12"/>
  <c r="Y725" i="1"/>
  <c r="Y722" i="1"/>
  <c r="Z721" i="1"/>
  <c r="X738" i="1"/>
  <c r="X727" i="1"/>
  <c r="Q289" i="12"/>
  <c r="W754" i="1"/>
  <c r="W741" i="1"/>
  <c r="R265" i="12"/>
  <c r="Q269" i="12"/>
  <c r="R234" i="12"/>
  <c r="R283" i="12"/>
  <c r="R289" i="12" s="1"/>
  <c r="R290" i="12" s="1"/>
  <c r="R188" i="12"/>
  <c r="V757" i="1"/>
  <c r="V17" i="7"/>
  <c r="V30" i="7" s="1"/>
  <c r="S133" i="12"/>
  <c r="S134" i="12" s="1"/>
  <c r="S182" i="12"/>
  <c r="S188" i="12" s="1"/>
  <c r="S189" i="12" s="1"/>
  <c r="S215" i="12"/>
  <c r="S228" i="12" s="1"/>
  <c r="T22" i="7"/>
  <c r="AC99" i="5"/>
  <c r="AC102" i="5" s="1"/>
  <c r="S168" i="12" l="1"/>
  <c r="T164" i="12"/>
  <c r="T286" i="12"/>
  <c r="T263" i="12"/>
  <c r="W782" i="1"/>
  <c r="W786" i="1" s="1"/>
  <c r="W788" i="1" s="1"/>
  <c r="W789" i="1" s="1"/>
  <c r="W24" i="12"/>
  <c r="W743" i="1"/>
  <c r="AD99" i="5"/>
  <c r="AD102" i="5" s="1"/>
  <c r="U22" i="7"/>
  <c r="V759" i="1"/>
  <c r="V20" i="7"/>
  <c r="V216" i="12"/>
  <c r="V229" i="12" s="1"/>
  <c r="V284" i="12" s="1"/>
  <c r="V183" i="12"/>
  <c r="V26" i="12"/>
  <c r="V125" i="12"/>
  <c r="Z725" i="1"/>
  <c r="Z722" i="1"/>
  <c r="AA721" i="1"/>
  <c r="Y738" i="1"/>
  <c r="Y727" i="1"/>
  <c r="W29" i="12"/>
  <c r="W128" i="12"/>
  <c r="R189" i="12"/>
  <c r="Q290" i="12"/>
  <c r="V56" i="12"/>
  <c r="V130" i="12"/>
  <c r="U185" i="12"/>
  <c r="U218" i="12"/>
  <c r="U231" i="12" s="1"/>
  <c r="U162" i="12"/>
  <c r="S265" i="12"/>
  <c r="R269" i="12"/>
  <c r="U58" i="12"/>
  <c r="T62" i="12"/>
  <c r="W757" i="1"/>
  <c r="W17" i="7"/>
  <c r="W30" i="7" s="1"/>
  <c r="X27" i="12"/>
  <c r="X783" i="1"/>
  <c r="U32" i="12"/>
  <c r="U33" i="12" s="1"/>
  <c r="U127" i="12"/>
  <c r="S283" i="12"/>
  <c r="S234" i="12"/>
  <c r="S235" i="12" s="1"/>
  <c r="R235" i="12"/>
  <c r="X754" i="1"/>
  <c r="X741" i="1"/>
  <c r="T133" i="12"/>
  <c r="T134" i="12" s="1"/>
  <c r="T182" i="12"/>
  <c r="T188" i="12" s="1"/>
  <c r="T189" i="12" s="1"/>
  <c r="T215" i="12"/>
  <c r="T228" i="12" s="1"/>
  <c r="U180" i="12"/>
  <c r="U213" i="12"/>
  <c r="U226" i="12" s="1"/>
  <c r="U281" i="12" s="1"/>
  <c r="W216" i="12" l="1"/>
  <c r="W229" i="12" s="1"/>
  <c r="W284" i="12" s="1"/>
  <c r="W183" i="12"/>
  <c r="W26" i="12"/>
  <c r="W125" i="12"/>
  <c r="T234" i="12"/>
  <c r="T235" i="12" s="1"/>
  <c r="T283" i="12"/>
  <c r="T289" i="12" s="1"/>
  <c r="T290" i="12" s="1"/>
  <c r="V180" i="12"/>
  <c r="V213" i="12"/>
  <c r="V226" i="12" s="1"/>
  <c r="V281" i="12" s="1"/>
  <c r="W130" i="12"/>
  <c r="W56" i="12"/>
  <c r="W759" i="1"/>
  <c r="W20" i="7"/>
  <c r="V218" i="12"/>
  <c r="V231" i="12" s="1"/>
  <c r="V185" i="12"/>
  <c r="V162" i="12"/>
  <c r="U133" i="12"/>
  <c r="U134" i="12" s="1"/>
  <c r="U182" i="12"/>
  <c r="U188" i="12" s="1"/>
  <c r="U189" i="12" s="1"/>
  <c r="U215" i="12"/>
  <c r="U228" i="12" s="1"/>
  <c r="U263" i="12"/>
  <c r="U286" i="12"/>
  <c r="Y741" i="1"/>
  <c r="Y754" i="1"/>
  <c r="V127" i="12"/>
  <c r="V32" i="12"/>
  <c r="V33" i="12" s="1"/>
  <c r="Y783" i="1"/>
  <c r="Y27" i="12"/>
  <c r="AA725" i="1"/>
  <c r="AA722" i="1"/>
  <c r="AB721" i="1"/>
  <c r="AE99" i="5"/>
  <c r="AE102" i="5" s="1"/>
  <c r="V22" i="7"/>
  <c r="U164" i="12"/>
  <c r="T168" i="12"/>
  <c r="Z738" i="1"/>
  <c r="Z727" i="1"/>
  <c r="S289" i="12"/>
  <c r="U62" i="12"/>
  <c r="V58" i="12"/>
  <c r="X743" i="1"/>
  <c r="X782" i="1"/>
  <c r="X786" i="1" s="1"/>
  <c r="X788" i="1" s="1"/>
  <c r="X789" i="1" s="1"/>
  <c r="X24" i="12"/>
  <c r="X757" i="1"/>
  <c r="X17" i="7"/>
  <c r="X30" i="7" s="1"/>
  <c r="X29" i="12"/>
  <c r="X128" i="12"/>
  <c r="S269" i="12"/>
  <c r="T265" i="12"/>
  <c r="S290" i="12" l="1"/>
  <c r="AA738" i="1"/>
  <c r="AA727" i="1"/>
  <c r="V286" i="12"/>
  <c r="V263" i="12"/>
  <c r="Y29" i="12"/>
  <c r="Y128" i="12"/>
  <c r="U283" i="12"/>
  <c r="U289" i="12" s="1"/>
  <c r="U290" i="12" s="1"/>
  <c r="U234" i="12"/>
  <c r="U235" i="12" s="1"/>
  <c r="W180" i="12"/>
  <c r="W213" i="12"/>
  <c r="W226" i="12" s="1"/>
  <c r="W281" i="12" s="1"/>
  <c r="Z783" i="1"/>
  <c r="Z27" i="12"/>
  <c r="W218" i="12"/>
  <c r="W231" i="12" s="1"/>
  <c r="W185" i="12"/>
  <c r="W162" i="12"/>
  <c r="W127" i="12"/>
  <c r="W32" i="12"/>
  <c r="W33" i="12" s="1"/>
  <c r="Y24" i="12"/>
  <c r="Y743" i="1"/>
  <c r="Y782" i="1"/>
  <c r="Y786" i="1" s="1"/>
  <c r="Y788" i="1" s="1"/>
  <c r="Y789" i="1" s="1"/>
  <c r="X216" i="12"/>
  <c r="X229" i="12" s="1"/>
  <c r="X284" i="12" s="1"/>
  <c r="X183" i="12"/>
  <c r="U168" i="12"/>
  <c r="V164" i="12"/>
  <c r="X20" i="7"/>
  <c r="X759" i="1"/>
  <c r="W22" i="7"/>
  <c r="AF99" i="5"/>
  <c r="AF102" i="5" s="1"/>
  <c r="U265" i="12"/>
  <c r="T269" i="12"/>
  <c r="X56" i="12"/>
  <c r="X130" i="12"/>
  <c r="W58" i="12"/>
  <c r="V62" i="12"/>
  <c r="V215" i="12"/>
  <c r="V228" i="12" s="1"/>
  <c r="V133" i="12"/>
  <c r="V134" i="12" s="1"/>
  <c r="V182" i="12"/>
  <c r="V188" i="12" s="1"/>
  <c r="V189" i="12" s="1"/>
  <c r="AB725" i="1"/>
  <c r="AB722" i="1"/>
  <c r="AC721" i="1"/>
  <c r="X125" i="12"/>
  <c r="X26" i="12"/>
  <c r="Z741" i="1"/>
  <c r="Z754" i="1"/>
  <c r="Y757" i="1"/>
  <c r="Y17" i="7"/>
  <c r="Y30" i="7" s="1"/>
  <c r="Y183" i="12" l="1"/>
  <c r="Y216" i="12"/>
  <c r="Y229" i="12" s="1"/>
  <c r="Y284" i="12" s="1"/>
  <c r="Z743" i="1"/>
  <c r="Z24" i="12"/>
  <c r="Z782" i="1"/>
  <c r="Z786" i="1" s="1"/>
  <c r="Z788" i="1" s="1"/>
  <c r="Z789" i="1" s="1"/>
  <c r="W263" i="12"/>
  <c r="W286" i="12"/>
  <c r="X213" i="12"/>
  <c r="X226" i="12" s="1"/>
  <c r="X281" i="12" s="1"/>
  <c r="X180" i="12"/>
  <c r="Y125" i="12"/>
  <c r="Y26" i="12"/>
  <c r="AA783" i="1"/>
  <c r="AA27" i="12"/>
  <c r="Z757" i="1"/>
  <c r="Z17" i="7"/>
  <c r="Z30" i="7" s="1"/>
  <c r="Y56" i="12"/>
  <c r="Y130" i="12"/>
  <c r="X127" i="12"/>
  <c r="X32" i="12"/>
  <c r="X33" i="12" s="1"/>
  <c r="X22" i="7"/>
  <c r="AG99" i="5"/>
  <c r="AG102" i="5" s="1"/>
  <c r="AC725" i="1"/>
  <c r="AC722" i="1"/>
  <c r="AD721" i="1"/>
  <c r="AA754" i="1"/>
  <c r="AA741" i="1"/>
  <c r="V283" i="12"/>
  <c r="V289" i="12" s="1"/>
  <c r="V234" i="12"/>
  <c r="V235" i="12" s="1"/>
  <c r="V168" i="12"/>
  <c r="W164" i="12"/>
  <c r="W133" i="12"/>
  <c r="W134" i="12" s="1"/>
  <c r="W182" i="12"/>
  <c r="W188" i="12" s="1"/>
  <c r="W189" i="12" s="1"/>
  <c r="W215" i="12"/>
  <c r="W228" i="12" s="1"/>
  <c r="Z128" i="12"/>
  <c r="Z29" i="12"/>
  <c r="W62" i="12"/>
  <c r="X58" i="12"/>
  <c r="X185" i="12"/>
  <c r="X218" i="12"/>
  <c r="X231" i="12" s="1"/>
  <c r="X162" i="12"/>
  <c r="AB738" i="1"/>
  <c r="AB727" i="1"/>
  <c r="Y20" i="7"/>
  <c r="Y759" i="1"/>
  <c r="U269" i="12"/>
  <c r="V265" i="12"/>
  <c r="X286" i="12" l="1"/>
  <c r="X263" i="12"/>
  <c r="Z26" i="12"/>
  <c r="Z125" i="12"/>
  <c r="AD725" i="1"/>
  <c r="AD722" i="1"/>
  <c r="AE721" i="1"/>
  <c r="Z759" i="1"/>
  <c r="Z20" i="7"/>
  <c r="AH99" i="5"/>
  <c r="AH102" i="5" s="1"/>
  <c r="Y22" i="7"/>
  <c r="Z130" i="12"/>
  <c r="Z56" i="12"/>
  <c r="Y32" i="12"/>
  <c r="Y33" i="12" s="1"/>
  <c r="Y127" i="12"/>
  <c r="X164" i="12"/>
  <c r="W168" i="12"/>
  <c r="V269" i="12"/>
  <c r="W265" i="12"/>
  <c r="AC738" i="1"/>
  <c r="AC727" i="1"/>
  <c r="Y58" i="12"/>
  <c r="X62" i="12"/>
  <c r="AA29" i="12"/>
  <c r="AA128" i="12"/>
  <c r="V290" i="12"/>
  <c r="AB783" i="1"/>
  <c r="AB27" i="12"/>
  <c r="Z216" i="12"/>
  <c r="Z229" i="12" s="1"/>
  <c r="Z284" i="12" s="1"/>
  <c r="Z183" i="12"/>
  <c r="AA743" i="1"/>
  <c r="AA782" i="1"/>
  <c r="AA786" i="1" s="1"/>
  <c r="AA788" i="1" s="1"/>
  <c r="AA789" i="1" s="1"/>
  <c r="AA24" i="12"/>
  <c r="X182" i="12"/>
  <c r="X188" i="12" s="1"/>
  <c r="X189" i="12" s="1"/>
  <c r="X133" i="12"/>
  <c r="X134" i="12" s="1"/>
  <c r="X215" i="12"/>
  <c r="X228" i="12" s="1"/>
  <c r="Y213" i="12"/>
  <c r="Y226" i="12" s="1"/>
  <c r="Y281" i="12" s="1"/>
  <c r="Y180" i="12"/>
  <c r="AB754" i="1"/>
  <c r="AB741" i="1"/>
  <c r="W283" i="12"/>
  <c r="W289" i="12" s="1"/>
  <c r="W290" i="12" s="1"/>
  <c r="W234" i="12"/>
  <c r="W235" i="12" s="1"/>
  <c r="AA757" i="1"/>
  <c r="AA17" i="7"/>
  <c r="AA30" i="7" s="1"/>
  <c r="Y162" i="12"/>
  <c r="Y218" i="12"/>
  <c r="Y231" i="12" s="1"/>
  <c r="Y185" i="12"/>
  <c r="AB17" i="7" l="1"/>
  <c r="AB30" i="7" s="1"/>
  <c r="AB757" i="1"/>
  <c r="Z22" i="7"/>
  <c r="AI99" i="5"/>
  <c r="AI102" i="5" s="1"/>
  <c r="Y215" i="12"/>
  <c r="Y228" i="12" s="1"/>
  <c r="Y133" i="12"/>
  <c r="Y134" i="12" s="1"/>
  <c r="Y182" i="12"/>
  <c r="Y188" i="12" s="1"/>
  <c r="Y189" i="12" s="1"/>
  <c r="AE725" i="1"/>
  <c r="AE722" i="1"/>
  <c r="I722" i="1" s="1"/>
  <c r="AF721" i="1"/>
  <c r="X234" i="12"/>
  <c r="X235" i="12" s="1"/>
  <c r="X283" i="12"/>
  <c r="X289" i="12" s="1"/>
  <c r="X290" i="12" s="1"/>
  <c r="AD738" i="1"/>
  <c r="AD727" i="1"/>
  <c r="X168" i="12"/>
  <c r="Y164" i="12"/>
  <c r="AA20" i="7"/>
  <c r="AA759" i="1"/>
  <c r="AC754" i="1"/>
  <c r="AC741" i="1"/>
  <c r="Z185" i="12"/>
  <c r="Z218" i="12"/>
  <c r="Z231" i="12" s="1"/>
  <c r="Z162" i="12"/>
  <c r="Z180" i="12"/>
  <c r="Z213" i="12"/>
  <c r="Z226" i="12" s="1"/>
  <c r="Z281" i="12" s="1"/>
  <c r="Y263" i="12"/>
  <c r="Y286" i="12"/>
  <c r="Z58" i="12"/>
  <c r="Y62" i="12"/>
  <c r="AC783" i="1"/>
  <c r="AC27" i="12"/>
  <c r="X265" i="12"/>
  <c r="W269" i="12"/>
  <c r="Z32" i="12"/>
  <c r="Z33" i="12" s="1"/>
  <c r="Z127" i="12"/>
  <c r="AA130" i="12"/>
  <c r="AA56" i="12"/>
  <c r="AB29" i="12"/>
  <c r="AB128" i="12"/>
  <c r="AA125" i="12"/>
  <c r="AA26" i="12"/>
  <c r="AB743" i="1"/>
  <c r="AB782" i="1"/>
  <c r="AB786" i="1" s="1"/>
  <c r="AB788" i="1" s="1"/>
  <c r="AB789" i="1" s="1"/>
  <c r="AB24" i="12"/>
  <c r="AA216" i="12"/>
  <c r="AA229" i="12" s="1"/>
  <c r="AA284" i="12" s="1"/>
  <c r="AA183" i="12"/>
  <c r="AE738" i="1" l="1"/>
  <c r="AE727" i="1"/>
  <c r="AC128" i="12"/>
  <c r="AC29" i="12"/>
  <c r="AA180" i="12"/>
  <c r="AA213" i="12"/>
  <c r="AA226" i="12" s="1"/>
  <c r="AA281" i="12" s="1"/>
  <c r="AB130" i="12"/>
  <c r="AB56" i="12"/>
  <c r="AD754" i="1"/>
  <c r="AD741" i="1"/>
  <c r="Y234" i="12"/>
  <c r="Y235" i="12" s="1"/>
  <c r="Y283" i="12"/>
  <c r="Y289" i="12" s="1"/>
  <c r="Y290" i="12" s="1"/>
  <c r="AB125" i="12"/>
  <c r="AB26" i="12"/>
  <c r="AD783" i="1"/>
  <c r="AD27" i="12"/>
  <c r="AA58" i="12"/>
  <c r="Z62" i="12"/>
  <c r="Z164" i="12"/>
  <c r="Y168" i="12"/>
  <c r="AF725" i="1"/>
  <c r="AG721" i="1"/>
  <c r="AB20" i="7"/>
  <c r="AB759" i="1"/>
  <c r="X269" i="12"/>
  <c r="Y265" i="12"/>
  <c r="AB216" i="12"/>
  <c r="AB229" i="12" s="1"/>
  <c r="AB284" i="12" s="1"/>
  <c r="AB183" i="12"/>
  <c r="Z263" i="12"/>
  <c r="Z286" i="12"/>
  <c r="AA218" i="12"/>
  <c r="AA231" i="12" s="1"/>
  <c r="AA162" i="12"/>
  <c r="AA185" i="12"/>
  <c r="AC24" i="12"/>
  <c r="AC782" i="1"/>
  <c r="AC786" i="1" s="1"/>
  <c r="AC788" i="1" s="1"/>
  <c r="AC789" i="1" s="1"/>
  <c r="AC743" i="1"/>
  <c r="Z215" i="12"/>
  <c r="Z228" i="12" s="1"/>
  <c r="Z182" i="12"/>
  <c r="Z188" i="12" s="1"/>
  <c r="Z189" i="12" s="1"/>
  <c r="Z133" i="12"/>
  <c r="Z134" i="12" s="1"/>
  <c r="AC757" i="1"/>
  <c r="AC17" i="7"/>
  <c r="AC30" i="7" s="1"/>
  <c r="AA22" i="7"/>
  <c r="AJ99" i="5"/>
  <c r="AJ102" i="5" s="1"/>
  <c r="AA127" i="12"/>
  <c r="AA32" i="12"/>
  <c r="AA33" i="12" s="1"/>
  <c r="AC20" i="7" l="1"/>
  <c r="AC759" i="1"/>
  <c r="AK99" i="5"/>
  <c r="AK102" i="5" s="1"/>
  <c r="AB22" i="7"/>
  <c r="AD29" i="12"/>
  <c r="AD128" i="12"/>
  <c r="AA286" i="12"/>
  <c r="AA263" i="12"/>
  <c r="AB218" i="12"/>
  <c r="AB231" i="12" s="1"/>
  <c r="AB162" i="12"/>
  <c r="AB185" i="12"/>
  <c r="Z234" i="12"/>
  <c r="Z235" i="12" s="1"/>
  <c r="Z283" i="12"/>
  <c r="Z289" i="12" s="1"/>
  <c r="Z290" i="12" s="1"/>
  <c r="AF738" i="1"/>
  <c r="AF727" i="1"/>
  <c r="AB213" i="12"/>
  <c r="AB226" i="12" s="1"/>
  <c r="AB281" i="12" s="1"/>
  <c r="AB180" i="12"/>
  <c r="AG725" i="1"/>
  <c r="AH721" i="1"/>
  <c r="AA133" i="12"/>
  <c r="AA134" i="12" s="1"/>
  <c r="AA215" i="12"/>
  <c r="AA228" i="12" s="1"/>
  <c r="AA182" i="12"/>
  <c r="AA188" i="12" s="1"/>
  <c r="AA189" i="12" s="1"/>
  <c r="AC56" i="12"/>
  <c r="AC130" i="12"/>
  <c r="AB127" i="12"/>
  <c r="AB32" i="12"/>
  <c r="AB33" i="12" s="1"/>
  <c r="AA164" i="12"/>
  <c r="Z168" i="12"/>
  <c r="AC183" i="12"/>
  <c r="AC216" i="12"/>
  <c r="AC229" i="12" s="1"/>
  <c r="AC284" i="12" s="1"/>
  <c r="AE27" i="12"/>
  <c r="AE783" i="1"/>
  <c r="AC125" i="12"/>
  <c r="AC26" i="12"/>
  <c r="Y269" i="12"/>
  <c r="Z265" i="12"/>
  <c r="AD743" i="1"/>
  <c r="AD24" i="12"/>
  <c r="AD782" i="1"/>
  <c r="AD786" i="1" s="1"/>
  <c r="AD788" i="1" s="1"/>
  <c r="AD789" i="1" s="1"/>
  <c r="AA62" i="12"/>
  <c r="AB58" i="12"/>
  <c r="AD757" i="1"/>
  <c r="AD17" i="7"/>
  <c r="AD30" i="7" s="1"/>
  <c r="AE741" i="1"/>
  <c r="AE754" i="1"/>
  <c r="AE29" i="12" l="1"/>
  <c r="AE128" i="12"/>
  <c r="AF27" i="12"/>
  <c r="AF783" i="1"/>
  <c r="AC185" i="12"/>
  <c r="AC218" i="12"/>
  <c r="AC231" i="12" s="1"/>
  <c r="AC162" i="12"/>
  <c r="AD56" i="12"/>
  <c r="AD130" i="12"/>
  <c r="AD125" i="12"/>
  <c r="AD26" i="12"/>
  <c r="AF754" i="1"/>
  <c r="AF741" i="1"/>
  <c r="AA265" i="12"/>
  <c r="Z269" i="12"/>
  <c r="AH725" i="1"/>
  <c r="AI721" i="1"/>
  <c r="AD216" i="12"/>
  <c r="AD229" i="12" s="1"/>
  <c r="AD284" i="12" s="1"/>
  <c r="AD183" i="12"/>
  <c r="AC32" i="12"/>
  <c r="AC33" i="12" s="1"/>
  <c r="AC127" i="12"/>
  <c r="AE757" i="1"/>
  <c r="AE17" i="7"/>
  <c r="AE30" i="7" s="1"/>
  <c r="AA234" i="12"/>
  <c r="AA235" i="12" s="1"/>
  <c r="AA283" i="12"/>
  <c r="AA289" i="12" s="1"/>
  <c r="AA290" i="12" s="1"/>
  <c r="AE24" i="12"/>
  <c r="AE782" i="1"/>
  <c r="AE786" i="1" s="1"/>
  <c r="AE788" i="1" s="1"/>
  <c r="AE789" i="1" s="1"/>
  <c r="AE743" i="1"/>
  <c r="AA168" i="12"/>
  <c r="AB164" i="12"/>
  <c r="AD759" i="1"/>
  <c r="AD20" i="7"/>
  <c r="AG738" i="1"/>
  <c r="AG727" i="1"/>
  <c r="AC22" i="7"/>
  <c r="AL99" i="5"/>
  <c r="AL102" i="5" s="1"/>
  <c r="AC58" i="12"/>
  <c r="AB62" i="12"/>
  <c r="AC213" i="12"/>
  <c r="AC226" i="12" s="1"/>
  <c r="AC281" i="12" s="1"/>
  <c r="AC180" i="12"/>
  <c r="AB215" i="12"/>
  <c r="AB228" i="12" s="1"/>
  <c r="AB133" i="12"/>
  <c r="AB134" i="12" s="1"/>
  <c r="AB182" i="12"/>
  <c r="AB188" i="12" s="1"/>
  <c r="AB189" i="12" s="1"/>
  <c r="AB263" i="12"/>
  <c r="AB286" i="12"/>
  <c r="AH738" i="1" l="1"/>
  <c r="AH727" i="1"/>
  <c r="AB168" i="12"/>
  <c r="AC164" i="12"/>
  <c r="AF24" i="12"/>
  <c r="AF782" i="1"/>
  <c r="AF786" i="1" s="1"/>
  <c r="AF788" i="1" s="1"/>
  <c r="AF789" i="1" s="1"/>
  <c r="AF743" i="1"/>
  <c r="AB265" i="12"/>
  <c r="AA269" i="12"/>
  <c r="AF17" i="7"/>
  <c r="AF30" i="7" s="1"/>
  <c r="AF757" i="1"/>
  <c r="AC286" i="12"/>
  <c r="AC263" i="12"/>
  <c r="AC62" i="12"/>
  <c r="AD58" i="12"/>
  <c r="AD127" i="12"/>
  <c r="AD32" i="12"/>
  <c r="AD33" i="12" s="1"/>
  <c r="AF29" i="12"/>
  <c r="AF128" i="12"/>
  <c r="AE216" i="12"/>
  <c r="AE229" i="12" s="1"/>
  <c r="AE284" i="12" s="1"/>
  <c r="AE183" i="12"/>
  <c r="AM99" i="5"/>
  <c r="AM102" i="5" s="1"/>
  <c r="AD22" i="7"/>
  <c r="AE759" i="1"/>
  <c r="AE20" i="7"/>
  <c r="AC215" i="12"/>
  <c r="AC228" i="12" s="1"/>
  <c r="AC182" i="12"/>
  <c r="AC188" i="12" s="1"/>
  <c r="AC189" i="12" s="1"/>
  <c r="AC133" i="12"/>
  <c r="AC134" i="12" s="1"/>
  <c r="AG783" i="1"/>
  <c r="AG27" i="12"/>
  <c r="AE26" i="12"/>
  <c r="AE125" i="12"/>
  <c r="AD180" i="12"/>
  <c r="AD213" i="12"/>
  <c r="AD226" i="12" s="1"/>
  <c r="AD281" i="12" s="1"/>
  <c r="AB283" i="12"/>
  <c r="AB289" i="12" s="1"/>
  <c r="AB290" i="12" s="1"/>
  <c r="AB234" i="12"/>
  <c r="AB235" i="12" s="1"/>
  <c r="AG741" i="1"/>
  <c r="AG754" i="1"/>
  <c r="AI725" i="1"/>
  <c r="AJ721" i="1"/>
  <c r="AD218" i="12"/>
  <c r="AD231" i="12" s="1"/>
  <c r="AD162" i="12"/>
  <c r="AD185" i="12"/>
  <c r="AE56" i="12"/>
  <c r="AE130" i="12"/>
  <c r="AE180" i="12" l="1"/>
  <c r="AE213" i="12"/>
  <c r="AE226" i="12" s="1"/>
  <c r="AE281" i="12" s="1"/>
  <c r="AI738" i="1"/>
  <c r="AI727" i="1"/>
  <c r="AE32" i="12"/>
  <c r="AE33" i="12" s="1"/>
  <c r="AE127" i="12"/>
  <c r="AE58" i="12"/>
  <c r="AD62" i="12"/>
  <c r="AD215" i="12"/>
  <c r="AD228" i="12" s="1"/>
  <c r="AD182" i="12"/>
  <c r="AD188" i="12" s="1"/>
  <c r="AD189" i="12" s="1"/>
  <c r="AD133" i="12"/>
  <c r="AD134" i="12" s="1"/>
  <c r="AG782" i="1"/>
  <c r="AG786" i="1" s="1"/>
  <c r="AG788" i="1" s="1"/>
  <c r="AG789" i="1" s="1"/>
  <c r="AG743" i="1"/>
  <c r="AG24" i="12"/>
  <c r="AJ725" i="1"/>
  <c r="AK721" i="1"/>
  <c r="AC168" i="12"/>
  <c r="AD164" i="12"/>
  <c r="AF759" i="1"/>
  <c r="AF20" i="7"/>
  <c r="AN99" i="5"/>
  <c r="AN102" i="5" s="1"/>
  <c r="AE22" i="7"/>
  <c r="AG757" i="1"/>
  <c r="AG17" i="7"/>
  <c r="AG30" i="7" s="1"/>
  <c r="AC234" i="12"/>
  <c r="AC235" i="12" s="1"/>
  <c r="AC283" i="12"/>
  <c r="AC289" i="12" s="1"/>
  <c r="AC290" i="12" s="1"/>
  <c r="AF56" i="12"/>
  <c r="AF130" i="12"/>
  <c r="AH783" i="1"/>
  <c r="AH27" i="12"/>
  <c r="AC265" i="12"/>
  <c r="AB269" i="12"/>
  <c r="AG29" i="12"/>
  <c r="AG128" i="12"/>
  <c r="AE218" i="12"/>
  <c r="AE231" i="12" s="1"/>
  <c r="AE185" i="12"/>
  <c r="AE162" i="12"/>
  <c r="AF125" i="12"/>
  <c r="AF26" i="12"/>
  <c r="AF183" i="12"/>
  <c r="AF216" i="12"/>
  <c r="AF229" i="12" s="1"/>
  <c r="AF284" i="12" s="1"/>
  <c r="AD263" i="12"/>
  <c r="AD286" i="12"/>
  <c r="AH741" i="1"/>
  <c r="AH754" i="1"/>
  <c r="AF32" i="12" l="1"/>
  <c r="AF33" i="12" s="1"/>
  <c r="AF127" i="12"/>
  <c r="AE62" i="12"/>
  <c r="AF58" i="12"/>
  <c r="AK725" i="1"/>
  <c r="AL721" i="1"/>
  <c r="AG20" i="7"/>
  <c r="AG759" i="1"/>
  <c r="AH29" i="12"/>
  <c r="AH128" i="12"/>
  <c r="AI783" i="1"/>
  <c r="AI27" i="12"/>
  <c r="AE182" i="12"/>
  <c r="AE188" i="12" s="1"/>
  <c r="AE189" i="12" s="1"/>
  <c r="AE215" i="12"/>
  <c r="AE228" i="12" s="1"/>
  <c r="AE133" i="12"/>
  <c r="AE134" i="12" s="1"/>
  <c r="AH24" i="12"/>
  <c r="AH782" i="1"/>
  <c r="AH786" i="1" s="1"/>
  <c r="AH788" i="1" s="1"/>
  <c r="AH789" i="1" s="1"/>
  <c r="AH743" i="1"/>
  <c r="AI741" i="1"/>
  <c r="AI754" i="1"/>
  <c r="AJ738" i="1"/>
  <c r="AJ727" i="1"/>
  <c r="AG26" i="12"/>
  <c r="AG125" i="12"/>
  <c r="AF185" i="12"/>
  <c r="AF162" i="12"/>
  <c r="AF218" i="12"/>
  <c r="AF231" i="12" s="1"/>
  <c r="AE164" i="12"/>
  <c r="AD168" i="12"/>
  <c r="AC269" i="12"/>
  <c r="AD265" i="12"/>
  <c r="AF180" i="12"/>
  <c r="AF213" i="12"/>
  <c r="AF226" i="12" s="1"/>
  <c r="AF281" i="12" s="1"/>
  <c r="AH17" i="7"/>
  <c r="AH30" i="7" s="1"/>
  <c r="AH757" i="1"/>
  <c r="AE286" i="12"/>
  <c r="AE263" i="12"/>
  <c r="AO99" i="5"/>
  <c r="AO102" i="5" s="1"/>
  <c r="AF22" i="7"/>
  <c r="AG216" i="12"/>
  <c r="AG229" i="12" s="1"/>
  <c r="AG284" i="12" s="1"/>
  <c r="AG183" i="12"/>
  <c r="AG56" i="12"/>
  <c r="AG130" i="12"/>
  <c r="AD283" i="12"/>
  <c r="AD289" i="12" s="1"/>
  <c r="AD290" i="12" s="1"/>
  <c r="AD234" i="12"/>
  <c r="AD235" i="12" s="1"/>
  <c r="AE265" i="12" l="1"/>
  <c r="AD269" i="12"/>
  <c r="AG22" i="7"/>
  <c r="AP99" i="5"/>
  <c r="AP102" i="5" s="1"/>
  <c r="AJ741" i="1"/>
  <c r="AJ754" i="1"/>
  <c r="AK738" i="1"/>
  <c r="AK727" i="1"/>
  <c r="AH26" i="12"/>
  <c r="AH125" i="12"/>
  <c r="AG127" i="12"/>
  <c r="AG32" i="12"/>
  <c r="AG33" i="12" s="1"/>
  <c r="AJ783" i="1"/>
  <c r="AJ27" i="12"/>
  <c r="AE234" i="12"/>
  <c r="AE235" i="12" s="1"/>
  <c r="AE283" i="12"/>
  <c r="AE289" i="12" s="1"/>
  <c r="AE290" i="12" s="1"/>
  <c r="AI757" i="1"/>
  <c r="AI17" i="7"/>
  <c r="AI30" i="7" s="1"/>
  <c r="AF62" i="12"/>
  <c r="AG58" i="12"/>
  <c r="AH759" i="1"/>
  <c r="AH20" i="7"/>
  <c r="AI782" i="1"/>
  <c r="AI786" i="1" s="1"/>
  <c r="AI788" i="1" s="1"/>
  <c r="AI789" i="1" s="1"/>
  <c r="AI743" i="1"/>
  <c r="AI24" i="12"/>
  <c r="AH216" i="12"/>
  <c r="AH229" i="12" s="1"/>
  <c r="AH284" i="12" s="1"/>
  <c r="AH183" i="12"/>
  <c r="AF215" i="12"/>
  <c r="AF228" i="12" s="1"/>
  <c r="AF182" i="12"/>
  <c r="AF188" i="12" s="1"/>
  <c r="AF189" i="12" s="1"/>
  <c r="AF133" i="12"/>
  <c r="AF134" i="12" s="1"/>
  <c r="AG213" i="12"/>
  <c r="AG226" i="12" s="1"/>
  <c r="AG281" i="12" s="1"/>
  <c r="AG180" i="12"/>
  <c r="AL725" i="1"/>
  <c r="AM721" i="1"/>
  <c r="AF164" i="12"/>
  <c r="AE168" i="12"/>
  <c r="AI29" i="12"/>
  <c r="AI128" i="12"/>
  <c r="AG185" i="12"/>
  <c r="AG162" i="12"/>
  <c r="AG218" i="12"/>
  <c r="AG231" i="12" s="1"/>
  <c r="AF263" i="12"/>
  <c r="AF286" i="12"/>
  <c r="AH56" i="12"/>
  <c r="AH130" i="12"/>
  <c r="AK783" i="1" l="1"/>
  <c r="AK27" i="12"/>
  <c r="AH22" i="7"/>
  <c r="AQ99" i="5"/>
  <c r="AQ102" i="5" s="1"/>
  <c r="AJ782" i="1"/>
  <c r="AJ786" i="1" s="1"/>
  <c r="AJ788" i="1" s="1"/>
  <c r="AJ789" i="1" s="1"/>
  <c r="AJ24" i="12"/>
  <c r="AJ743" i="1"/>
  <c r="AK741" i="1"/>
  <c r="AK754" i="1"/>
  <c r="AJ128" i="12"/>
  <c r="AJ29" i="12"/>
  <c r="AF234" i="12"/>
  <c r="AF235" i="12" s="1"/>
  <c r="AF283" i="12"/>
  <c r="AF289" i="12" s="1"/>
  <c r="AF290" i="12" s="1"/>
  <c r="AH185" i="12"/>
  <c r="AH218" i="12"/>
  <c r="AH231" i="12" s="1"/>
  <c r="AH162" i="12"/>
  <c r="AI130" i="12"/>
  <c r="AI56" i="12"/>
  <c r="AG62" i="12"/>
  <c r="AH58" i="12"/>
  <c r="AM725" i="1"/>
  <c r="AN721" i="1"/>
  <c r="AH180" i="12"/>
  <c r="AH213" i="12"/>
  <c r="AH226" i="12" s="1"/>
  <c r="AH281" i="12" s="1"/>
  <c r="AI183" i="12"/>
  <c r="AI216" i="12"/>
  <c r="AI229" i="12" s="1"/>
  <c r="AI284" i="12" s="1"/>
  <c r="AJ757" i="1"/>
  <c r="AJ17" i="7"/>
  <c r="AJ30" i="7" s="1"/>
  <c r="AF168" i="12"/>
  <c r="AG164" i="12"/>
  <c r="AG182" i="12"/>
  <c r="AG188" i="12" s="1"/>
  <c r="AG189" i="12" s="1"/>
  <c r="AG133" i="12"/>
  <c r="AG134" i="12" s="1"/>
  <c r="AG215" i="12"/>
  <c r="AG228" i="12" s="1"/>
  <c r="AG286" i="12"/>
  <c r="AG263" i="12"/>
  <c r="AL738" i="1"/>
  <c r="AL727" i="1"/>
  <c r="AI125" i="12"/>
  <c r="AI26" i="12"/>
  <c r="AI759" i="1"/>
  <c r="AI20" i="7"/>
  <c r="AH32" i="12"/>
  <c r="AH33" i="12" s="1"/>
  <c r="AH127" i="12"/>
  <c r="AF265" i="12"/>
  <c r="AE269" i="12"/>
  <c r="AN725" i="1" l="1"/>
  <c r="AO721" i="1"/>
  <c r="AJ26" i="12"/>
  <c r="AJ125" i="12"/>
  <c r="AK24" i="12"/>
  <c r="AK782" i="1"/>
  <c r="AK786" i="1" s="1"/>
  <c r="AK788" i="1" s="1"/>
  <c r="AK789" i="1" s="1"/>
  <c r="AK743" i="1"/>
  <c r="AG265" i="12"/>
  <c r="AF269" i="12"/>
  <c r="AH62" i="12"/>
  <c r="AI58" i="12"/>
  <c r="AR99" i="5"/>
  <c r="AR102" i="5" s="1"/>
  <c r="AI22" i="7"/>
  <c r="AH164" i="12"/>
  <c r="AG168" i="12"/>
  <c r="AL27" i="12"/>
  <c r="AL783" i="1"/>
  <c r="AM738" i="1"/>
  <c r="AM727" i="1"/>
  <c r="AJ130" i="12"/>
  <c r="AJ56" i="12"/>
  <c r="AH133" i="12"/>
  <c r="AH134" i="12" s="1"/>
  <c r="AH215" i="12"/>
  <c r="AH228" i="12" s="1"/>
  <c r="AH182" i="12"/>
  <c r="AH188" i="12" s="1"/>
  <c r="AH189" i="12" s="1"/>
  <c r="AJ20" i="7"/>
  <c r="AJ759" i="1"/>
  <c r="AJ183" i="12"/>
  <c r="AJ216" i="12"/>
  <c r="AJ229" i="12" s="1"/>
  <c r="AJ284" i="12" s="1"/>
  <c r="AK29" i="12"/>
  <c r="AK128" i="12"/>
  <c r="AI32" i="12"/>
  <c r="AI33" i="12" s="1"/>
  <c r="AI127" i="12"/>
  <c r="AH263" i="12"/>
  <c r="AH286" i="12"/>
  <c r="AI180" i="12"/>
  <c r="AI213" i="12"/>
  <c r="AI226" i="12" s="1"/>
  <c r="AI281" i="12" s="1"/>
  <c r="AL754" i="1"/>
  <c r="AL741" i="1"/>
  <c r="AG234" i="12"/>
  <c r="AG235" i="12" s="1"/>
  <c r="AG283" i="12"/>
  <c r="AG289" i="12" s="1"/>
  <c r="AG290" i="12" s="1"/>
  <c r="AI218" i="12"/>
  <c r="AI231" i="12" s="1"/>
  <c r="AI162" i="12"/>
  <c r="AI185" i="12"/>
  <c r="AK757" i="1"/>
  <c r="AK17" i="7"/>
  <c r="AK30" i="7" s="1"/>
  <c r="AG269" i="12" l="1"/>
  <c r="AH265" i="12"/>
  <c r="AK20" i="7"/>
  <c r="AK759" i="1"/>
  <c r="AJ162" i="12"/>
  <c r="AJ185" i="12"/>
  <c r="AJ218" i="12"/>
  <c r="AJ231" i="12" s="1"/>
  <c r="AJ213" i="12"/>
  <c r="AJ226" i="12" s="1"/>
  <c r="AJ281" i="12" s="1"/>
  <c r="AJ180" i="12"/>
  <c r="AL128" i="12"/>
  <c r="AL29" i="12"/>
  <c r="AK125" i="12"/>
  <c r="AK26" i="12"/>
  <c r="AM27" i="12"/>
  <c r="AM783" i="1"/>
  <c r="AJ58" i="12"/>
  <c r="AI62" i="12"/>
  <c r="AJ32" i="12"/>
  <c r="AJ33" i="12" s="1"/>
  <c r="AJ127" i="12"/>
  <c r="AI215" i="12"/>
  <c r="AI228" i="12" s="1"/>
  <c r="AI182" i="12"/>
  <c r="AI188" i="12" s="1"/>
  <c r="AI189" i="12" s="1"/>
  <c r="AI133" i="12"/>
  <c r="AI134" i="12" s="1"/>
  <c r="AK216" i="12"/>
  <c r="AK229" i="12" s="1"/>
  <c r="AK284" i="12" s="1"/>
  <c r="AK183" i="12"/>
  <c r="AK130" i="12"/>
  <c r="AK56" i="12"/>
  <c r="AO725" i="1"/>
  <c r="AP721" i="1"/>
  <c r="AH234" i="12"/>
  <c r="AH235" i="12" s="1"/>
  <c r="AH283" i="12"/>
  <c r="AH289" i="12" s="1"/>
  <c r="AH290" i="12" s="1"/>
  <c r="AL24" i="12"/>
  <c r="AL782" i="1"/>
  <c r="AL786" i="1" s="1"/>
  <c r="AL788" i="1" s="1"/>
  <c r="AL789" i="1" s="1"/>
  <c r="AL743" i="1"/>
  <c r="AH168" i="12"/>
  <c r="AI164" i="12"/>
  <c r="AL17" i="7"/>
  <c r="AL30" i="7" s="1"/>
  <c r="AL757" i="1"/>
  <c r="AS99" i="5"/>
  <c r="AS102" i="5" s="1"/>
  <c r="AJ22" i="7"/>
  <c r="AM741" i="1"/>
  <c r="AM754" i="1"/>
  <c r="AI286" i="12"/>
  <c r="AI263" i="12"/>
  <c r="AN738" i="1"/>
  <c r="AN727" i="1"/>
  <c r="AK32" i="12" l="1"/>
  <c r="AK33" i="12" s="1"/>
  <c r="AK127" i="12"/>
  <c r="AL759" i="1"/>
  <c r="AL20" i="7"/>
  <c r="AN754" i="1"/>
  <c r="AN741" i="1"/>
  <c r="AK180" i="12"/>
  <c r="AK213" i="12"/>
  <c r="AK226" i="12" s="1"/>
  <c r="AK281" i="12" s="1"/>
  <c r="AT99" i="5"/>
  <c r="AT102" i="5" s="1"/>
  <c r="AK22" i="7"/>
  <c r="AJ62" i="12"/>
  <c r="AK58" i="12"/>
  <c r="AL125" i="12"/>
  <c r="AL26" i="12"/>
  <c r="AJ286" i="12"/>
  <c r="AJ263" i="12"/>
  <c r="AI168" i="12"/>
  <c r="AJ164" i="12"/>
  <c r="AL56" i="12"/>
  <c r="AL130" i="12"/>
  <c r="AI234" i="12"/>
  <c r="AI235" i="12" s="1"/>
  <c r="AI283" i="12"/>
  <c r="AI289" i="12" s="1"/>
  <c r="AI290" i="12" s="1"/>
  <c r="AL216" i="12"/>
  <c r="AL229" i="12" s="1"/>
  <c r="AL284" i="12" s="1"/>
  <c r="AL183" i="12"/>
  <c r="AI265" i="12"/>
  <c r="AH269" i="12"/>
  <c r="AM24" i="12"/>
  <c r="AM743" i="1"/>
  <c r="AM782" i="1"/>
  <c r="AM786" i="1" s="1"/>
  <c r="AM788" i="1" s="1"/>
  <c r="AM789" i="1" s="1"/>
  <c r="AM29" i="12"/>
  <c r="AM128" i="12"/>
  <c r="AN27" i="12"/>
  <c r="AN783" i="1"/>
  <c r="AP725" i="1"/>
  <c r="AQ721" i="1"/>
  <c r="AO738" i="1"/>
  <c r="AO727" i="1"/>
  <c r="AJ182" i="12"/>
  <c r="AJ188" i="12" s="1"/>
  <c r="AJ189" i="12" s="1"/>
  <c r="AJ215" i="12"/>
  <c r="AJ228" i="12" s="1"/>
  <c r="AJ133" i="12"/>
  <c r="AJ134" i="12" s="1"/>
  <c r="AM17" i="7"/>
  <c r="AM30" i="7" s="1"/>
  <c r="AM757" i="1"/>
  <c r="AK218" i="12"/>
  <c r="AK231" i="12" s="1"/>
  <c r="AK185" i="12"/>
  <c r="AK162" i="12"/>
  <c r="AN29" i="12" l="1"/>
  <c r="AN128" i="12"/>
  <c r="AN17" i="7"/>
  <c r="AN30" i="7" s="1"/>
  <c r="AN757" i="1"/>
  <c r="AL162" i="12"/>
  <c r="AL185" i="12"/>
  <c r="AL218" i="12"/>
  <c r="AL231" i="12" s="1"/>
  <c r="AK62" i="12"/>
  <c r="AL58" i="12"/>
  <c r="AU99" i="5"/>
  <c r="AU102" i="5" s="1"/>
  <c r="AL22" i="7"/>
  <c r="AJ283" i="12"/>
  <c r="AJ289" i="12" s="1"/>
  <c r="AJ290" i="12" s="1"/>
  <c r="AJ234" i="12"/>
  <c r="AJ235" i="12" s="1"/>
  <c r="AM130" i="12"/>
  <c r="AM56" i="12"/>
  <c r="AN24" i="12"/>
  <c r="AN743" i="1"/>
  <c r="AN782" i="1"/>
  <c r="AN786" i="1" s="1"/>
  <c r="AN788" i="1" s="1"/>
  <c r="AN789" i="1" s="1"/>
  <c r="AO27" i="12"/>
  <c r="AO783" i="1"/>
  <c r="AO754" i="1"/>
  <c r="AO741" i="1"/>
  <c r="AQ725" i="1"/>
  <c r="AR721" i="1"/>
  <c r="AM20" i="7"/>
  <c r="AM759" i="1"/>
  <c r="AP738" i="1"/>
  <c r="AP727" i="1"/>
  <c r="AK164" i="12"/>
  <c r="AJ168" i="12"/>
  <c r="AK182" i="12"/>
  <c r="AK188" i="12" s="1"/>
  <c r="AK189" i="12" s="1"/>
  <c r="AK215" i="12"/>
  <c r="AK228" i="12" s="1"/>
  <c r="AK133" i="12"/>
  <c r="AK134" i="12" s="1"/>
  <c r="AM183" i="12"/>
  <c r="AM216" i="12"/>
  <c r="AM229" i="12" s="1"/>
  <c r="AM284" i="12" s="1"/>
  <c r="AL32" i="12"/>
  <c r="AL33" i="12" s="1"/>
  <c r="AL127" i="12"/>
  <c r="AL213" i="12"/>
  <c r="AL226" i="12" s="1"/>
  <c r="AL281" i="12" s="1"/>
  <c r="AL180" i="12"/>
  <c r="AK263" i="12"/>
  <c r="AK286" i="12"/>
  <c r="AM26" i="12"/>
  <c r="AM125" i="12"/>
  <c r="AI269" i="12"/>
  <c r="AJ265" i="12"/>
  <c r="AK234" i="12" l="1"/>
  <c r="AK235" i="12" s="1"/>
  <c r="AK283" i="12"/>
  <c r="AK289" i="12" s="1"/>
  <c r="AK290" i="12" s="1"/>
  <c r="AR725" i="1"/>
  <c r="AS721" i="1"/>
  <c r="AQ738" i="1"/>
  <c r="AQ727" i="1"/>
  <c r="AO757" i="1"/>
  <c r="AO17" i="7"/>
  <c r="AO30" i="7" s="1"/>
  <c r="AL286" i="12"/>
  <c r="AL263" i="12"/>
  <c r="AN759" i="1"/>
  <c r="AN20" i="7"/>
  <c r="AO743" i="1"/>
  <c r="AO782" i="1"/>
  <c r="AO786" i="1" s="1"/>
  <c r="AO788" i="1" s="1"/>
  <c r="AO789" i="1" s="1"/>
  <c r="AO24" i="12"/>
  <c r="AM162" i="12"/>
  <c r="AM218" i="12"/>
  <c r="AM231" i="12" s="1"/>
  <c r="AM185" i="12"/>
  <c r="AL182" i="12"/>
  <c r="AL188" i="12" s="1"/>
  <c r="AL189" i="12" s="1"/>
  <c r="AL215" i="12"/>
  <c r="AL228" i="12" s="1"/>
  <c r="AL133" i="12"/>
  <c r="AL134" i="12" s="1"/>
  <c r="AK168" i="12"/>
  <c r="AL164" i="12"/>
  <c r="AM213" i="12"/>
  <c r="AM226" i="12" s="1"/>
  <c r="AM281" i="12" s="1"/>
  <c r="AM180" i="12"/>
  <c r="AP754" i="1"/>
  <c r="AP741" i="1"/>
  <c r="AM32" i="12"/>
  <c r="AM33" i="12" s="1"/>
  <c r="AM127" i="12"/>
  <c r="AV99" i="5"/>
  <c r="AV102" i="5" s="1"/>
  <c r="AM22" i="7"/>
  <c r="AN216" i="12"/>
  <c r="AN229" i="12" s="1"/>
  <c r="AN284" i="12" s="1"/>
  <c r="AN183" i="12"/>
  <c r="AN125" i="12"/>
  <c r="AN26" i="12"/>
  <c r="AJ269" i="12"/>
  <c r="AK265" i="12"/>
  <c r="AP27" i="12"/>
  <c r="AP783" i="1"/>
  <c r="AO128" i="12"/>
  <c r="AO29" i="12"/>
  <c r="AM58" i="12"/>
  <c r="AL62" i="12"/>
  <c r="AN56" i="12"/>
  <c r="AN130" i="12"/>
  <c r="AO216" i="12" l="1"/>
  <c r="AO229" i="12" s="1"/>
  <c r="AO284" i="12" s="1"/>
  <c r="AO183" i="12"/>
  <c r="AQ754" i="1"/>
  <c r="AQ741" i="1"/>
  <c r="AO26" i="12"/>
  <c r="AO125" i="12"/>
  <c r="AS725" i="1"/>
  <c r="AT721" i="1"/>
  <c r="AM164" i="12"/>
  <c r="AL168" i="12"/>
  <c r="AP743" i="1"/>
  <c r="AP782" i="1"/>
  <c r="AP786" i="1" s="1"/>
  <c r="AP788" i="1" s="1"/>
  <c r="AP789" i="1" s="1"/>
  <c r="AP24" i="12"/>
  <c r="AR738" i="1"/>
  <c r="AR727" i="1"/>
  <c r="AN218" i="12"/>
  <c r="AN231" i="12" s="1"/>
  <c r="AN185" i="12"/>
  <c r="AN162" i="12"/>
  <c r="AM215" i="12"/>
  <c r="AM228" i="12" s="1"/>
  <c r="AM133" i="12"/>
  <c r="AM134" i="12" s="1"/>
  <c r="AM182" i="12"/>
  <c r="AM188" i="12" s="1"/>
  <c r="AM189" i="12" s="1"/>
  <c r="AN127" i="12"/>
  <c r="AN32" i="12"/>
  <c r="AN33" i="12" s="1"/>
  <c r="AP757" i="1"/>
  <c r="AP17" i="7"/>
  <c r="AP30" i="7" s="1"/>
  <c r="AO759" i="1"/>
  <c r="AO20" i="7"/>
  <c r="AP128" i="12"/>
  <c r="AP29" i="12"/>
  <c r="AQ27" i="12"/>
  <c r="AQ783" i="1"/>
  <c r="AL265" i="12"/>
  <c r="AK269" i="12"/>
  <c r="AL283" i="12"/>
  <c r="AL289" i="12" s="1"/>
  <c r="AL290" i="12" s="1"/>
  <c r="AL234" i="12"/>
  <c r="AL235" i="12" s="1"/>
  <c r="AW99" i="5"/>
  <c r="AW102" i="5" s="1"/>
  <c r="AN22" i="7"/>
  <c r="AN58" i="12"/>
  <c r="AM62" i="12"/>
  <c r="AN180" i="12"/>
  <c r="AN213" i="12"/>
  <c r="AN226" i="12" s="1"/>
  <c r="AN281" i="12" s="1"/>
  <c r="AO130" i="12"/>
  <c r="AO56" i="12"/>
  <c r="AM286" i="12"/>
  <c r="AM263" i="12"/>
  <c r="AM265" i="12" l="1"/>
  <c r="AL269" i="12"/>
  <c r="AO127" i="12"/>
  <c r="AO32" i="12"/>
  <c r="AO33" i="12" s="1"/>
  <c r="AQ782" i="1"/>
  <c r="AQ786" i="1" s="1"/>
  <c r="AQ788" i="1" s="1"/>
  <c r="AQ789" i="1" s="1"/>
  <c r="AQ24" i="12"/>
  <c r="AQ743" i="1"/>
  <c r="AT725" i="1"/>
  <c r="AU721" i="1"/>
  <c r="AQ757" i="1"/>
  <c r="AQ17" i="7"/>
  <c r="AQ30" i="7" s="1"/>
  <c r="AP759" i="1"/>
  <c r="AP20" i="7"/>
  <c r="AR27" i="12"/>
  <c r="AR783" i="1"/>
  <c r="AN62" i="12"/>
  <c r="AO58" i="12"/>
  <c r="AN215" i="12"/>
  <c r="AN228" i="12" s="1"/>
  <c r="AN133" i="12"/>
  <c r="AN134" i="12" s="1"/>
  <c r="AN182" i="12"/>
  <c r="AN188" i="12" s="1"/>
  <c r="AN189" i="12" s="1"/>
  <c r="AR754" i="1"/>
  <c r="AR741" i="1"/>
  <c r="AP26" i="12"/>
  <c r="AP125" i="12"/>
  <c r="AM234" i="12"/>
  <c r="AM235" i="12" s="1"/>
  <c r="AM283" i="12"/>
  <c r="AM289" i="12" s="1"/>
  <c r="AM290" i="12" s="1"/>
  <c r="AO218" i="12"/>
  <c r="AO231" i="12" s="1"/>
  <c r="AO162" i="12"/>
  <c r="AO185" i="12"/>
  <c r="AO22" i="7"/>
  <c r="AX99" i="5"/>
  <c r="AX102" i="5" s="1"/>
  <c r="AN263" i="12"/>
  <c r="AN286" i="12"/>
  <c r="AS738" i="1"/>
  <c r="AS727" i="1"/>
  <c r="AQ29" i="12"/>
  <c r="AQ128" i="12"/>
  <c r="AO180" i="12"/>
  <c r="AO213" i="12"/>
  <c r="AO226" i="12" s="1"/>
  <c r="AO281" i="12" s="1"/>
  <c r="AP56" i="12"/>
  <c r="AP130" i="12"/>
  <c r="AP216" i="12"/>
  <c r="AP229" i="12" s="1"/>
  <c r="AP284" i="12" s="1"/>
  <c r="AP183" i="12"/>
  <c r="AN164" i="12"/>
  <c r="AM168" i="12"/>
  <c r="AP32" i="12" l="1"/>
  <c r="AP33" i="12" s="1"/>
  <c r="AP127" i="12"/>
  <c r="AQ26" i="12"/>
  <c r="AQ125" i="12"/>
  <c r="AP180" i="12"/>
  <c r="AP213" i="12"/>
  <c r="AP226" i="12" s="1"/>
  <c r="AP281" i="12" s="1"/>
  <c r="AR29" i="12"/>
  <c r="AR128" i="12"/>
  <c r="AR757" i="1"/>
  <c r="AR17" i="7"/>
  <c r="AR30" i="7" s="1"/>
  <c r="AO164" i="12"/>
  <c r="AN168" i="12"/>
  <c r="AO263" i="12"/>
  <c r="AO286" i="12"/>
  <c r="AO215" i="12"/>
  <c r="AO228" i="12" s="1"/>
  <c r="AO182" i="12"/>
  <c r="AO188" i="12" s="1"/>
  <c r="AO189" i="12" s="1"/>
  <c r="AO133" i="12"/>
  <c r="AO134" i="12" s="1"/>
  <c r="AT738" i="1"/>
  <c r="AT727" i="1"/>
  <c r="AS27" i="12"/>
  <c r="AS783" i="1"/>
  <c r="AQ20" i="7"/>
  <c r="AQ759" i="1"/>
  <c r="AR743" i="1"/>
  <c r="AR24" i="12"/>
  <c r="AR782" i="1"/>
  <c r="AR786" i="1" s="1"/>
  <c r="AR788" i="1" s="1"/>
  <c r="AR789" i="1" s="1"/>
  <c r="AQ216" i="12"/>
  <c r="AQ229" i="12" s="1"/>
  <c r="AQ284" i="12" s="1"/>
  <c r="AQ183" i="12"/>
  <c r="AQ56" i="12"/>
  <c r="AQ130" i="12"/>
  <c r="AP22" i="7"/>
  <c r="AY99" i="5"/>
  <c r="AY102" i="5" s="1"/>
  <c r="AS754" i="1"/>
  <c r="AS741" i="1"/>
  <c r="AN234" i="12"/>
  <c r="AN235" i="12" s="1"/>
  <c r="AN283" i="12"/>
  <c r="AN289" i="12" s="1"/>
  <c r="AN290" i="12" s="1"/>
  <c r="AP162" i="12"/>
  <c r="AP218" i="12"/>
  <c r="AP231" i="12" s="1"/>
  <c r="AP185" i="12"/>
  <c r="AP58" i="12"/>
  <c r="AO62" i="12"/>
  <c r="AU725" i="1"/>
  <c r="AV721" i="1"/>
  <c r="AN265" i="12"/>
  <c r="AM269" i="12"/>
  <c r="AR56" i="12" l="1"/>
  <c r="AR130" i="12"/>
  <c r="AP263" i="12"/>
  <c r="AP286" i="12"/>
  <c r="AQ180" i="12"/>
  <c r="AQ213" i="12"/>
  <c r="AQ226" i="12" s="1"/>
  <c r="AQ281" i="12" s="1"/>
  <c r="AP62" i="12"/>
  <c r="AQ58" i="12"/>
  <c r="AZ99" i="5"/>
  <c r="AZ102" i="5" s="1"/>
  <c r="AQ22" i="7"/>
  <c r="AT27" i="12"/>
  <c r="AT783" i="1"/>
  <c r="AP164" i="12"/>
  <c r="AO168" i="12"/>
  <c r="AQ32" i="12"/>
  <c r="AQ33" i="12" s="1"/>
  <c r="AQ127" i="12"/>
  <c r="AR183" i="12"/>
  <c r="AR216" i="12"/>
  <c r="AR229" i="12" s="1"/>
  <c r="AR284" i="12" s="1"/>
  <c r="AQ185" i="12"/>
  <c r="AQ162" i="12"/>
  <c r="AQ218" i="12"/>
  <c r="AQ231" i="12" s="1"/>
  <c r="AN269" i="12"/>
  <c r="AO265" i="12"/>
  <c r="AV725" i="1"/>
  <c r="AW721" i="1"/>
  <c r="AT741" i="1"/>
  <c r="AT754" i="1"/>
  <c r="AP182" i="12"/>
  <c r="AP188" i="12" s="1"/>
  <c r="AP189" i="12" s="1"/>
  <c r="AP215" i="12"/>
  <c r="AP228" i="12" s="1"/>
  <c r="AP133" i="12"/>
  <c r="AP134" i="12" s="1"/>
  <c r="AO283" i="12"/>
  <c r="AO289" i="12" s="1"/>
  <c r="AO290" i="12" s="1"/>
  <c r="AO234" i="12"/>
  <c r="AO235" i="12" s="1"/>
  <c r="AS29" i="12"/>
  <c r="AS128" i="12"/>
  <c r="AU738" i="1"/>
  <c r="AU727" i="1"/>
  <c r="AS24" i="12"/>
  <c r="AS782" i="1"/>
  <c r="AS786" i="1" s="1"/>
  <c r="AS788" i="1" s="1"/>
  <c r="AS789" i="1" s="1"/>
  <c r="AS743" i="1"/>
  <c r="AS17" i="7"/>
  <c r="AS30" i="7" s="1"/>
  <c r="AS757" i="1"/>
  <c r="AR125" i="12"/>
  <c r="AR26" i="12"/>
  <c r="AR759" i="1"/>
  <c r="AR20" i="7"/>
  <c r="AV738" i="1" l="1"/>
  <c r="AV727" i="1"/>
  <c r="AQ62" i="12"/>
  <c r="AR58" i="12"/>
  <c r="AO269" i="12"/>
  <c r="AP265" i="12"/>
  <c r="AS125" i="12"/>
  <c r="AS26" i="12"/>
  <c r="AQ215" i="12"/>
  <c r="AQ228" i="12" s="1"/>
  <c r="AQ133" i="12"/>
  <c r="AQ134" i="12" s="1"/>
  <c r="AQ182" i="12"/>
  <c r="AQ188" i="12" s="1"/>
  <c r="AQ189" i="12" s="1"/>
  <c r="AQ164" i="12"/>
  <c r="AP168" i="12"/>
  <c r="AR22" i="7"/>
  <c r="BA99" i="5"/>
  <c r="BA102" i="5" s="1"/>
  <c r="AP234" i="12"/>
  <c r="AP235" i="12" s="1"/>
  <c r="AP283" i="12"/>
  <c r="AP289" i="12" s="1"/>
  <c r="AP290" i="12" s="1"/>
  <c r="AR127" i="12"/>
  <c r="AR32" i="12"/>
  <c r="AR33" i="12" s="1"/>
  <c r="AT757" i="1"/>
  <c r="AT17" i="7"/>
  <c r="AT30" i="7" s="1"/>
  <c r="AS216" i="12"/>
  <c r="AS229" i="12" s="1"/>
  <c r="AS284" i="12" s="1"/>
  <c r="AS183" i="12"/>
  <c r="AT782" i="1"/>
  <c r="AT786" i="1" s="1"/>
  <c r="AT788" i="1" s="1"/>
  <c r="AT789" i="1" s="1"/>
  <c r="AT743" i="1"/>
  <c r="AT24" i="12"/>
  <c r="AR162" i="12"/>
  <c r="AR218" i="12"/>
  <c r="AR231" i="12" s="1"/>
  <c r="AR185" i="12"/>
  <c r="AQ263" i="12"/>
  <c r="AQ286" i="12"/>
  <c r="AU783" i="1"/>
  <c r="AU27" i="12"/>
  <c r="AU741" i="1"/>
  <c r="AU754" i="1"/>
  <c r="AT29" i="12"/>
  <c r="AT128" i="12"/>
  <c r="AR180" i="12"/>
  <c r="AR213" i="12"/>
  <c r="AR226" i="12" s="1"/>
  <c r="AR281" i="12" s="1"/>
  <c r="AS20" i="7"/>
  <c r="AS759" i="1"/>
  <c r="AS56" i="12"/>
  <c r="AS130" i="12"/>
  <c r="AW725" i="1"/>
  <c r="AX721" i="1"/>
  <c r="AP269" i="12" l="1"/>
  <c r="AQ265" i="12"/>
  <c r="AT216" i="12"/>
  <c r="AT229" i="12" s="1"/>
  <c r="AT284" i="12" s="1"/>
  <c r="AT183" i="12"/>
  <c r="AT56" i="12"/>
  <c r="AT130" i="12"/>
  <c r="AR164" i="12"/>
  <c r="AQ168" i="12"/>
  <c r="AR62" i="12"/>
  <c r="AS58" i="12"/>
  <c r="AX725" i="1"/>
  <c r="I721" i="1"/>
  <c r="AS162" i="12"/>
  <c r="AS218" i="12"/>
  <c r="AS231" i="12" s="1"/>
  <c r="AS185" i="12"/>
  <c r="AS180" i="12"/>
  <c r="AS213" i="12"/>
  <c r="AS226" i="12" s="1"/>
  <c r="AS281" i="12" s="1"/>
  <c r="AW738" i="1"/>
  <c r="AW727" i="1"/>
  <c r="AT20" i="7"/>
  <c r="AT759" i="1"/>
  <c r="AU757" i="1"/>
  <c r="AU17" i="7"/>
  <c r="AU30" i="7" s="1"/>
  <c r="AT26" i="12"/>
  <c r="AT125" i="12"/>
  <c r="AV27" i="12"/>
  <c r="AV783" i="1"/>
  <c r="AS127" i="12"/>
  <c r="AS32" i="12"/>
  <c r="AS33" i="12" s="1"/>
  <c r="AR263" i="12"/>
  <c r="AR286" i="12"/>
  <c r="AU782" i="1"/>
  <c r="AU786" i="1" s="1"/>
  <c r="AU788" i="1" s="1"/>
  <c r="AU789" i="1" s="1"/>
  <c r="AU24" i="12"/>
  <c r="AU743" i="1"/>
  <c r="AR215" i="12"/>
  <c r="AR228" i="12" s="1"/>
  <c r="AR182" i="12"/>
  <c r="AR188" i="12" s="1"/>
  <c r="AR189" i="12" s="1"/>
  <c r="AR133" i="12"/>
  <c r="AR134" i="12" s="1"/>
  <c r="AS22" i="7"/>
  <c r="BB99" i="5"/>
  <c r="BB102" i="5" s="1"/>
  <c r="AU29" i="12"/>
  <c r="AU128" i="12"/>
  <c r="AQ283" i="12"/>
  <c r="AQ289" i="12" s="1"/>
  <c r="AQ290" i="12" s="1"/>
  <c r="AQ234" i="12"/>
  <c r="AQ235" i="12" s="1"/>
  <c r="AV754" i="1"/>
  <c r="AV741" i="1"/>
  <c r="AS164" i="12" l="1"/>
  <c r="AR168" i="12"/>
  <c r="AU130" i="12"/>
  <c r="AU56" i="12"/>
  <c r="AU759" i="1"/>
  <c r="AU20" i="7"/>
  <c r="AV24" i="12"/>
  <c r="AV782" i="1"/>
  <c r="AV786" i="1" s="1"/>
  <c r="AV788" i="1" s="1"/>
  <c r="AV789" i="1" s="1"/>
  <c r="AV743" i="1"/>
  <c r="AV757" i="1"/>
  <c r="AV17" i="7"/>
  <c r="AV30" i="7" s="1"/>
  <c r="AR234" i="12"/>
  <c r="AR235" i="12" s="1"/>
  <c r="AR283" i="12"/>
  <c r="AR289" i="12" s="1"/>
  <c r="AR290" i="12" s="1"/>
  <c r="AS215" i="12"/>
  <c r="AS228" i="12" s="1"/>
  <c r="AS182" i="12"/>
  <c r="AS188" i="12" s="1"/>
  <c r="AS189" i="12" s="1"/>
  <c r="AS133" i="12"/>
  <c r="AS134" i="12" s="1"/>
  <c r="AW783" i="1"/>
  <c r="AW27" i="12"/>
  <c r="AX738" i="1"/>
  <c r="AX727" i="1"/>
  <c r="I725" i="1"/>
  <c r="I738" i="1" s="1"/>
  <c r="AV128" i="12"/>
  <c r="AV29" i="12"/>
  <c r="AW741" i="1"/>
  <c r="AW754" i="1"/>
  <c r="AT58" i="12"/>
  <c r="AS62" i="12"/>
  <c r="AR265" i="12"/>
  <c r="AQ269" i="12"/>
  <c r="AT127" i="12"/>
  <c r="AT32" i="12"/>
  <c r="AT33" i="12" s="1"/>
  <c r="AS286" i="12"/>
  <c r="AS263" i="12"/>
  <c r="AT218" i="12"/>
  <c r="AT231" i="12" s="1"/>
  <c r="AT185" i="12"/>
  <c r="AT162" i="12"/>
  <c r="AT22" i="7"/>
  <c r="BC99" i="5"/>
  <c r="BC102" i="5" s="1"/>
  <c r="AU183" i="12"/>
  <c r="AU216" i="12"/>
  <c r="AU229" i="12" s="1"/>
  <c r="AU284" i="12" s="1"/>
  <c r="AU125" i="12"/>
  <c r="AU26" i="12"/>
  <c r="AT180" i="12"/>
  <c r="AT213" i="12"/>
  <c r="AT226" i="12" s="1"/>
  <c r="AT281" i="12" s="1"/>
  <c r="AS234" i="12" l="1"/>
  <c r="AS235" i="12" s="1"/>
  <c r="AS283" i="12"/>
  <c r="AS289" i="12" s="1"/>
  <c r="AS290" i="12" s="1"/>
  <c r="AV130" i="12"/>
  <c r="AV56" i="12"/>
  <c r="AV183" i="12"/>
  <c r="AV216" i="12"/>
  <c r="AV229" i="12" s="1"/>
  <c r="AV284" i="12" s="1"/>
  <c r="BD99" i="5"/>
  <c r="BD102" i="5" s="1"/>
  <c r="AU22" i="7"/>
  <c r="AW24" i="12"/>
  <c r="AW782" i="1"/>
  <c r="AW786" i="1" s="1"/>
  <c r="AW788" i="1" s="1"/>
  <c r="AW789" i="1" s="1"/>
  <c r="AW743" i="1"/>
  <c r="AV26" i="12"/>
  <c r="AV125" i="12"/>
  <c r="AT182" i="12"/>
  <c r="AT188" i="12" s="1"/>
  <c r="AT189" i="12" s="1"/>
  <c r="AT133" i="12"/>
  <c r="AT134" i="12" s="1"/>
  <c r="AT215" i="12"/>
  <c r="AT228" i="12" s="1"/>
  <c r="AS265" i="12"/>
  <c r="AR269" i="12"/>
  <c r="AX27" i="12"/>
  <c r="AX783" i="1"/>
  <c r="I727" i="1"/>
  <c r="AW29" i="12"/>
  <c r="AW128" i="12"/>
  <c r="AX754" i="1"/>
  <c r="AX741" i="1"/>
  <c r="AU185" i="12"/>
  <c r="AU162" i="12"/>
  <c r="AU218" i="12"/>
  <c r="AU231" i="12" s="1"/>
  <c r="AU32" i="12"/>
  <c r="AU33" i="12" s="1"/>
  <c r="AU127" i="12"/>
  <c r="AT263" i="12"/>
  <c r="AT286" i="12"/>
  <c r="AT62" i="12"/>
  <c r="AU58" i="12"/>
  <c r="AV20" i="7"/>
  <c r="AV759" i="1"/>
  <c r="AU213" i="12"/>
  <c r="AU226" i="12" s="1"/>
  <c r="AU281" i="12" s="1"/>
  <c r="AU180" i="12"/>
  <c r="AW757" i="1"/>
  <c r="AW17" i="7"/>
  <c r="AW30" i="7" s="1"/>
  <c r="AS168" i="12"/>
  <c r="AT164" i="12"/>
  <c r="AX17" i="7" l="1"/>
  <c r="AX757" i="1"/>
  <c r="I754" i="1"/>
  <c r="I17" i="7" s="1"/>
  <c r="I30" i="7" s="1"/>
  <c r="F767" i="1"/>
  <c r="I27" i="12"/>
  <c r="I783" i="1"/>
  <c r="AW20" i="7"/>
  <c r="AW759" i="1"/>
  <c r="AW183" i="12"/>
  <c r="AW216" i="12"/>
  <c r="AW229" i="12" s="1"/>
  <c r="AW284" i="12" s="1"/>
  <c r="AV127" i="12"/>
  <c r="AV32" i="12"/>
  <c r="AV33" i="12" s="1"/>
  <c r="AV218" i="12"/>
  <c r="AV231" i="12" s="1"/>
  <c r="AV185" i="12"/>
  <c r="AV162" i="12"/>
  <c r="AV180" i="12"/>
  <c r="AV213" i="12"/>
  <c r="AV226" i="12" s="1"/>
  <c r="AV281" i="12" s="1"/>
  <c r="AU263" i="12"/>
  <c r="AU286" i="12"/>
  <c r="AT283" i="12"/>
  <c r="AT289" i="12" s="1"/>
  <c r="AT290" i="12" s="1"/>
  <c r="AT234" i="12"/>
  <c r="AT235" i="12" s="1"/>
  <c r="AU182" i="12"/>
  <c r="AU188" i="12" s="1"/>
  <c r="AU189" i="12" s="1"/>
  <c r="AU133" i="12"/>
  <c r="AU134" i="12" s="1"/>
  <c r="AU215" i="12"/>
  <c r="AU228" i="12" s="1"/>
  <c r="AW130" i="12"/>
  <c r="AW56" i="12"/>
  <c r="BE99" i="5"/>
  <c r="BE102" i="5" s="1"/>
  <c r="AV22" i="7"/>
  <c r="AX128" i="12"/>
  <c r="AX29" i="12"/>
  <c r="F49" i="12"/>
  <c r="F40" i="12"/>
  <c r="AT168" i="12"/>
  <c r="AU164" i="12"/>
  <c r="AU62" i="12"/>
  <c r="AV58" i="12"/>
  <c r="AX782" i="1"/>
  <c r="AX786" i="1" s="1"/>
  <c r="AX24" i="12"/>
  <c r="AX743" i="1"/>
  <c r="I743" i="1" s="1"/>
  <c r="I741" i="1"/>
  <c r="AS269" i="12"/>
  <c r="AT265" i="12"/>
  <c r="AW125" i="12"/>
  <c r="AW26" i="12"/>
  <c r="AW22" i="7" l="1"/>
  <c r="BF99" i="5"/>
  <c r="BF102" i="5" s="1"/>
  <c r="O25" i="5"/>
  <c r="AU283" i="12"/>
  <c r="AU289" i="12" s="1"/>
  <c r="AU290" i="12" s="1"/>
  <c r="AU234" i="12"/>
  <c r="AU235" i="12" s="1"/>
  <c r="AW32" i="12"/>
  <c r="AW33" i="12" s="1"/>
  <c r="AW127" i="12"/>
  <c r="AV286" i="12"/>
  <c r="AV263" i="12"/>
  <c r="AW213" i="12"/>
  <c r="AW226" i="12" s="1"/>
  <c r="AW281" i="12" s="1"/>
  <c r="AW180" i="12"/>
  <c r="AT269" i="12"/>
  <c r="AU265" i="12"/>
  <c r="AX788" i="1"/>
  <c r="I786" i="1"/>
  <c r="AX183" i="12"/>
  <c r="F196" i="12" s="1"/>
  <c r="AX216" i="12"/>
  <c r="AX229" i="12" s="1"/>
  <c r="F141" i="12"/>
  <c r="I6" i="5" s="1"/>
  <c r="F22" i="35" s="1"/>
  <c r="J22" i="35" s="1"/>
  <c r="I22" i="35" s="1"/>
  <c r="I128" i="12"/>
  <c r="I216" i="12" s="1"/>
  <c r="F155" i="12"/>
  <c r="G6" i="5" s="1"/>
  <c r="AW58" i="12"/>
  <c r="AV62" i="12"/>
  <c r="AV164" i="12"/>
  <c r="AU168" i="12"/>
  <c r="AX759" i="1"/>
  <c r="AX20" i="7"/>
  <c r="I757" i="1"/>
  <c r="I20" i="7" s="1"/>
  <c r="F770" i="1"/>
  <c r="O28" i="5" s="1"/>
  <c r="AX26" i="12"/>
  <c r="AX125" i="12"/>
  <c r="F37" i="12"/>
  <c r="AX130" i="12"/>
  <c r="AX56" i="12"/>
  <c r="F42" i="12"/>
  <c r="I29" i="12"/>
  <c r="I56" i="12" s="1"/>
  <c r="F51" i="12"/>
  <c r="AV182" i="12"/>
  <c r="AV188" i="12" s="1"/>
  <c r="AV189" i="12" s="1"/>
  <c r="AV133" i="12"/>
  <c r="AV134" i="12" s="1"/>
  <c r="AV215" i="12"/>
  <c r="AV228" i="12" s="1"/>
  <c r="I782" i="1"/>
  <c r="I24" i="12"/>
  <c r="AW218" i="12"/>
  <c r="AW231" i="12" s="1"/>
  <c r="AW185" i="12"/>
  <c r="AW162" i="12"/>
  <c r="AX30" i="7"/>
  <c r="F65" i="7"/>
  <c r="E351" i="41" a="1"/>
  <c r="E351" i="41" s="1"/>
  <c r="AV168" i="12" l="1"/>
  <c r="AW164" i="12"/>
  <c r="AW182" i="12"/>
  <c r="AW188" i="12" s="1"/>
  <c r="AW189" i="12" s="1"/>
  <c r="AW133" i="12"/>
  <c r="AW134" i="12" s="1"/>
  <c r="AW215" i="12"/>
  <c r="AW228" i="12" s="1"/>
  <c r="AX789" i="1"/>
  <c r="I788" i="1"/>
  <c r="AX32" i="12"/>
  <c r="AX127" i="12"/>
  <c r="F39" i="12"/>
  <c r="F45" i="12" s="1"/>
  <c r="F313" i="12" s="1"/>
  <c r="I26" i="12"/>
  <c r="AV265" i="12"/>
  <c r="AU269" i="12"/>
  <c r="F64" i="35"/>
  <c r="J64" i="35" s="1"/>
  <c r="I64" i="35" s="1"/>
  <c r="T77" i="5"/>
  <c r="AV234" i="12"/>
  <c r="AV235" i="12" s="1"/>
  <c r="AV283" i="12"/>
  <c r="AV289" i="12" s="1"/>
  <c r="AV290" i="12" s="1"/>
  <c r="AX213" i="12"/>
  <c r="AX226" i="12" s="1"/>
  <c r="AX180" i="12"/>
  <c r="F193" i="12" s="1"/>
  <c r="F138" i="12"/>
  <c r="I125" i="12"/>
  <c r="I213" i="12" s="1"/>
  <c r="AW62" i="12"/>
  <c r="AX58" i="12"/>
  <c r="AX62" i="12" s="1"/>
  <c r="AW263" i="12"/>
  <c r="AW286" i="12"/>
  <c r="F61" i="35"/>
  <c r="J61" i="35" s="1"/>
  <c r="I61" i="35" s="1"/>
  <c r="T74" i="5"/>
  <c r="BG99" i="5"/>
  <c r="BG102" i="5" s="1"/>
  <c r="AX22" i="7"/>
  <c r="F69" i="7" s="1"/>
  <c r="F772" i="1"/>
  <c r="I759" i="1"/>
  <c r="I22" i="7" s="1"/>
  <c r="AX284" i="12"/>
  <c r="F297" i="12" s="1"/>
  <c r="L6" i="5" s="1"/>
  <c r="T85" i="5" s="1"/>
  <c r="F256" i="12"/>
  <c r="H6" i="5" s="1"/>
  <c r="F242" i="12"/>
  <c r="J6" i="5" s="1"/>
  <c r="AX185" i="12"/>
  <c r="F198" i="12" s="1"/>
  <c r="AX218" i="12"/>
  <c r="AX231" i="12" s="1"/>
  <c r="AX162" i="12"/>
  <c r="I130" i="12"/>
  <c r="F143" i="12"/>
  <c r="I8" i="5" s="1"/>
  <c r="F24" i="35" s="1"/>
  <c r="J24" i="35" s="1"/>
  <c r="I24" i="35" s="1"/>
  <c r="F157" i="12"/>
  <c r="G8" i="5" s="1"/>
  <c r="T185" i="5"/>
  <c r="K6" i="5"/>
  <c r="F32" i="35" s="1"/>
  <c r="J32" i="35" s="1"/>
  <c r="I32" i="35" s="1"/>
  <c r="E238" i="1"/>
  <c r="E237" i="1"/>
  <c r="E199" i="1"/>
  <c r="E198" i="1"/>
  <c r="G198" i="1"/>
  <c r="G146" i="1"/>
  <c r="G544" i="1"/>
  <c r="G40" i="1"/>
  <c r="G356" i="1" s="1"/>
  <c r="G34" i="1"/>
  <c r="G454" i="1" s="1"/>
  <c r="G24" i="1"/>
  <c r="G448" i="1" s="1"/>
  <c r="G52" i="1"/>
  <c r="G40" i="11"/>
  <c r="G118" i="31" s="1"/>
  <c r="G45" i="1"/>
  <c r="G390" i="1"/>
  <c r="G238" i="1"/>
  <c r="G33" i="1"/>
  <c r="G184" i="1" s="1"/>
  <c r="G29" i="1"/>
  <c r="G236" i="1" s="1"/>
  <c r="G543" i="1"/>
  <c r="G22" i="1"/>
  <c r="G157" i="1" s="1"/>
  <c r="G391" i="1"/>
  <c r="G28" i="1"/>
  <c r="G197" i="1" s="1"/>
  <c r="G358" i="1"/>
  <c r="G41" i="1"/>
  <c r="G389" i="1" s="1"/>
  <c r="G237" i="1"/>
  <c r="G23" i="1"/>
  <c r="G144" i="1" s="1"/>
  <c r="G542" i="1"/>
  <c r="G17" i="1"/>
  <c r="G365" i="1" s="1"/>
  <c r="G199" i="1"/>
  <c r="D6" i="5"/>
  <c r="G357" i="1"/>
  <c r="G145" i="1"/>
  <c r="D7" i="5"/>
  <c r="D5" i="5"/>
  <c r="G89" i="11" s="1"/>
  <c r="G631" i="1" l="1"/>
  <c r="G696" i="1"/>
  <c r="F65" i="12"/>
  <c r="K8" i="5"/>
  <c r="F34" i="35" s="1"/>
  <c r="J34" i="35" s="1"/>
  <c r="I34" i="35" s="1"/>
  <c r="T187" i="5"/>
  <c r="AX33" i="12"/>
  <c r="I32" i="12"/>
  <c r="F789" i="1"/>
  <c r="F804" i="1" s="1"/>
  <c r="I789" i="1"/>
  <c r="I9" i="5"/>
  <c r="I15" i="5" s="1"/>
  <c r="F149" i="12"/>
  <c r="AW234" i="12"/>
  <c r="AW235" i="12" s="1"/>
  <c r="AW283" i="12"/>
  <c r="AW289" i="12" s="1"/>
  <c r="AW290" i="12" s="1"/>
  <c r="T182" i="5"/>
  <c r="T191" i="5" s="1"/>
  <c r="K9" i="5"/>
  <c r="K15" i="5" s="1"/>
  <c r="F204" i="12"/>
  <c r="AV269" i="12"/>
  <c r="AW265" i="12"/>
  <c r="I218" i="12"/>
  <c r="I162" i="12"/>
  <c r="AX281" i="12"/>
  <c r="F294" i="12" s="1"/>
  <c r="F239" i="12"/>
  <c r="G65" i="7"/>
  <c r="G66" i="7"/>
  <c r="G69" i="7"/>
  <c r="G60" i="7"/>
  <c r="G62" i="7"/>
  <c r="G64" i="7"/>
  <c r="G67" i="7"/>
  <c r="G61" i="7"/>
  <c r="G68" i="7"/>
  <c r="G63" i="7"/>
  <c r="AW168" i="12"/>
  <c r="AX164" i="12"/>
  <c r="AX168" i="12" s="1"/>
  <c r="O30" i="5"/>
  <c r="F774" i="1"/>
  <c r="F803" i="1" s="1"/>
  <c r="AX263" i="12"/>
  <c r="AX286" i="12"/>
  <c r="F299" i="12" s="1"/>
  <c r="L8" i="5" s="1"/>
  <c r="T86" i="5" s="1"/>
  <c r="F258" i="12"/>
  <c r="H8" i="5" s="1"/>
  <c r="T82" i="5" s="1"/>
  <c r="T165" i="5" s="1"/>
  <c r="F244" i="12"/>
  <c r="J8" i="5" s="1"/>
  <c r="AX133" i="12"/>
  <c r="AX182" i="12"/>
  <c r="AX215" i="12"/>
  <c r="AX228" i="12" s="1"/>
  <c r="F140" i="12"/>
  <c r="I127" i="12"/>
  <c r="I215" i="12" s="1"/>
  <c r="G12" i="11"/>
  <c r="G6" i="31" s="1"/>
  <c r="G11" i="35"/>
  <c r="G10" i="35"/>
  <c r="G12" i="1"/>
  <c r="G55" i="35"/>
  <c r="G527" i="1"/>
  <c r="G509" i="1"/>
  <c r="F171" i="12" l="1"/>
  <c r="AX134" i="12"/>
  <c r="I133" i="12"/>
  <c r="AW269" i="12"/>
  <c r="AX265" i="12"/>
  <c r="AX269" i="12" s="1"/>
  <c r="T169" i="5"/>
  <c r="T166" i="5"/>
  <c r="J9" i="5"/>
  <c r="J15" i="5" s="1"/>
  <c r="F250" i="12"/>
  <c r="F33" i="12"/>
  <c r="F312" i="12" s="1"/>
  <c r="I33" i="12"/>
  <c r="F146" i="12"/>
  <c r="F317" i="12" s="1"/>
  <c r="F150" i="12"/>
  <c r="I12" i="5" s="1"/>
  <c r="I11" i="5"/>
  <c r="F151" i="12"/>
  <c r="I13" i="5" s="1"/>
  <c r="F807" i="1"/>
  <c r="K7" i="34" s="1"/>
  <c r="F89" i="35" s="1"/>
  <c r="J89" i="35" s="1"/>
  <c r="I89" i="35" s="1"/>
  <c r="F305" i="12"/>
  <c r="L9" i="5"/>
  <c r="L15" i="5" s="1"/>
  <c r="AX283" i="12"/>
  <c r="AX234" i="12"/>
  <c r="F241" i="12"/>
  <c r="P26" i="5"/>
  <c r="P20" i="5"/>
  <c r="P29" i="5"/>
  <c r="P22" i="5"/>
  <c r="P30" i="5"/>
  <c r="P27" i="5"/>
  <c r="T79" i="5"/>
  <c r="F66" i="35"/>
  <c r="J66" i="35" s="1"/>
  <c r="I66" i="35" s="1"/>
  <c r="O31" i="5"/>
  <c r="F67" i="35" s="1"/>
  <c r="J67" i="35" s="1"/>
  <c r="I67" i="35" s="1"/>
  <c r="P23" i="5"/>
  <c r="P24" i="5"/>
  <c r="P21" i="5"/>
  <c r="K56" i="5"/>
  <c r="P25" i="5"/>
  <c r="P28" i="5"/>
  <c r="AX188" i="12"/>
  <c r="F195" i="12"/>
  <c r="K54" i="5" l="1"/>
  <c r="F272" i="12"/>
  <c r="F28" i="35"/>
  <c r="J28" i="35" s="1"/>
  <c r="I28" i="35" s="1"/>
  <c r="T91" i="5"/>
  <c r="T126" i="5" s="1"/>
  <c r="F205" i="12"/>
  <c r="K12" i="5" s="1"/>
  <c r="T184" i="5"/>
  <c r="K11" i="5"/>
  <c r="F201" i="12"/>
  <c r="F319" i="12" s="1"/>
  <c r="F206" i="12"/>
  <c r="K13" i="5" s="1"/>
  <c r="AX189" i="12"/>
  <c r="I188" i="12"/>
  <c r="J11" i="5"/>
  <c r="F247" i="12"/>
  <c r="F321" i="12" s="1"/>
  <c r="F251" i="12"/>
  <c r="J12" i="5" s="1"/>
  <c r="F252" i="12"/>
  <c r="J13" i="5" s="1"/>
  <c r="AX289" i="12"/>
  <c r="F296" i="12"/>
  <c r="I16" i="5"/>
  <c r="F25" i="35"/>
  <c r="J25" i="35" s="1"/>
  <c r="I25" i="35" s="1"/>
  <c r="T93" i="5"/>
  <c r="K57" i="5" s="1"/>
  <c r="F27" i="35"/>
  <c r="J27" i="35" s="1"/>
  <c r="I27" i="35" s="1"/>
  <c r="T89" i="5"/>
  <c r="AX235" i="12"/>
  <c r="I234" i="12"/>
  <c r="I134" i="12"/>
  <c r="F134" i="12"/>
  <c r="F316" i="12" s="1"/>
  <c r="F302" i="12" l="1"/>
  <c r="F323" i="12" s="1"/>
  <c r="F306" i="12"/>
  <c r="L12" i="5" s="1"/>
  <c r="L11" i="5"/>
  <c r="F307" i="12"/>
  <c r="L13" i="5" s="1"/>
  <c r="K16" i="5"/>
  <c r="F35" i="35"/>
  <c r="J35" i="35" s="1"/>
  <c r="I35" i="35" s="1"/>
  <c r="F38" i="35"/>
  <c r="J38" i="35" s="1"/>
  <c r="I38" i="35" s="1"/>
  <c r="T92" i="5"/>
  <c r="T127" i="5" s="1"/>
  <c r="I235" i="12"/>
  <c r="F235" i="12"/>
  <c r="F320" i="12" s="1"/>
  <c r="T124" i="5"/>
  <c r="T167" i="5"/>
  <c r="T194" i="5"/>
  <c r="U197" i="5" s="1"/>
  <c r="K58" i="5" s="1"/>
  <c r="T190" i="5"/>
  <c r="T192" i="5"/>
  <c r="T90" i="5"/>
  <c r="F37" i="35"/>
  <c r="J37" i="35" s="1"/>
  <c r="I37" i="35" s="1"/>
  <c r="AX290" i="12"/>
  <c r="I289" i="12"/>
  <c r="J16" i="5"/>
  <c r="F189" i="12"/>
  <c r="F318" i="12" s="1"/>
  <c r="I189" i="12"/>
  <c r="T168" i="5" l="1"/>
  <c r="T125" i="5"/>
  <c r="T129" i="5" s="1"/>
  <c r="S141" i="5" s="1"/>
  <c r="L16" i="5"/>
  <c r="K55" i="5" s="1"/>
  <c r="K60" i="5" s="1"/>
  <c r="K5" i="34" s="1"/>
  <c r="T87" i="5"/>
  <c r="I290" i="12"/>
  <c r="F290" i="12"/>
  <c r="F322" i="12" s="1"/>
  <c r="F325" i="12" s="1"/>
  <c r="K8" i="34" s="1"/>
  <c r="F90" i="35" s="1"/>
  <c r="J90" i="35" s="1"/>
  <c r="I90" i="35" s="1"/>
  <c r="F87" i="35" l="1"/>
  <c r="J87" i="35" s="1"/>
  <c r="I87" i="35" s="1"/>
  <c r="F1" i="35" s="1"/>
  <c r="D7" i="34"/>
  <c r="F3" i="1" l="1"/>
  <c r="F3" i="40"/>
  <c r="F3" i="31"/>
  <c r="E1" i="24"/>
  <c r="F3" i="7"/>
  <c r="C1" i="5"/>
  <c r="F3" i="33"/>
  <c r="F3" i="11"/>
  <c r="F3" i="6"/>
  <c r="F3" i="36"/>
  <c r="F3" i="12"/>
  <c r="K3" i="1"/>
  <c r="K3" i="31"/>
  <c r="K3" i="7"/>
  <c r="J1" i="5"/>
  <c r="K3" i="12"/>
  <c r="K3" i="11"/>
  <c r="K3" i="6"/>
  <c r="D8" i="3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<sst xmlns="http://schemas.openxmlformats.org/spreadsheetml/2006/main" count="2442" uniqueCount="2266">
  <si>
    <t xml:space="preserve">Thomas Benninger (tbenninger@imf.org) </t>
  </si>
  <si>
    <t>\</t>
  </si>
  <si>
    <t>Breakeven1</t>
  </si>
  <si>
    <t>=Dashboard!$U$161</t>
  </si>
  <si>
    <t>BreakevenMacroDifference</t>
  </si>
  <si>
    <t>=Dashboard!$T$166</t>
  </si>
  <si>
    <t>BreakevenRegimeCount</t>
  </si>
  <si>
    <t>=Dashboard!$S$160</t>
  </si>
  <si>
    <t>BreakevenResults</t>
  </si>
  <si>
    <t>=Dashboard!$T$162:$T$169</t>
  </si>
  <si>
    <t>BreakevenResultsTable</t>
  </si>
  <si>
    <t>=Dashboard!$U$162:$Y$169</t>
  </si>
  <si>
    <t>CHK_TOL</t>
  </si>
  <si>
    <t>=Inputs!$F$73</t>
  </si>
  <si>
    <t>Dashboard</t>
  </si>
  <si>
    <t>=Dashboard!$A$1</t>
  </si>
  <si>
    <t>Language_Selected</t>
  </si>
  <si>
    <t>=Dashboard!$C$5</t>
  </si>
  <si>
    <t>Baseline</t>
  </si>
  <si>
    <t>Royalty + CIT</t>
  </si>
  <si>
    <t>Gold(2MMoz)</t>
  </si>
  <si>
    <t>FARI Simplified Mining 5b.xlsm</t>
  </si>
  <si>
    <t>English</t>
  </si>
  <si>
    <t xml:space="preserve">=&gt; </t>
  </si>
  <si>
    <t>Royalty + CIT + SP</t>
  </si>
  <si>
    <t>Royalty + CIT, no debt</t>
  </si>
  <si>
    <t>High royalty / low CIT</t>
  </si>
  <si>
    <t>-------------------</t>
  </si>
  <si>
    <t>--------------</t>
  </si>
  <si>
    <t>%</t>
  </si>
  <si>
    <t>AETR: full-cycle, undiscounted</t>
  </si>
  <si>
    <t>RRT</t>
  </si>
  <si>
    <t>RegimeSelected</t>
  </si>
  <si>
    <t>MineralPrice</t>
  </si>
  <si>
    <t>yes</t>
  </si>
  <si>
    <t>Simplified Mining FARI model</t>
  </si>
  <si>
    <t>February 2022</t>
  </si>
  <si>
    <t>French</t>
  </si>
  <si>
    <t>Spanish</t>
  </si>
  <si>
    <t>Other1</t>
  </si>
  <si>
    <t>Other2</t>
  </si>
  <si>
    <t>net</t>
  </si>
  <si>
    <t>nominal</t>
  </si>
  <si>
    <t>Percentage</t>
  </si>
  <si>
    <t>expensed</t>
  </si>
  <si>
    <t>Production</t>
  </si>
  <si>
    <t>no</t>
  </si>
  <si>
    <t>This project example sheet name</t>
  </si>
  <si>
    <t>full-cycle</t>
  </si>
  <si>
    <t>cycle complet</t>
  </si>
  <si>
    <t>ciclo completo</t>
  </si>
  <si>
    <t>FID forward</t>
  </si>
  <si>
    <t>DFI (horizon futur)</t>
  </si>
  <si>
    <t>DFI adelantada</t>
  </si>
  <si>
    <t>real</t>
  </si>
  <si>
    <t>réel</t>
  </si>
  <si>
    <t>undiscounted</t>
  </si>
  <si>
    <t>non actualisé</t>
  </si>
  <si>
    <t>no descontado</t>
  </si>
  <si>
    <t>NPV</t>
  </si>
  <si>
    <t>VAN</t>
  </si>
  <si>
    <t>VPN</t>
  </si>
  <si>
    <t>US$</t>
  </si>
  <si>
    <t>USD</t>
  </si>
  <si>
    <t>US$ mn</t>
  </si>
  <si>
    <t>US$ MM</t>
  </si>
  <si>
    <t>USD MM</t>
  </si>
  <si>
    <t>Analysis</t>
  </si>
  <si>
    <t>Analyse</t>
  </si>
  <si>
    <t>Análisis</t>
  </si>
  <si>
    <t>Cashflows</t>
  </si>
  <si>
    <t>Flux de trésorerie</t>
  </si>
  <si>
    <t>Flujos de caja</t>
  </si>
  <si>
    <t>IRR</t>
  </si>
  <si>
    <t>TRI</t>
  </si>
  <si>
    <t>TIR</t>
  </si>
  <si>
    <t>Payback</t>
  </si>
  <si>
    <t>Année de récupération de l’investissement</t>
  </si>
  <si>
    <t>Amortización</t>
  </si>
  <si>
    <t>Project cashflows</t>
  </si>
  <si>
    <t>Flux de trésorerie du projet</t>
  </si>
  <si>
    <t>Flujos de caja del proyecto</t>
  </si>
  <si>
    <t>Project participants</t>
  </si>
  <si>
    <t>Participants au projet</t>
  </si>
  <si>
    <t>Participantes del proyecto</t>
  </si>
  <si>
    <t>Government share metrics</t>
  </si>
  <si>
    <t>Indicateurs de la part revenant au gouvernement</t>
  </si>
  <si>
    <t>Medidas de la proporción del gobierno</t>
  </si>
  <si>
    <t>p.a.</t>
  </si>
  <si>
    <t>al año</t>
  </si>
  <si>
    <t>Total</t>
  </si>
  <si>
    <t>Fiscal regime parameters</t>
  </si>
  <si>
    <t>Paramètres du régime fiscal</t>
  </si>
  <si>
    <t>Parámetros del régimen fiscal</t>
  </si>
  <si>
    <t>Top of fiscal regime parameters</t>
  </si>
  <si>
    <t>Paramètres principaux du régime fiscal</t>
  </si>
  <si>
    <t>Inicio de parámetros del régimen fiscal</t>
  </si>
  <si>
    <t>Bottom of fiscal regime parameters</t>
  </si>
  <si>
    <t>Fin de liste des paramètres du régime fiscal</t>
  </si>
  <si>
    <t>Final de parámetros del régimen fiscal</t>
  </si>
  <si>
    <t>Decommissioning fund</t>
  </si>
  <si>
    <t>Fonds d'abandon</t>
  </si>
  <si>
    <t>Fondo para desmantelamiento</t>
  </si>
  <si>
    <t>Bonus</t>
  </si>
  <si>
    <t>Bono</t>
  </si>
  <si>
    <t>Royalty</t>
  </si>
  <si>
    <t>Redevance</t>
  </si>
  <si>
    <t>Regalía</t>
  </si>
  <si>
    <t>Carbon tax</t>
  </si>
  <si>
    <t>Taxe carbone</t>
  </si>
  <si>
    <t>Impuesto sobre el carbono</t>
  </si>
  <si>
    <t>Project cashflows after decommissioning, royalty, bonus and carbon tax</t>
  </si>
  <si>
    <t>Flux de trésorerie du projet après abandon, redevance, bonus et taxe carbone</t>
  </si>
  <si>
    <t>Flujos de caja del proyecto después de desmantelamiento, regalías, bonificaciones e impuesto sobre el carbono</t>
  </si>
  <si>
    <t>Project debt financing</t>
  </si>
  <si>
    <t>Financement du projet par emprunt</t>
  </si>
  <si>
    <t>Financiamiento mediante deuda del proyecto</t>
  </si>
  <si>
    <t>CIT depreciation</t>
  </si>
  <si>
    <t>Amortissement de l’IBS</t>
  </si>
  <si>
    <t>Depreciación ISR</t>
  </si>
  <si>
    <t>Corporate income tax</t>
  </si>
  <si>
    <t>Impôt sur les bénéfices des sociétés</t>
  </si>
  <si>
    <t>Impuesto sobre la renta de las empresas</t>
  </si>
  <si>
    <t>CIT</t>
  </si>
  <si>
    <t>IBS</t>
  </si>
  <si>
    <t>IRE</t>
  </si>
  <si>
    <t xml:space="preserve">Cumulative cashflow </t>
  </si>
  <si>
    <t xml:space="preserve">Flux de trésorerie cumulé </t>
  </si>
  <si>
    <t xml:space="preserve">Flujo de caja acumulado </t>
  </si>
  <si>
    <t>VAT cashflow: Simplified approach assuming VAT is creditable</t>
  </si>
  <si>
    <t>Flux de trésorerie TVA : méthode simplifiée supposant que la TVA est récupérable</t>
  </si>
  <si>
    <t>Flujo de caja IVA: enfoque simplificado que asume que el IVA es acreditable</t>
  </si>
  <si>
    <t>Mining company cashflows</t>
  </si>
  <si>
    <t>Flux de trésorerie des sociétés minières</t>
  </si>
  <si>
    <t>Flujos de caja de la empresa minera</t>
  </si>
  <si>
    <t>Mining company economic limit</t>
  </si>
  <si>
    <t>Limite économique de la société minière</t>
  </si>
  <si>
    <t>Límite económico de la empresa minera</t>
  </si>
  <si>
    <t>State participation (Share of mining company equity)</t>
  </si>
  <si>
    <t>Participation de l’État (part des fonds propres de la société minière)</t>
  </si>
  <si>
    <t>Participación del Estado (porcentaje del capital de la empresa minera)</t>
  </si>
  <si>
    <t>State participation (Share of mining company loan)</t>
  </si>
  <si>
    <t>Participation de l’État (part du prêt de la société minière)</t>
  </si>
  <si>
    <t>Participación del Estado (porcentaje del el préstamo de la empresa minera)</t>
  </si>
  <si>
    <t>Parent company cashflows</t>
  </si>
  <si>
    <t>Flux de trésorerie de la société-mère</t>
  </si>
  <si>
    <t>Flujos de caja de la empresa matriz</t>
  </si>
  <si>
    <t>Government revenues</t>
  </si>
  <si>
    <t>Recettes du gouvernement</t>
  </si>
  <si>
    <t>Ingresos fiscales</t>
  </si>
  <si>
    <t>Cashflow reconciliation</t>
  </si>
  <si>
    <t>Rapprochement des flux de trésorerie</t>
  </si>
  <si>
    <t>Conciliación de flujos de caja</t>
  </si>
  <si>
    <t>Fiscal regime selection</t>
  </si>
  <si>
    <t>Choix du régime fiscal</t>
  </si>
  <si>
    <t>Selección del régimen fiscal</t>
  </si>
  <si>
    <t>Decommissioning</t>
  </si>
  <si>
    <t>Abandon</t>
  </si>
  <si>
    <t>Desmantelamiento</t>
  </si>
  <si>
    <t>CIT rate</t>
  </si>
  <si>
    <t>Taux IBS</t>
  </si>
  <si>
    <t>Tipo del ISR</t>
  </si>
  <si>
    <t>Resource rent tax</t>
  </si>
  <si>
    <t>Impôt sur la rente des ressources naturelles</t>
  </si>
  <si>
    <t>Impuesto a la renta de recursos naturales</t>
  </si>
  <si>
    <t>IRRN</t>
  </si>
  <si>
    <t>Withholding tax on dividends and interest</t>
  </si>
  <si>
    <t>Retenues à la source sur dividendes et intérêts</t>
  </si>
  <si>
    <t>Impuesto retenido sobre dividendos e intereses</t>
  </si>
  <si>
    <t>State participation: government equity in mining company</t>
  </si>
  <si>
    <t>Participation de l’Etat dans les fonds propres de la société minière</t>
  </si>
  <si>
    <t>Participación del Estado: capital público en la empresa minera</t>
  </si>
  <si>
    <t>Mining company financing assumptions</t>
  </si>
  <si>
    <t>Hypothèses relatives au financement de la société minière</t>
  </si>
  <si>
    <t>Supuestos de financiamiento de la empresa minera</t>
  </si>
  <si>
    <t>Value added tax</t>
  </si>
  <si>
    <t>Taxe sur la valeur ajoutée</t>
  </si>
  <si>
    <t>Impuesto sobre el valor agregado</t>
  </si>
  <si>
    <t>VAT</t>
  </si>
  <si>
    <t>TVA</t>
  </si>
  <si>
    <t>IVA</t>
  </si>
  <si>
    <t>Determine start of contributions</t>
  </si>
  <si>
    <t>Déterminer le début des contributions</t>
  </si>
  <si>
    <t>Determinar inicio de las contribuciones</t>
  </si>
  <si>
    <t>Decommissioning provision required</t>
  </si>
  <si>
    <t>Provision pour abandon requise</t>
  </si>
  <si>
    <t>Provisión para desmantelamiento necesaria</t>
  </si>
  <si>
    <t>Decommissioning fund transactions</t>
  </si>
  <si>
    <t>Transactions sur le fonds d'abandon</t>
  </si>
  <si>
    <t>Transacciones del fondo para desmantelamiento</t>
  </si>
  <si>
    <t>Net decommissioning cashflows</t>
  </si>
  <si>
    <t>Flux de trésorerie nets de l'abandon</t>
  </si>
  <si>
    <t>Flujos de caja netos para desmantelamiento</t>
  </si>
  <si>
    <t>Signature bonus</t>
  </si>
  <si>
    <t>Bonus de signature</t>
  </si>
  <si>
    <t>Bono por suscripción de contratos</t>
  </si>
  <si>
    <t>Base for royalty</t>
  </si>
  <si>
    <t>Assiette de la redevance</t>
  </si>
  <si>
    <t>Base de la regalía</t>
  </si>
  <si>
    <t>Flat royalty</t>
  </si>
  <si>
    <t>Redevance constante</t>
  </si>
  <si>
    <t>Regalía fija</t>
  </si>
  <si>
    <t>Price-based royalty</t>
  </si>
  <si>
    <t>Redevance dépendant des prix</t>
  </si>
  <si>
    <t>Regalía basada en el precio</t>
  </si>
  <si>
    <t>Aggregate royalty rate</t>
  </si>
  <si>
    <t>Taux de redevance global</t>
  </si>
  <si>
    <t>Tasa agregada de las regalías</t>
  </si>
  <si>
    <t>Net revenues after royalty</t>
  </si>
  <si>
    <t>Revenus nets après redevance</t>
  </si>
  <si>
    <t>Ingresos netos después de regalías</t>
  </si>
  <si>
    <t>Determination of tax base</t>
  </si>
  <si>
    <t>Détermination de l’assiette imposable</t>
  </si>
  <si>
    <t>Determinación de la base imponible</t>
  </si>
  <si>
    <t>Tax applicable</t>
  </si>
  <si>
    <t>Impôt applicable</t>
  </si>
  <si>
    <t>Impuesto aplicable</t>
  </si>
  <si>
    <t>Tax inflation index</t>
  </si>
  <si>
    <t>Indice d’inflation de l’impôt</t>
  </si>
  <si>
    <t>Índice de inflación del impuesto</t>
  </si>
  <si>
    <t>Tax rate - percentage</t>
  </si>
  <si>
    <t>Taux d’imposition - pourcentage</t>
  </si>
  <si>
    <t>Tasa de impuesto - porcentaje</t>
  </si>
  <si>
    <t>Tax rate - target year</t>
  </si>
  <si>
    <t>Taux d’imposition - année cible</t>
  </si>
  <si>
    <t>Tasa de impuesto - año objetivo</t>
  </si>
  <si>
    <t>Tax rate - select</t>
  </si>
  <si>
    <t>Taux d’imposition - choisir</t>
  </si>
  <si>
    <t>Tasa de impuesto - seleccionar</t>
  </si>
  <si>
    <t>Development costs to be financed by debt</t>
  </si>
  <si>
    <t>Coûts de développement à financer par emprunt</t>
  </si>
  <si>
    <t>Costos de desarrollo a financiar mediante deuda</t>
  </si>
  <si>
    <t>Loan repayments</t>
  </si>
  <si>
    <t>Remboursements de l'emprunt</t>
  </si>
  <si>
    <t>Reembolsos de préstamos</t>
  </si>
  <si>
    <t>Loan account</t>
  </si>
  <si>
    <t>Compte de l'emprunt</t>
  </si>
  <si>
    <t>Cuenta de préstamos</t>
  </si>
  <si>
    <t>Loan cashflows</t>
  </si>
  <si>
    <t>Flux de trésorerie de l’emprunt</t>
  </si>
  <si>
    <t>Flujos de caja del préstamo</t>
  </si>
  <si>
    <t>Allocation of loan transactions to mining company</t>
  </si>
  <si>
    <t>Répartition de l'emprunt à la société minière</t>
  </si>
  <si>
    <t>Asignación de transacciones de préstamos a la empresa minera</t>
  </si>
  <si>
    <t>Exploration costs tax treatment</t>
  </si>
  <si>
    <t>Traitement fiscal des coûts d’exploration</t>
  </si>
  <si>
    <t>Tratamiento tributario de los costos de prospección</t>
  </si>
  <si>
    <t>Bonus tax treatment</t>
  </si>
  <si>
    <t>Traitement fiscal des bonus</t>
  </si>
  <si>
    <t>Tratamiento tributario de las bonificaciones</t>
  </si>
  <si>
    <t>Costs for depreciation calculation</t>
  </si>
  <si>
    <t>Coûts pour le calcul de l'amortissement fiscal</t>
  </si>
  <si>
    <t>Costos para el cálculo de la depreciación</t>
  </si>
  <si>
    <t>Costs into depreciation calculation</t>
  </si>
  <si>
    <t>Coûts entrant au calcul d'amortissement</t>
  </si>
  <si>
    <t>Costos en el cálculo de la depreciación</t>
  </si>
  <si>
    <t>Straight-line depreciation</t>
  </si>
  <si>
    <t>Amortissement linéaire</t>
  </si>
  <si>
    <t>Depreciación lineal</t>
  </si>
  <si>
    <t>Revenues for tax</t>
  </si>
  <si>
    <t>Revenus imposables</t>
  </si>
  <si>
    <t>Ingresos para el impuesto</t>
  </si>
  <si>
    <t>Royalty deductibility</t>
  </si>
  <si>
    <t>Déductibilité de la redevance</t>
  </si>
  <si>
    <t>Deducibilidad de la regalía</t>
  </si>
  <si>
    <t>Carbon tax deductibility</t>
  </si>
  <si>
    <t>Déductibilité de la taxe carbone</t>
  </si>
  <si>
    <t>Deducibilidad del impuesto sobre el carbono</t>
  </si>
  <si>
    <t>Deductions</t>
  </si>
  <si>
    <t>Déductions</t>
  </si>
  <si>
    <t>Deducciones</t>
  </si>
  <si>
    <t>Taxable income</t>
  </si>
  <si>
    <t>Résultat imposable</t>
  </si>
  <si>
    <t>Ingreso imponible</t>
  </si>
  <si>
    <t>Determine cashflow for RRT</t>
  </si>
  <si>
    <t>Déterminer les flux de trésorerie pour l’IRRN</t>
  </si>
  <si>
    <t>Determinar flujo de caja para el IRRN</t>
  </si>
  <si>
    <t>Alternative basis for determining mining company net cashflow via taxable income</t>
  </si>
  <si>
    <t>Autre base pour déterminer le flux de trésorerie net de la société minière à partir du revenu imposable</t>
  </si>
  <si>
    <t>Base alternativa para determinar el flujo de caja neto de la empresa minera mediante el ingreso imponible</t>
  </si>
  <si>
    <t>Deduction of CIT for RRT</t>
  </si>
  <si>
    <t>Déduction de l’IBS pour l’IRRN</t>
  </si>
  <si>
    <t>Deducción del ISR para IRRN</t>
  </si>
  <si>
    <t>Mining company cumulative cashflow for RRT</t>
  </si>
  <si>
    <t>Flux de trésorerie cumulé de la société minière aux fins de l’IRRN</t>
  </si>
  <si>
    <t>Flujo de capital acumulado de la empresa minera para el IRRN</t>
  </si>
  <si>
    <t>RRT deductible for CIT</t>
  </si>
  <si>
    <t>Déduction de l’IRRN pour l’IBS</t>
  </si>
  <si>
    <t>IRRN deducible del ISR</t>
  </si>
  <si>
    <t>VAT applicable periods</t>
  </si>
  <si>
    <t>Périodes d’application de la TVA</t>
  </si>
  <si>
    <t>Períodos de IVA aplicable</t>
  </si>
  <si>
    <t>VAT cashflow</t>
  </si>
  <si>
    <t>Flux de trésorerie TVA</t>
  </si>
  <si>
    <t>Flujo de caja del IVA</t>
  </si>
  <si>
    <t>Project economic limit: pre-fiscal</t>
  </si>
  <si>
    <t>Limite économique du projet : avant impôt</t>
  </si>
  <si>
    <t>Límite económico del proyecto: prefiscal</t>
  </si>
  <si>
    <t>Mining company economic limit: post-fiscal</t>
  </si>
  <si>
    <t>Limite économique de la société minière : après impôt</t>
  </si>
  <si>
    <t>Límite económico de la empresa minera: posfiscal</t>
  </si>
  <si>
    <t>Post-fiscal ELT versus pre-fiscal ELT</t>
  </si>
  <si>
    <t>TLE après impôt comparé au TLE avant impôt</t>
  </si>
  <si>
    <t>ELT posfiscal frente a ELT prefiscal</t>
  </si>
  <si>
    <t>State participation share of equity contributions</t>
  </si>
  <si>
    <t>Part de l'Etat dans les apports en fonds propres</t>
  </si>
  <si>
    <t>Participación del Estado porcentaje de contribuciones de capital</t>
  </si>
  <si>
    <t>State participation share of mining company loan</t>
  </si>
  <si>
    <t>Part de l'Etat dans les apports au prêt de la société minière</t>
  </si>
  <si>
    <t>Participación del Estado porcentaje del préstamo de la empresa minera</t>
  </si>
  <si>
    <t>Share of loan met directly by state participant</t>
  </si>
  <si>
    <t>Part du prêt prise en charge directement par l'État</t>
  </si>
  <si>
    <t>Parte del préstamo pagado directamente por el Estado</t>
  </si>
  <si>
    <t>Share of loan met by parent company on behalf of state participant</t>
  </si>
  <si>
    <t>Part du prêt prise en charge par la société mère au nom de l'État</t>
  </si>
  <si>
    <t>Parte del préstamo pagado por la empresa matriz en nombre del Estado</t>
  </si>
  <si>
    <t>Project loan cashflows met by state participant</t>
  </si>
  <si>
    <t>Flux de trésorerie du prêt financés par l'État</t>
  </si>
  <si>
    <t>Flujos de caja de préstamos pagado por el Estado</t>
  </si>
  <si>
    <t>Project loan cashflows net of state participation share, met by parent company</t>
  </si>
  <si>
    <t>Flux de trésorerie du prêt nets de la part de participation de l'État, pris en charge par la société mère</t>
  </si>
  <si>
    <t>Flujos de caja de préstamos netos de la participación del Estado, pagado por la empresa matriz</t>
  </si>
  <si>
    <t>met by state</t>
  </si>
  <si>
    <t>payé par l'Etat</t>
  </si>
  <si>
    <t>pagado por el Estado</t>
  </si>
  <si>
    <t>State participation share of distributions</t>
  </si>
  <si>
    <t>Part de l'Etat dans les distributions</t>
  </si>
  <si>
    <t>Participación del Estado porcentaje de rentas distribuidas</t>
  </si>
  <si>
    <t>State participation cashflows after carried interest financing</t>
  </si>
  <si>
    <t>Flux de trésorerie de la participation de l'Etat après portage</t>
  </si>
  <si>
    <t>Flujos de caja de la participación del Estado tras financiamiento de participación pasiva</t>
  </si>
  <si>
    <t>State participation cashflows including share of loan</t>
  </si>
  <si>
    <t>Flux de trésorerie de la participation de l'Etat, y compris la part du prêt</t>
  </si>
  <si>
    <t>Flujos de caja de la participación del Estado, incluida la parte del préstamo</t>
  </si>
  <si>
    <t>Withdrawals</t>
  </si>
  <si>
    <t>Retraits</t>
  </si>
  <si>
    <t>Retiros</t>
  </si>
  <si>
    <t>Interest earned on fund</t>
  </si>
  <si>
    <t>Intérêts produits par le fonds</t>
  </si>
  <si>
    <t>Intereses devengados del fondo</t>
  </si>
  <si>
    <t>Determine financing and repayment period</t>
  </si>
  <si>
    <t>Déterminer la période de financement et de remboursement</t>
  </si>
  <si>
    <t>Determinar financiamiento y período de repago</t>
  </si>
  <si>
    <t>Costs to be financed</t>
  </si>
  <si>
    <t>Coûts à financer</t>
  </si>
  <si>
    <t>Costos a financiar</t>
  </si>
  <si>
    <t>Interest accounting</t>
  </si>
  <si>
    <t>Comptabilisation des intérêts</t>
  </si>
  <si>
    <t>Contabilidad de intereses</t>
  </si>
  <si>
    <t>Capitalized costs excluding interest (for RRT)</t>
  </si>
  <si>
    <t>Coûts capitalisés hors intérêts (pour l’IRRN)</t>
  </si>
  <si>
    <t>Costos capitalizados excluidos intereses (para IRRN)</t>
  </si>
  <si>
    <t>Capitalized costs into depreciation calculation</t>
  </si>
  <si>
    <t>Coûts capitalisés entrant au calcul d'amortissement</t>
  </si>
  <si>
    <t>Costos capitalizados en el cálculo de la depreciación</t>
  </si>
  <si>
    <t>Cost base for straight-line depreciation</t>
  </si>
  <si>
    <t>Base de coûts pour amortissement linéaire</t>
  </si>
  <si>
    <t>Base de costos para depreciación lineal</t>
  </si>
  <si>
    <t>Straight-line depreciation charge</t>
  </si>
  <si>
    <t>Dotation aux amortissements linéaires</t>
  </si>
  <si>
    <t>Cargo por depreciación lineal</t>
  </si>
  <si>
    <t>Determine fully depreciated costs</t>
  </si>
  <si>
    <t>Détermine les coûts intégralement amortis</t>
  </si>
  <si>
    <t>Determinar costos plenamente depreciados</t>
  </si>
  <si>
    <t>Balance of undepreciated assets</t>
  </si>
  <si>
    <t>Solde des actifs non amortis</t>
  </si>
  <si>
    <t>Saldo de activos no depreciados</t>
  </si>
  <si>
    <t>Flags from project cashflows</t>
  </si>
  <si>
    <t>Repère des flux de trésorerie du projet</t>
  </si>
  <si>
    <t>Marcas de flujos de caja del proyecto</t>
  </si>
  <si>
    <t>Start year for each alternative</t>
  </si>
  <si>
    <t>Année du début de chaque option</t>
  </si>
  <si>
    <t>Año de inicio para cada alternativa</t>
  </si>
  <si>
    <t>VAT applicable flag</t>
  </si>
  <si>
    <t>Repère de TVA applicable</t>
  </si>
  <si>
    <t>Marca del IVA aplicable</t>
  </si>
  <si>
    <t>Scheduled refunds</t>
  </si>
  <si>
    <t>Remboursements échelonnés</t>
  </si>
  <si>
    <t>Reembolsos programados</t>
  </si>
  <si>
    <t>Loan available until</t>
  </si>
  <si>
    <t>Emptunt disponible jusqu’à</t>
  </si>
  <si>
    <t>Préstamo disponible hasta</t>
  </si>
  <si>
    <t xml:space="preserve">Drawdowns </t>
  </si>
  <si>
    <t xml:space="preserve">Tirages </t>
  </si>
  <si>
    <t xml:space="preserve">Disposiciones </t>
  </si>
  <si>
    <t>Interest rate</t>
  </si>
  <si>
    <t>Taux d’intérêt</t>
  </si>
  <si>
    <t>Tasa de interés</t>
  </si>
  <si>
    <t>Repayments</t>
  </si>
  <si>
    <t>Remboursements</t>
  </si>
  <si>
    <t>Reembolsos</t>
  </si>
  <si>
    <t>Carried interest loan cashflows</t>
  </si>
  <si>
    <t>Flux de trésorerie du financement du portage</t>
  </si>
  <si>
    <t>Flujos de caja del préstamo de participación pasiva</t>
  </si>
  <si>
    <t>Carried interest loan</t>
  </si>
  <si>
    <t>Financement du portage</t>
  </si>
  <si>
    <t>Préstamo de participación pasiva</t>
  </si>
  <si>
    <t>Regime number</t>
  </si>
  <si>
    <t>Numéro du régime</t>
  </si>
  <si>
    <t>Número del régimen</t>
  </si>
  <si>
    <t>Regime name</t>
  </si>
  <si>
    <t>Nom du régime</t>
  </si>
  <si>
    <t>Nombre del régimen</t>
  </si>
  <si>
    <t>Selected regime number</t>
  </si>
  <si>
    <t>Numéro du régime choisi</t>
  </si>
  <si>
    <t>Número del régimen seleccionado</t>
  </si>
  <si>
    <t>Signature bonus (first period of activity)</t>
  </si>
  <si>
    <t>Bonus de signature (première période d’activité)</t>
  </si>
  <si>
    <t>Bono por suscripción de contratos (primer período de actividad)</t>
  </si>
  <si>
    <t>Bonuses tax deductible</t>
  </si>
  <si>
    <t>Bonus déductibles</t>
  </si>
  <si>
    <t>Bonificaciones deducibles de impuestos</t>
  </si>
  <si>
    <t>Royalty rate: flat</t>
  </si>
  <si>
    <t>Taux de redevance : constante</t>
  </si>
  <si>
    <t>Tasa de regalía: fija</t>
  </si>
  <si>
    <t>Additional royalty rate above price threshold</t>
  </si>
  <si>
    <t>Taux de redevance additionnel au-dessus d'un seuil de prix</t>
  </si>
  <si>
    <t>Tasa de regalía adicional por encima del umbral de precios</t>
  </si>
  <si>
    <t>Threshold for price royalty (0 = no price royalty)</t>
  </si>
  <si>
    <t>Prix de déclenchement de la redevance liée au prix (0 = pas de redevance)</t>
  </si>
  <si>
    <t>Umbral de la regalía por precios (0 = sin regalías por precios)</t>
  </si>
  <si>
    <t>Price threshold inflation indexed</t>
  </si>
  <si>
    <t>Seuil de prix indexé à l’inflation</t>
  </si>
  <si>
    <t>Umbral de precios indexado por la inflación</t>
  </si>
  <si>
    <t xml:space="preserve">Royalty base (gross or net revenues) </t>
  </si>
  <si>
    <t xml:space="preserve">Assiette de la redevance (revenus bruts ou nets) </t>
  </si>
  <si>
    <t xml:space="preserve">Base de la regalía (ingresos brutos o netos) </t>
  </si>
  <si>
    <t>Royalty is CIT and RRT deductible</t>
  </si>
  <si>
    <t>La redevance est déductible de l’IBS et de l’IRRN</t>
  </si>
  <si>
    <t>La regalía es deducible del ISR y del IRRN</t>
  </si>
  <si>
    <t>Tax per ton of CO2 eq emitted in start year</t>
  </si>
  <si>
    <t>Taxe par tonne d’éq. CO2 émise l’année de démarrage</t>
  </si>
  <si>
    <t>Impuesto por tonelada de Co2(e) emitida en el año de inicio</t>
  </si>
  <si>
    <t>Start year of carbon tax (0=from beginning)</t>
  </si>
  <si>
    <t>Année de mise en place de la taxe carbone (0 = depuits le début)</t>
  </si>
  <si>
    <t>Año de inicio del impuesto sobre el carbono (0 = desde el principio)</t>
  </si>
  <si>
    <t>Carbon tax in real or nominal terms</t>
  </si>
  <si>
    <t>Taxe carbone en termes réels ou nominaux</t>
  </si>
  <si>
    <t>Impuesto sobre el carbono en términos reales o nominales</t>
  </si>
  <si>
    <t>Method to change carbon tax over time</t>
  </si>
  <si>
    <t>Méthode pour modifier la taxe carbone dans le temps</t>
  </si>
  <si>
    <t>Método de modificación del impuesto sobre el carbono a lo largo del tiempo</t>
  </si>
  <si>
    <t>Percentage - annual increase above inflation</t>
  </si>
  <si>
    <t>Pourcentage - augmentation annuelle au-dessus de l’inflation</t>
  </si>
  <si>
    <t>Porcentaje - Incremento anual por encima de la inflación</t>
  </si>
  <si>
    <t>Target year - tax per CO2 eq emitted in future year</t>
  </si>
  <si>
    <t>Année cible - taxe par éq. CO2 émis l’année suivante</t>
  </si>
  <si>
    <t>Año objetivo - Impuesto por Co2(e) emitido en año futuro</t>
  </si>
  <si>
    <t>Target year - year in which tax reaches target level</t>
  </si>
  <si>
    <t>Année cible - année au cours de laquelle la taxe atteint le niveau cible</t>
  </si>
  <si>
    <t>Año objetivo - Año en que el impuesto alcanza el nivel objetivo</t>
  </si>
  <si>
    <t>Carbon tax imposed on scope 3 emissions levied on investor</t>
  </si>
  <si>
    <t>Taxe carbone prélevée sur l'investisseur sur les émissions de portée 3</t>
  </si>
  <si>
    <t>Impuesto sobre las emisiones de carbono del ámbito 3 que grava al inversionista</t>
  </si>
  <si>
    <t>Carbon tax is CIT and RRT deductible</t>
  </si>
  <si>
    <t>La taxe carbone est déductible de l’IBS et de l’IRRN</t>
  </si>
  <si>
    <t>El impuesto sobre el carbono es deducible del ISR y del IRRN</t>
  </si>
  <si>
    <t>Commencement of decommissioning provision</t>
  </si>
  <si>
    <t>Début de la provision pour abandon</t>
  </si>
  <si>
    <t>Inicio de la provisión para desmantelamiento</t>
  </si>
  <si>
    <t>Exploration costs depreciated or deducted immediately</t>
  </si>
  <si>
    <t>Coûts d’exploration amortis ou immédiatement déduits</t>
  </si>
  <si>
    <t>Costos de exploración depreciados o deducidos inmediatamente</t>
  </si>
  <si>
    <t>Depreciation starts from</t>
  </si>
  <si>
    <t>Amortissement commence à partir de l'année</t>
  </si>
  <si>
    <t>La depreciación empieza a partir de</t>
  </si>
  <si>
    <t>Development costs and replacement capital depreciation</t>
  </si>
  <si>
    <t>Amortissement des coûts de développement et des investissements de remplacement</t>
  </si>
  <si>
    <t>Depreciación de los costos de desarrollo y del capital de reemplazo</t>
  </si>
  <si>
    <t>Uplift on negative cashflows</t>
  </si>
  <si>
    <t>Majoration d'amortissement des flux de trésorerie négatifs</t>
  </si>
  <si>
    <t>Sobreamortización de flujos de caja negativos</t>
  </si>
  <si>
    <t>CIT is deducted for RRT</t>
  </si>
  <si>
    <t>L’IBS est déduit pour l’IRRN</t>
  </si>
  <si>
    <t>El ISR es deducible para el IRRN</t>
  </si>
  <si>
    <t>RRT tax rate</t>
  </si>
  <si>
    <t>Taux IRRN</t>
  </si>
  <si>
    <t>Tasa impositiva del IRRN</t>
  </si>
  <si>
    <t>Dividend withholding tax</t>
  </si>
  <si>
    <t>Retenue à la source sur les dividendes</t>
  </si>
  <si>
    <t>Impuesto retenido sobre dividendos</t>
  </si>
  <si>
    <t>Interest withholding tax</t>
  </si>
  <si>
    <t>Retenue à la source sur les intérêts</t>
  </si>
  <si>
    <t>Impuesto retenido sobre intereses</t>
  </si>
  <si>
    <t>State participation</t>
  </si>
  <si>
    <t>Participation de l’État</t>
  </si>
  <si>
    <t>Participación del Estado</t>
  </si>
  <si>
    <t>State participation meets share of equity contributions and mining company loan</t>
  </si>
  <si>
    <t>La participation de l’État paie sa part des fonds propres et sa part du prêt de la société minière</t>
  </si>
  <si>
    <t>La participación del Estado satisface su parte de capital y su parte de préstamo de empresa minera</t>
  </si>
  <si>
    <t>Carried interest: State participation equity and share of loan met by parent company</t>
  </si>
  <si>
    <t>Portage : Proportion des fonds propres et du prêt de la participation de l’État financée par la société-mère</t>
  </si>
  <si>
    <t>Participación pasiva: Proporción de capital y del préstamo de la participación del Estado financiado por la empresa matriz</t>
  </si>
  <si>
    <t>Carried interest: Financing by parent company till production year</t>
  </si>
  <si>
    <t>Portage : Financement par la société-mère jusqu’à l’année de production</t>
  </si>
  <si>
    <t>Participación pasiva: financiamiento por la empresa matriz hasta el año de producción</t>
  </si>
  <si>
    <t>Carried interest: Interest rate margin above LIBOR</t>
  </si>
  <si>
    <t>Portage : Marge au-dessus du LIBOR</t>
  </si>
  <si>
    <t>Participación pasiva: Margen de la tasa de interés por encima del LIBOR</t>
  </si>
  <si>
    <t>Carried interest: Proportion state participation cashflows used to repay equity carry</t>
  </si>
  <si>
    <t>Portage : Part des flux de trésorerie de la participation de l’État utilisée à des fins de remboursement du portage des fonds propres</t>
  </si>
  <si>
    <t>Participación pasiva: Proporción de flujos de caja de la participación del Estado utilizada para reembolsar el financimento de capital</t>
  </si>
  <si>
    <t>Proportion development costs borrowed</t>
  </si>
  <si>
    <t>Part des coûts de développement financée par emprunt</t>
  </si>
  <si>
    <t>Proporción de los costos de desarrollo en préstamo</t>
  </si>
  <si>
    <t>Repayment period (yrs after financing period) (max)</t>
  </si>
  <si>
    <t>Période de remboursement (années après la période de financement) (max)</t>
  </si>
  <si>
    <t>Período de repago (años después de período de financiamiento) (máx.)</t>
  </si>
  <si>
    <t>Loan real interest rate (margin over LIBOR)</t>
  </si>
  <si>
    <t>Taux d’intérêt réel des emprunts (marge sur le LIBOR)</t>
  </si>
  <si>
    <t>Tasa de interés real del préstamo (margen por encima del LIBOR)</t>
  </si>
  <si>
    <t>VAT Rate</t>
  </si>
  <si>
    <t>Taux de TVA</t>
  </si>
  <si>
    <t>Tasa del IVA</t>
  </si>
  <si>
    <t>% Exploration &amp; capex subject to VAT</t>
  </si>
  <si>
    <t>% des coûts d’exploration et des investissements soumis à la TVA</t>
  </si>
  <si>
    <t>% gasto de capital y prospección sujeto a IVA</t>
  </si>
  <si>
    <t>% opex subject to VAT</t>
  </si>
  <si>
    <t>% des dépenses d’exploitation soumis à la TVA</t>
  </si>
  <si>
    <t>% costos de operación sujeto a IVA</t>
  </si>
  <si>
    <t>VAT refund delay</t>
  </si>
  <si>
    <t>Délai de remboursement de la TVA</t>
  </si>
  <si>
    <t>Retraso en la devolución del IVA</t>
  </si>
  <si>
    <t>VAT applicable from</t>
  </si>
  <si>
    <t>TVA applicable à partir de</t>
  </si>
  <si>
    <t>IVA aplicable desde</t>
  </si>
  <si>
    <t>Proportion reserves produced</t>
  </si>
  <si>
    <t>Part des réserves produites</t>
  </si>
  <si>
    <t>Proporción de reservas producidas</t>
  </si>
  <si>
    <t>Decommissioning period</t>
  </si>
  <si>
    <t>Période d'abandon</t>
  </si>
  <si>
    <t>Período de desmantelamiento</t>
  </si>
  <si>
    <t>Number of decommissioning periods</t>
  </si>
  <si>
    <t>Nombre de périodes d'abandon</t>
  </si>
  <si>
    <t>Número de períodos de desmantelamiento</t>
  </si>
  <si>
    <t>Decommissioning provision required (annuity basis)</t>
  </si>
  <si>
    <t>Provision pour abandon requise (base annuelle)</t>
  </si>
  <si>
    <t>Provisión para desmantelamiento necesaria (en base de anualidad)</t>
  </si>
  <si>
    <t>Decommissioning provision for future costs (end of period)</t>
  </si>
  <si>
    <t>Provision pour abandon pour les coûts futurs (fin de période)</t>
  </si>
  <si>
    <t>Provisión para desmantelamiento para costos futuros (fin de período)</t>
  </si>
  <si>
    <t>Withdrawals to meet decommissioning costs (end of period)</t>
  </si>
  <si>
    <t>Prélèvements pour couvrir les coûts d'abandon (fin de période)</t>
  </si>
  <si>
    <t>Retiros para cubrir costos de desmantelamiento (fin de período)</t>
  </si>
  <si>
    <t>Interest</t>
  </si>
  <si>
    <t>Intérêts</t>
  </si>
  <si>
    <t>Interés</t>
  </si>
  <si>
    <t>Decommissioning fund opening balance BEG</t>
  </si>
  <si>
    <t>Solde d’ouverture du fonds d'abandon DÉBUT</t>
  </si>
  <si>
    <t>Saldo de apertura del fondo para desmantelamiento INICIO</t>
  </si>
  <si>
    <t>Decommissioning fund closing balance: END</t>
  </si>
  <si>
    <t>Solde de clôture du fonds d'abandon : FIN</t>
  </si>
  <si>
    <t>Saldo de cierre del fondo para desmantelamiento FINAL</t>
  </si>
  <si>
    <t>decommissioning cashflows</t>
  </si>
  <si>
    <t>Flux de trésorerie liés à l'abandon</t>
  </si>
  <si>
    <t>flujos de caja para desmantelamiento</t>
  </si>
  <si>
    <t>Net decommissioning cashflows including fund</t>
  </si>
  <si>
    <t>Flux de trésorerie nets liés à l'abandon, y compris le fonds</t>
  </si>
  <si>
    <t>Flujos de caja netos para desmantelamiento, incluido el fondo</t>
  </si>
  <si>
    <t>Project cashflows before fiscal regime after decommissioning</t>
  </si>
  <si>
    <t>Flux de trésorerie avant régime fiscal et après abandon</t>
  </si>
  <si>
    <t>Flujos de caja del proyecto ante el régimen fiscal, después de desmantelamiento</t>
  </si>
  <si>
    <t>Flat royalty rate</t>
  </si>
  <si>
    <t>Taux de redevance constant</t>
  </si>
  <si>
    <t>Tasa fija de regalía</t>
  </si>
  <si>
    <t>Proportion of price above threshold</t>
  </si>
  <si>
    <t>Proportion du prix au-dessus du seuil</t>
  </si>
  <si>
    <t>Proporción del precio por encima del umbral</t>
  </si>
  <si>
    <t>Price royalty rate</t>
  </si>
  <si>
    <t>Taux de redevance dépendant du prix</t>
  </si>
  <si>
    <t>Tasa de regalía por precios</t>
  </si>
  <si>
    <t>Royalty rate</t>
  </si>
  <si>
    <t>Taux de redevance</t>
  </si>
  <si>
    <t>Tasa de regalía</t>
  </si>
  <si>
    <t>Total GHG emissions applicable for carbon tax</t>
  </si>
  <si>
    <t>Émissions totales de GES soumises à la taxe carbone</t>
  </si>
  <si>
    <t>Emisiones totales de GEI a las que se aplica el impuesto sobre el carbono</t>
  </si>
  <si>
    <t>Carbon tax rate applicable</t>
  </si>
  <si>
    <t>Taux de la taxe carbone applicable</t>
  </si>
  <si>
    <t>Tasa del impuesto sobre el carbono aplicable</t>
  </si>
  <si>
    <t>Year of carbon tax</t>
  </si>
  <si>
    <t>Année de la taxe carbone</t>
  </si>
  <si>
    <t>Año del impuesto sobre el carbono</t>
  </si>
  <si>
    <t>Carbon tax - inflation</t>
  </si>
  <si>
    <t xml:space="preserve">Inflation sur taxe carbone </t>
  </si>
  <si>
    <t>Impuesto sobre el carbono – inflación</t>
  </si>
  <si>
    <t>Inflation since carbon tax start year</t>
  </si>
  <si>
    <t>Inflation depuis l’année de mise en place de la taxe carbone</t>
  </si>
  <si>
    <t>Inflación desde el año de inicio del impuesto sobre el carbono</t>
  </si>
  <si>
    <t>Carbon tax inflation index</t>
  </si>
  <si>
    <t>Indice d’inflation de la taxe carbone</t>
  </si>
  <si>
    <t>Índice de inflación del impuesto sobre el carbono</t>
  </si>
  <si>
    <t>Carbon tax - percentage method; before inflation adjustment</t>
  </si>
  <si>
    <t>Taxe carbone - Méthode en pourcentage ; avant ajustement en fonction de l’inflation</t>
  </si>
  <si>
    <t>Impuesto sobre el carbono - Método del porcentaje; antes del ajuste por la inflación</t>
  </si>
  <si>
    <t>Years of carbon tax until it reaches target level</t>
  </si>
  <si>
    <t>Années de la taxe carbone jusqu’à ce qu’elle atteigne le niveau cible</t>
  </si>
  <si>
    <t>Años de impuesto sobre el carbono hasta alcanzar el nivel objetivo</t>
  </si>
  <si>
    <t>Change in carbon tax between start and future year</t>
  </si>
  <si>
    <t>Variation de la taxe carbone entre l’année de départ et l’année suivante</t>
  </si>
  <si>
    <t>Modificación del impuesto sobre el carbono entre el año de inicio y el año futuro</t>
  </si>
  <si>
    <t>Annual increase in carbon tax</t>
  </si>
  <si>
    <t>Augmentation annuelle de la taxe carbone</t>
  </si>
  <si>
    <t>Incremento anual del impuesto sobre el carbono</t>
  </si>
  <si>
    <t>Carbon tax - target level/year; before inflation adjustment</t>
  </si>
  <si>
    <t>Taxe carbone - Niveau cible/année ; avant ajustement en fonction de l’inflation</t>
  </si>
  <si>
    <t>Impuesto sobre el carbono - nivel objetivo/año; antes del ajuste por la inflación</t>
  </si>
  <si>
    <t>Carbon tax as share of net revenue</t>
  </si>
  <si>
    <t>Taxe carbone en % des revenus nets</t>
  </si>
  <si>
    <t>Impuesto sobre el carbono como proporción de los ingresos netos</t>
  </si>
  <si>
    <t>Project cashflows turn positive</t>
  </si>
  <si>
    <t>Les flux de trésorerie du projet deviennent positifs</t>
  </si>
  <si>
    <t>Los flujos de caja del proyecto pasan a ser positivos</t>
  </si>
  <si>
    <t>Financing period</t>
  </si>
  <si>
    <t>Période de financement</t>
  </si>
  <si>
    <t>Período de financiamiento</t>
  </si>
  <si>
    <t>Loan drawdowns (mid-period)</t>
  </si>
  <si>
    <t>Tirages de l'emprunt (mi-période)</t>
  </si>
  <si>
    <t>Disposiciones del préstamo (a mitad del período)</t>
  </si>
  <si>
    <t>Loan repayment flag</t>
  </si>
  <si>
    <t>Repère de remboursement de l'emprunt</t>
  </si>
  <si>
    <t>Marca de repago de préstamos</t>
  </si>
  <si>
    <t>Proportion of remaining loan balance to be paid</t>
  </si>
  <si>
    <t>Proportion du solde de l'emprunt à rembourser</t>
  </si>
  <si>
    <t>Proporción del saldo residual del préstamo a pagar</t>
  </si>
  <si>
    <t>Loan nominal interest rate</t>
  </si>
  <si>
    <t>Taux d’intérêt nominal de l'emprunt</t>
  </si>
  <si>
    <t>Tasa de interés nominal del préstamo</t>
  </si>
  <si>
    <t>Loan account opening balance: BEG</t>
  </si>
  <si>
    <t>Solde d’ouverture du compte d'emprunt : DÉBUT</t>
  </si>
  <si>
    <t>Saldo de apertura de la cuenta de préstamos: INICIO</t>
  </si>
  <si>
    <t>Interest charged</t>
  </si>
  <si>
    <t>Intérêts facturés</t>
  </si>
  <si>
    <t>Interés cobrado</t>
  </si>
  <si>
    <t>Interest payments (end of period)</t>
  </si>
  <si>
    <t>Intérêts payés (fin de période)</t>
  </si>
  <si>
    <t>Pago de intereses (fin de período)</t>
  </si>
  <si>
    <t>Loan balance to be paid</t>
  </si>
  <si>
    <t>Solde de l'emprunt à rembourser</t>
  </si>
  <si>
    <t>Saldo del préstamo por pagar</t>
  </si>
  <si>
    <t>Principal repayments</t>
  </si>
  <si>
    <t>Remboursements du principal</t>
  </si>
  <si>
    <t>Reembolsos del principal</t>
  </si>
  <si>
    <t>Loan closing balance: END</t>
  </si>
  <si>
    <t>Solde de clôture de l'emprunt : FIN</t>
  </si>
  <si>
    <t>Saldo de cierre del préstamo: FINAL</t>
  </si>
  <si>
    <t>Loan cashflows before interest withholding tax</t>
  </si>
  <si>
    <t>Flux de trésorerie de l'emprunt avant retenue d’impôt sur les intérêts</t>
  </si>
  <si>
    <t>Flujos de caja del préstamo antes del impuesto retenido sobre intereses</t>
  </si>
  <si>
    <t>Lender cashflows after interest withholding tax</t>
  </si>
  <si>
    <t>Flux de trésorerie du prêteur après retenue d’impôt sur les intérêts</t>
  </si>
  <si>
    <t>Flujos de caja del prestamista después del impuesto retenido sobre intereses</t>
  </si>
  <si>
    <t>Loan IRR: Lender</t>
  </si>
  <si>
    <t>TRI de l'emprunt : Prêteur</t>
  </si>
  <si>
    <t>TIR del préstamo: Prestamista</t>
  </si>
  <si>
    <t>Interest capitalized into development costs</t>
  </si>
  <si>
    <t>Intérêts capitalisés entrant les coûts de développement</t>
  </si>
  <si>
    <t>Interés capitalizado en los costos de desarrollo</t>
  </si>
  <si>
    <t>Interest expensed to P&amp;L</t>
  </si>
  <si>
    <t>Intérêts  comptabilisés en charges</t>
  </si>
  <si>
    <t>Interés asentado como gasto en pérdidas y ganancias</t>
  </si>
  <si>
    <t>interest allocation</t>
  </si>
  <si>
    <t>Répartition des intérêts</t>
  </si>
  <si>
    <t>asignación de intereses</t>
  </si>
  <si>
    <t>Total final allocation of loan</t>
  </si>
  <si>
    <t>Allocation totale finale du prêt</t>
  </si>
  <si>
    <t>Asignación final total del préstamo</t>
  </si>
  <si>
    <t>loan cashflows allocation</t>
  </si>
  <si>
    <t>Répartition des flux de trésorerie de l'emprunt</t>
  </si>
  <si>
    <t>asignación de flujos de caja del préstamo</t>
  </si>
  <si>
    <t>Capitalized costs: Mining company</t>
  </si>
  <si>
    <t>Coûts capitalisés : Société minière</t>
  </si>
  <si>
    <t>Costos capitalizados: Empresa minera</t>
  </si>
  <si>
    <t>Capitalized costs excluding interest</t>
  </si>
  <si>
    <t>Coûts capitalisés hors intérêts</t>
  </si>
  <si>
    <t>Costos capitalizados excluidos intereses</t>
  </si>
  <si>
    <t>Cumulative depreciation years</t>
  </si>
  <si>
    <t>Années d’amortissement cumulées</t>
  </si>
  <si>
    <t>Años acumulados de depreciación</t>
  </si>
  <si>
    <t>Remaining depreciation years</t>
  </si>
  <si>
    <t>Années d’amortissement restantes</t>
  </si>
  <si>
    <t>Años restantes de depreciación</t>
  </si>
  <si>
    <t>costs into depreciation</t>
  </si>
  <si>
    <t>costos en depreciación</t>
  </si>
  <si>
    <t>Undepreciated costs: opening balance BEG</t>
  </si>
  <si>
    <t>Coûts non amortis : solde d’ouverture DÉBUT</t>
  </si>
  <si>
    <t>Costos no depreciados: Saldo de apertura INICIO</t>
  </si>
  <si>
    <t>Cost base written off in final year of production</t>
  </si>
  <si>
    <t>Base de coûts passés par pertes et profits dans la dernière année de production</t>
  </si>
  <si>
    <t>Base de costos amortizada en el año final de producción</t>
  </si>
  <si>
    <t>Cost base for depreciation END</t>
  </si>
  <si>
    <t>Base de coûts pour l’amortissement FIN</t>
  </si>
  <si>
    <t>Base de costos para depreciación FINAL</t>
  </si>
  <si>
    <t>Capitalized costs fully depreciated</t>
  </si>
  <si>
    <t>Coûts capitalisés intégralement amortis</t>
  </si>
  <si>
    <t>Costos capitalizados plenamente depreciados</t>
  </si>
  <si>
    <t>Balance of capitalized costs: BEG</t>
  </si>
  <si>
    <t>Solde des coûts capitalisés : DÉBUT</t>
  </si>
  <si>
    <t>Saldo de costos capitalizados: INICIO</t>
  </si>
  <si>
    <t>Final year write-off</t>
  </si>
  <si>
    <t>Passation en pertes et profits de la dernière année</t>
  </si>
  <si>
    <t>Año final de amortización</t>
  </si>
  <si>
    <t>Balance of capitalized costs: END</t>
  </si>
  <si>
    <t>Solde des coûts capitalisés : FIN</t>
  </si>
  <si>
    <t>Saldo de costos capitalizados: FINAL</t>
  </si>
  <si>
    <t xml:space="preserve">Tax depreciation charge mining company </t>
  </si>
  <si>
    <t xml:space="preserve">Dotation aux amortissements de la société minière </t>
  </si>
  <si>
    <t xml:space="preserve">Cargo por depreciación fiscal de la empresa minera </t>
  </si>
  <si>
    <t>depreciation</t>
  </si>
  <si>
    <t>amortissement</t>
  </si>
  <si>
    <t>depreciación</t>
  </si>
  <si>
    <t>Taxable income before prior period losses</t>
  </si>
  <si>
    <t>Résultat imposable avant pertes antérieures</t>
  </si>
  <si>
    <t>Ingreso imponible antes de pérdidas de períodos anteriores</t>
  </si>
  <si>
    <t>Prior period losses carried forward (unlimited carry forward)</t>
  </si>
  <si>
    <t>Report des pertes antérieures (reports illimités)</t>
  </si>
  <si>
    <t>Pérdidas trasladadas de períodos anteriores (traslado permanente ilimitado)</t>
  </si>
  <si>
    <t>Taxable income after losses</t>
  </si>
  <si>
    <t>Résultat imposable après pertes</t>
  </si>
  <si>
    <t>Ingreso imponible después de pérdidas</t>
  </si>
  <si>
    <t>CIT rate applicable</t>
  </si>
  <si>
    <t>Taux d’IBS applicable</t>
  </si>
  <si>
    <t>Tasa del ISR aplicable</t>
  </si>
  <si>
    <t>Cost deductions for RRT</t>
  </si>
  <si>
    <t>Déductions de coûts pour l’IRR</t>
  </si>
  <si>
    <t>Deducciones de costos del IRRN</t>
  </si>
  <si>
    <t>Mining company net cashflow before tax for RRT (via cashflows)</t>
  </si>
  <si>
    <t>Flux de trésorerie net de la société minière avant IRRN (via les flux de trésorerie)</t>
  </si>
  <si>
    <t>Flujo de caja neto de la empresa minera antes de impuestos para el IRRN (vía flujos de caja)</t>
  </si>
  <si>
    <t>Mining company net cashflow before tax for RRT (via tax return)</t>
  </si>
  <si>
    <t>Flux de trésorerie net de la société minière avant IRRN (via la déclaration d’impôts)</t>
  </si>
  <si>
    <t>Flujo de caja neto de la empresa minera antes de impuestos para el IRRN (vía declaración de impuestos)</t>
  </si>
  <si>
    <t>Mining company cashflows for RRT: cashflow versus tax return</t>
  </si>
  <si>
    <t>Flux de trésorerie de la société minière pour l’IRRN : flux de trésorerie et déclaration fiscale</t>
  </si>
  <si>
    <t>Flujos de caja de la empresa minera para el IRRN: flujo de caja frente a declaración de impuestos</t>
  </si>
  <si>
    <t>Mining company RRT cumulative cashflow: BEG</t>
  </si>
  <si>
    <t>Flux de trésorerie cumulé de la société minière pour l’IRRN : DÉBUT</t>
  </si>
  <si>
    <t>Flujo de caja acumulado IRRN de la empresa minera: INICIO</t>
  </si>
  <si>
    <t>Uplift on negative cumulative cashflows</t>
  </si>
  <si>
    <t>Majoration d'amortissement des flux de trésorerie cumulés négatifs</t>
  </si>
  <si>
    <t>Sobreamortización de flujos de caja acumulados negativos</t>
  </si>
  <si>
    <t>Mining company RRT cumulative cashflow: END</t>
  </si>
  <si>
    <t>Flux de trésorerie cumulé de la société minière pour l’IRRN : FIN</t>
  </si>
  <si>
    <t>Flujo de caja acumulado IRRN de la empresa minera: FINAL</t>
  </si>
  <si>
    <t>Selected VAT start period</t>
  </si>
  <si>
    <t>Période de début de TVA choisie</t>
  </si>
  <si>
    <t>Período seleccionado de inicio del IVA</t>
  </si>
  <si>
    <t>Exploration start year</t>
  </si>
  <si>
    <t>Année de début de l’exploration</t>
  </si>
  <si>
    <t>Año de inicio de la prospección</t>
  </si>
  <si>
    <t>FID year</t>
  </si>
  <si>
    <t>Année DFI</t>
  </si>
  <si>
    <t>Año de la DFI</t>
  </si>
  <si>
    <t>Production start year</t>
  </si>
  <si>
    <t>Année de début de la production</t>
  </si>
  <si>
    <t>Año de inicio de la producción</t>
  </si>
  <si>
    <t>Input VAT charged</t>
  </si>
  <si>
    <t>TVA en amont facturée</t>
  </si>
  <si>
    <t>Carga de IVA soportado</t>
  </si>
  <si>
    <t>Input VAT refund due</t>
  </si>
  <si>
    <t>Remboursement de la TVA en amont due</t>
  </si>
  <si>
    <t>Devolución adeudada del IVA soportado</t>
  </si>
  <si>
    <t>VAT refund months</t>
  </si>
  <si>
    <t>Mois de remboursement de la TVA</t>
  </si>
  <si>
    <t>Meses de devolución del IVA</t>
  </si>
  <si>
    <t>VAT refunds years</t>
  </si>
  <si>
    <t>Années de remboursement de la TVA</t>
  </si>
  <si>
    <t>Años de devoluciones del IVA</t>
  </si>
  <si>
    <t>interim calc. applying month delay</t>
  </si>
  <si>
    <t>Calcul intermédiaire en appliquant les mois de retard</t>
  </si>
  <si>
    <t>cálculo provisional que aplica retraso de un mes</t>
  </si>
  <si>
    <t>VAT refunds paid</t>
  </si>
  <si>
    <t>Remboursements de la TVA effectués</t>
  </si>
  <si>
    <t>Devoluciones pagadas del IVA</t>
  </si>
  <si>
    <t>VAT cashflow: investor</t>
  </si>
  <si>
    <t>Flux de trésorerie TVA : investisseur</t>
  </si>
  <si>
    <t>Flujo de caja del IVA: inversionista</t>
  </si>
  <si>
    <t>VAT cashflow: government</t>
  </si>
  <si>
    <t>Flux de trésorerie TVA : État</t>
  </si>
  <si>
    <t>Flujo de caja del IVA: gobierno</t>
  </si>
  <si>
    <t>Mining company cash flow before distributions</t>
  </si>
  <si>
    <t>Flux de trésorerie de la société minière avant distribution</t>
  </si>
  <si>
    <t>Flujo de caja de la empresa minera antes de rentas distribuidas</t>
  </si>
  <si>
    <t>Mining company equity contributions</t>
  </si>
  <si>
    <t>Apports en fonds propres de la société minière</t>
  </si>
  <si>
    <t>Contribuciones de capital de la empresa minera</t>
  </si>
  <si>
    <t>Mining company positive cashflows distributed</t>
  </si>
  <si>
    <t>Flux de trésorerie positifs distribués par la société minière</t>
  </si>
  <si>
    <t>Flujos de caja positivos distribuidos de la empresa minera</t>
  </si>
  <si>
    <t>Maximum cumulative cashflow</t>
  </si>
  <si>
    <t>Flux de trésorerie cumulé maximum</t>
  </si>
  <si>
    <t>Flujo de caja acumulado máximo</t>
  </si>
  <si>
    <t>Mining company post-fiscal EL reached before project EL</t>
  </si>
  <si>
    <t>Limite éco après impôt de la société minière atteinte avant la limite éco du projet</t>
  </si>
  <si>
    <t>EL posfiscal de la empresa minera alcanzado antes del EL del proyecto</t>
  </si>
  <si>
    <t>Mining company distributions deemed dividends</t>
  </si>
  <si>
    <t>Versements de la société minière considérés comme dividendes</t>
  </si>
  <si>
    <t>Rentas distribuidas de la empresa minera consideradas como dividendos</t>
  </si>
  <si>
    <t>Mining company distributions deemed return of capital</t>
  </si>
  <si>
    <t>Versements de la société minière considérés comme rémunération du capital</t>
  </si>
  <si>
    <t>Rentas distribuidas de la empresa minera consideradas como rentabilidad de capital</t>
  </si>
  <si>
    <t>Carried interest financing available</t>
  </si>
  <si>
    <t>Financement disponible du portage</t>
  </si>
  <si>
    <t>Financiamiento de participación pasiva disponible</t>
  </si>
  <si>
    <t>Negative state participation cashflows during financing period</t>
  </si>
  <si>
    <t>Flux de trésorerie négatifs de la participation de l’État pendant la période de financement</t>
  </si>
  <si>
    <t>Flujos de caja negativos de la participación del Estado durante el período de financiamiento</t>
  </si>
  <si>
    <t>Drawdowns (mid period)</t>
  </si>
  <si>
    <t>Prélèvements (milieu de période)</t>
  </si>
  <si>
    <t>Disposiciones (a mitad de período)</t>
  </si>
  <si>
    <t>Potential repayment</t>
  </si>
  <si>
    <t>Remboursement possible</t>
  </si>
  <si>
    <t>Reembolso potencial</t>
  </si>
  <si>
    <t>Opening balance: BEG</t>
  </si>
  <si>
    <t>Solde d’ouverture : DÉBUT</t>
  </si>
  <si>
    <t>Saldo de apertura: INICIO</t>
  </si>
  <si>
    <t>Interest charge</t>
  </si>
  <si>
    <t>Charges d’intérêt</t>
  </si>
  <si>
    <t>Balance to be repaid</t>
  </si>
  <si>
    <t>Solde à rembourser</t>
  </si>
  <si>
    <t>Saldo a reembolsar</t>
  </si>
  <si>
    <t>Repayment (end of period)</t>
  </si>
  <si>
    <t>Remboursement (fin de période)</t>
  </si>
  <si>
    <t>Reembolso (fin de período)</t>
  </si>
  <si>
    <t>Closing balance: END</t>
  </si>
  <si>
    <t>Solde de clôture : FIN</t>
  </si>
  <si>
    <t>Saldo de cierre: FINAL</t>
  </si>
  <si>
    <t>Parent company</t>
  </si>
  <si>
    <t>Société-mère</t>
  </si>
  <si>
    <t>Empresa matriz</t>
  </si>
  <si>
    <t>Closing balance</t>
  </si>
  <si>
    <t>Solde de clôture</t>
  </si>
  <si>
    <t>Saldo de cierre</t>
  </si>
  <si>
    <t>State participation before tax, after carried interest, excluding share of loan</t>
  </si>
  <si>
    <t>Participation de l’État avant impôt, après portage, hors quote-part de prêt</t>
  </si>
  <si>
    <t>Participación del Estado antes de impuestos, después de participación pasiva, excluyendo la parte del préstamo</t>
  </si>
  <si>
    <t>Parent company cashflows, before distributions</t>
  </si>
  <si>
    <t>Flux de trésorerie de la société-mère, avant le versement de dividendes</t>
  </si>
  <si>
    <t>Flujos de caja de la empresa matriz, antes de rentas distribuidas</t>
  </si>
  <si>
    <t>Total dividend distributions</t>
  </si>
  <si>
    <t>Total des distributions de dividendes</t>
  </si>
  <si>
    <t>Distribución de dividendos total</t>
  </si>
  <si>
    <t>Distributions to parent deemed to be dividends</t>
  </si>
  <si>
    <t>Versements à la société mère considérés comme des dividendes</t>
  </si>
  <si>
    <t>Rentas distribuidas a empresa matriz consideradas como dividendos</t>
  </si>
  <si>
    <t>Distributions to parent deemed to be return of capital</t>
  </si>
  <si>
    <t>Versements à la société mère considérés comme une rémunération du capital</t>
  </si>
  <si>
    <t>Rentas distribuidas a empresa matriz consideradas como rentabilidad del capital</t>
  </si>
  <si>
    <t>Net cashflow after fiscal regime: Parent company (excluding loan)</t>
  </si>
  <si>
    <t>Flux de trésorerie nets après régime fiscal : Société-mère (hors prêt)</t>
  </si>
  <si>
    <t>Flujo de caja neto después de régimen tributario: Empresa matriz (excluyendo préstamo)</t>
  </si>
  <si>
    <t>Government revenues excluding participation</t>
  </si>
  <si>
    <t>Revenus du gouvernement, hors participations</t>
  </si>
  <si>
    <t>Ingresos fiscales excluida participación</t>
  </si>
  <si>
    <t>Government revenues including participation</t>
  </si>
  <si>
    <t>Revenus du gouvernement, y compris participations</t>
  </si>
  <si>
    <t>Ingresos fiscales incluida participación</t>
  </si>
  <si>
    <t>Project cashflows after decommissioning fund</t>
  </si>
  <si>
    <t>Flux de trésorerie du projet après fonds d'abandon</t>
  </si>
  <si>
    <t>Flujos de caja del proyecto después del fondo para desmantelamiento</t>
  </si>
  <si>
    <t>Sum of participant cashflows</t>
  </si>
  <si>
    <t>Somme des flux de trésorerie des participants</t>
  </si>
  <si>
    <t>Suma de flujos de caja de los participantes</t>
  </si>
  <si>
    <t>Difference</t>
  </si>
  <si>
    <t>Différence</t>
  </si>
  <si>
    <t>Diferencia</t>
  </si>
  <si>
    <t>Comments</t>
  </si>
  <si>
    <t>Observations</t>
  </si>
  <si>
    <t>Comentarios</t>
  </si>
  <si>
    <t>incurred in period of first project activity</t>
  </si>
  <si>
    <t>encouru dès le début de l'activité du projet</t>
  </si>
  <si>
    <t>incurrida en el período de la primera actividad del proyecto</t>
  </si>
  <si>
    <t>depreciated for CIT if deductible, expensed for RRT if deductible; 0 = non-deductible</t>
  </si>
  <si>
    <t>Amortis aux fins de l’IBS si déductibles, passés en charge pour l’IRR si déductibles ; 0 = non déductible</t>
  </si>
  <si>
    <t>asentado como depreciado para el ISR si es deducible, como gasto para el IRRN si es deducible; 0 = no deducible</t>
  </si>
  <si>
    <t>ad-valorem royalty</t>
  </si>
  <si>
    <t>redevance ad valorem</t>
  </si>
  <si>
    <t>regalía ad valorem</t>
  </si>
  <si>
    <t>applies in addition to any flat royalty</t>
  </si>
  <si>
    <t>S’applique en plus de toute redevance à taux constant</t>
  </si>
  <si>
    <t>se aplica además de las regalías fijas</t>
  </si>
  <si>
    <t>yes or no</t>
  </si>
  <si>
    <t>oui ou non</t>
  </si>
  <si>
    <t>sí o no</t>
  </si>
  <si>
    <t>net = revenues minus downstream costs</t>
  </si>
  <si>
    <t>Net = revenus moins coûts en aval</t>
  </si>
  <si>
    <t>neto = ingresos menos costos de etapas secundarias</t>
  </si>
  <si>
    <t>Real, nominal; assumed nominal if empty</t>
  </si>
  <si>
    <t>Réel, nominal ; supposé nominal si vide</t>
  </si>
  <si>
    <t>Real, nominal; se supone nominal si está vacía</t>
  </si>
  <si>
    <t>Percentage, target year; assumed percentage if empty</t>
  </si>
  <si>
    <t>Pourcentage, année cible ; pourcentage supposé si vide</t>
  </si>
  <si>
    <t>Porcentaje, año objetivo; se supone porcentaje si está vacía</t>
  </si>
  <si>
    <t>0 if a constant tax level; percentage relative to carbon price in the first year</t>
  </si>
  <si>
    <t>0 si niveau de taxe constant ; pourcentage relatif au prix du carbone la première année</t>
  </si>
  <si>
    <t>0 si el nivel del impuesto es constante; porcentaje relativo al precio del carbono en el primer año</t>
  </si>
  <si>
    <t>no entry means not directly levied on investor</t>
  </si>
  <si>
    <t>pas de saisie signifie que l’impôt n’est pas directement prélevé auprès de l’investisseur</t>
  </si>
  <si>
    <t>sin entrada significa que no se grava directamente al inversionista</t>
  </si>
  <si>
    <t>no entry means not deductible for CIT and RRT</t>
  </si>
  <si>
    <t>pas de saisie signifie que les coûts ne sont pas déductbiles de l’IBS et de l’IRRN</t>
  </si>
  <si>
    <t>sin entrada significa no deducible para ISR y IRRN</t>
  </si>
  <si>
    <t>0 = from start of production</t>
  </si>
  <si>
    <t>0 = dès le début de la production</t>
  </si>
  <si>
    <t>0 = desde el inicio de la producción</t>
  </si>
  <si>
    <t>must enter value</t>
  </si>
  <si>
    <t>une valeur doit être saisie</t>
  </si>
  <si>
    <t>debe introducirse valor</t>
  </si>
  <si>
    <t>cashflow RRT</t>
  </si>
  <si>
    <t>Flux de trésorerie IRRN</t>
  </si>
  <si>
    <t>flujo de caja del IRRN</t>
  </si>
  <si>
    <t>no entry means not deducted; "No" means RRT is then deducted for CIT</t>
  </si>
  <si>
    <t>L’absence d’entrée indique non déductible ; « non » signifie que l’IRRN est déduit pour l’IBS</t>
  </si>
  <si>
    <t>sin entrada significa no deducible; «No» significa que el IRRN se deduce entonces del ISR</t>
  </si>
  <si>
    <t>paid once cumulative equity cashflow positive</t>
  </si>
  <si>
    <t>payé une fois que le flux de trésorerie cumulé des fonds propres est positif</t>
  </si>
  <si>
    <t>pagado una vez que el flujo de caja del capital acumulado es positivo</t>
  </si>
  <si>
    <t>paid when interest is paid</t>
  </si>
  <si>
    <t>payé lorsque les intérêts sont payés</t>
  </si>
  <si>
    <t>pagado cuando se paga el interés</t>
  </si>
  <si>
    <t>% share in mining company</t>
  </si>
  <si>
    <t>Part en % dans la société minière</t>
  </si>
  <si>
    <t>% de participación en la empresa minera</t>
  </si>
  <si>
    <t>no entry means state does not pay equity contributions</t>
  </si>
  <si>
    <t>pas de saisie signifie que l’État ne paie pas sa part des fonds propres</t>
  </si>
  <si>
    <t>sin entrada significa que el Estado no paga contribuciones de capital</t>
  </si>
  <si>
    <t>no entry means state does not pay loan contributions</t>
  </si>
  <si>
    <t>pas de saisie signifie que l’État ne paie pas sa part dans l'emprunt</t>
  </si>
  <si>
    <t>sin entrada significa que el Estado no paga contribuciones de prestamo</t>
  </si>
  <si>
    <t>financing till end of specified production year. 0 means end of year before production starts</t>
  </si>
  <si>
    <t>financement jusqu’à la fin de l’année de production spécifiée. 0 signifie la fin de l’année avant le début de la production</t>
  </si>
  <si>
    <t>financiamiento hasta el final del año de producción especificado. 0 significa final del año antes de que comience la producción</t>
  </si>
  <si>
    <t>percentage of aggregate price</t>
  </si>
  <si>
    <t>Pourcentage du prix global</t>
  </si>
  <si>
    <t>porcentaje del precio agregado</t>
  </si>
  <si>
    <t>assume this is the inflation rate if the carbon tax start year is before the model start year</t>
  </si>
  <si>
    <t>supposer que ceci est le taux d’inflation si l’année de début de la taxe carbone précède l’année de début du modèle</t>
  </si>
  <si>
    <t>asume que esta es la tasa de inflación si el año de inicio del impuesto sobre el carbono es anterior al año de inicio del modelo</t>
  </si>
  <si>
    <t>for info only</t>
  </si>
  <si>
    <t>uniquement pour information</t>
  </si>
  <si>
    <t>solo para información</t>
  </si>
  <si>
    <t>assumed via depreciation</t>
  </si>
  <si>
    <t>supposé par amortissement</t>
  </si>
  <si>
    <t>se supone vía depreciación</t>
  </si>
  <si>
    <t>assumes permanent carry forward</t>
  </si>
  <si>
    <t>suppose un report permanent</t>
  </si>
  <si>
    <t>se supone traslado permanente</t>
  </si>
  <si>
    <t>prior period to avoid circularity</t>
  </si>
  <si>
    <t>période précédente pour éviter la circularité</t>
  </si>
  <si>
    <t>período anterior para evitar circularidad</t>
  </si>
  <si>
    <t>assumes 100% is creditable / refundable</t>
  </si>
  <si>
    <t>Suppose que 100 % est porté au crédit / remboursable</t>
  </si>
  <si>
    <t>se asume que el 100% es acreditable / reembolsable</t>
  </si>
  <si>
    <t>Distributions are made once equity cashflows are positive. Distributions are deemed return of capital and do not attract withholding tax after the total positive post-tax cashflow has been distributed as dividends.</t>
  </si>
  <si>
    <t>Les versements se font une fois que les flux de trésorerie des fonds propres sont positifs. Les versements sont considérés comme un rendement du capital et ne sont pas assujettis à une retenue à la source après la distribution du flux de trésorerie positif total après impôt sous forme de dividendes.</t>
  </si>
  <si>
    <t>Las rentas se distribuyen una vez que los flujos de caja del capital son positivos. Las rentas distribuidas se consideran rentabilidad del capital y no se aplican impuestos retenidos después de que el flujo de caja positivo después de impuestos se ha distribuido como dividendos.</t>
  </si>
  <si>
    <t>Project revenues and costs</t>
  </si>
  <si>
    <t>Revenus et coûts du projet</t>
  </si>
  <si>
    <t>Ingresos y costos del proyecto</t>
  </si>
  <si>
    <t>Production Versus Unit Operating Costs</t>
  </si>
  <si>
    <t>Coût de production vs. coût d’exploitation unitaire</t>
  </si>
  <si>
    <t>Costos de producción frente a costos de operación unitarios</t>
  </si>
  <si>
    <t>Tableau de bord</t>
  </si>
  <si>
    <t>Panel de información</t>
  </si>
  <si>
    <t>Input sheets</t>
  </si>
  <si>
    <t>Feuilles de saisie</t>
  </si>
  <si>
    <t>Hojas de datos iniciales</t>
  </si>
  <si>
    <t>Calculation sheets</t>
  </si>
  <si>
    <t>Feuilles de calcul</t>
  </si>
  <si>
    <t>Hojas de cálculo</t>
  </si>
  <si>
    <t>Key output sheets</t>
  </si>
  <si>
    <t>Feuilles de sortie clés</t>
  </si>
  <si>
    <t>Hojas de resultados principales</t>
  </si>
  <si>
    <t>Documentation sheets</t>
  </si>
  <si>
    <t>Feuilles de documentation</t>
  </si>
  <si>
    <t>Hojas de documentación</t>
  </si>
  <si>
    <t>Quality control sheets</t>
  </si>
  <si>
    <t>Feuilles de contrôle qualité</t>
  </si>
  <si>
    <t>Hojas de control de calidad</t>
  </si>
  <si>
    <t>Imported from another sheet</t>
  </si>
  <si>
    <t>Importé d’une autre feuille</t>
  </si>
  <si>
    <t>Importado desde otra hoja</t>
  </si>
  <si>
    <t>Exported to another sheet (except from Input sheets)</t>
  </si>
  <si>
    <t>Exporté vers une autre feuille (sauf depuis les feuilles de saisie)</t>
  </si>
  <si>
    <t>Exportado a otra hoja (excepto desde hojas de datos iniciales)</t>
  </si>
  <si>
    <t>Within sheet link or calculation</t>
  </si>
  <si>
    <t>Lien ou calcul à l’intérieur d’une feuille</t>
  </si>
  <si>
    <t>Cálculo o enlace dentro de la hoja</t>
  </si>
  <si>
    <t>Calling fiscal parameter from fiscal regime inputs</t>
  </si>
  <si>
    <t>Appel d’un paramètre fiscal à partir des entrées du régime fiscal</t>
  </si>
  <si>
    <t>Obtener parámetro fiscal a partir de los datos iniciales sobre el régimen fiscal</t>
  </si>
  <si>
    <t>Inputs</t>
  </si>
  <si>
    <t>Données d’entrée</t>
  </si>
  <si>
    <t>Datos iniciales</t>
  </si>
  <si>
    <t>Calculations</t>
  </si>
  <si>
    <t>Calculs</t>
  </si>
  <si>
    <t>Cálculos</t>
  </si>
  <si>
    <t>Blocks of data linked by arrays OR Indirect formula</t>
  </si>
  <si>
    <t>Blocs de données liés par des séries OU formule indirecte</t>
  </si>
  <si>
    <t>Bloques de datos vinculados por matrices O la función INDIRECTO</t>
  </si>
  <si>
    <t xml:space="preserve">Within-worksheet counter-flow </t>
  </si>
  <si>
    <t xml:space="preserve">Flux inverse à l’intérieur d’une feuille de travail </t>
  </si>
  <si>
    <t xml:space="preserve">Flujo inverso dentro de una hoja de cálculo </t>
  </si>
  <si>
    <t>Empty cells being deliberately referenced</t>
  </si>
  <si>
    <t>Cellules vides délibérément référencées</t>
  </si>
  <si>
    <t>Celdas vacías con referencias deliberadas</t>
  </si>
  <si>
    <t>Section separator</t>
  </si>
  <si>
    <t>Séparateur de section</t>
  </si>
  <si>
    <t>Separador de sección</t>
  </si>
  <si>
    <t>OK</t>
  </si>
  <si>
    <t>Error</t>
  </si>
  <si>
    <t>Erreur</t>
  </si>
  <si>
    <t>Alert</t>
  </si>
  <si>
    <t>Alerte</t>
  </si>
  <si>
    <t>Alerta</t>
  </si>
  <si>
    <t>Average effective tax rate</t>
  </si>
  <si>
    <t>Taux moyen effectif d'imposition</t>
  </si>
  <si>
    <t>Tasa impositiva efectiva promedio</t>
  </si>
  <si>
    <t>Carbon dioxide equivalent</t>
  </si>
  <si>
    <t>Équivalent dioxyde de carbone</t>
  </si>
  <si>
    <t>Dióxido de carbono equivalente</t>
  </si>
  <si>
    <t>Economic limit</t>
  </si>
  <si>
    <t>Limite économique</t>
  </si>
  <si>
    <t>Límite económico</t>
  </si>
  <si>
    <t>Economic limit test</t>
  </si>
  <si>
    <t>Test de limite économique</t>
  </si>
  <si>
    <t>Prueba del límite económico</t>
  </si>
  <si>
    <t>ELT</t>
  </si>
  <si>
    <t>TLE</t>
  </si>
  <si>
    <t>Final investment decision (start of development)</t>
  </si>
  <si>
    <t>Décision finale d’investissement (début du développement)</t>
  </si>
  <si>
    <t>Decisión final de inversión (DFI) (inicio de la explotación)</t>
  </si>
  <si>
    <t>Final investment decision forward</t>
  </si>
  <si>
    <t>Décision finale d’investissement (horizon futur)</t>
  </si>
  <si>
    <t>Decisión final de inversión adelantada</t>
  </si>
  <si>
    <t>Grams</t>
  </si>
  <si>
    <t>Grammes</t>
  </si>
  <si>
    <t>Gramos</t>
  </si>
  <si>
    <t>g</t>
  </si>
  <si>
    <t>Internal rate of return</t>
  </si>
  <si>
    <t>Taux de rentabilité interne</t>
  </si>
  <si>
    <t>Tasa de rentabilidad interna</t>
  </si>
  <si>
    <t>Megajoules</t>
  </si>
  <si>
    <t>Mégajoules</t>
  </si>
  <si>
    <t>Megajulios</t>
  </si>
  <si>
    <t>MJ</t>
  </si>
  <si>
    <t>Million</t>
  </si>
  <si>
    <t>Millón</t>
  </si>
  <si>
    <t>mn</t>
  </si>
  <si>
    <t>MM</t>
  </si>
  <si>
    <t>Net present value</t>
  </si>
  <si>
    <t>Valeur actualisée nette</t>
  </si>
  <si>
    <t>Valor presente neto</t>
  </si>
  <si>
    <t>Percent per year</t>
  </si>
  <si>
    <t>Pourcentage par an</t>
  </si>
  <si>
    <t>Porcentaje anual</t>
  </si>
  <si>
    <t>Thousands of dry tonnes</t>
  </si>
  <si>
    <t>Milliers de tonnes sèches</t>
  </si>
  <si>
    <t>Miles de toneladas secas</t>
  </si>
  <si>
    <t>Thousands of tonnes</t>
  </si>
  <si>
    <t>Milliers de tonnes</t>
  </si>
  <si>
    <t>Miles de toneladas</t>
  </si>
  <si>
    <t>tons</t>
  </si>
  <si>
    <t>tonnes</t>
  </si>
  <si>
    <t>toneladas</t>
  </si>
  <si>
    <t>t</t>
  </si>
  <si>
    <t>Option</t>
  </si>
  <si>
    <t>Opción</t>
  </si>
  <si>
    <t>Do not change start-row of this block, unless all project examples changed accordingly</t>
  </si>
  <si>
    <t>Ne pas changer la ligne du début de ce bloc, à moins que tous les exemples du projet aient changé</t>
  </si>
  <si>
    <t>No modificar la columna inicial de este bloque, a menos que se modifiquen todos los ejemplos de proyectos según corresponda</t>
  </si>
  <si>
    <t>Participant cashflows</t>
  </si>
  <si>
    <t>Flux de trésorerie des participants</t>
  </si>
  <si>
    <t>Flujos de caja de los participantes</t>
  </si>
  <si>
    <t>Do not change row of this block</t>
  </si>
  <si>
    <t>Ne pas changer la ligne de ce bloc</t>
  </si>
  <si>
    <t>No modificar la fila de este bloque</t>
  </si>
  <si>
    <t>deductible for CIT</t>
  </si>
  <si>
    <t>déductible pour l’IBS</t>
  </si>
  <si>
    <t>deducible para el ISR</t>
  </si>
  <si>
    <t>factor</t>
  </si>
  <si>
    <t>Facteur</t>
  </si>
  <si>
    <t>deducted immediately</t>
  </si>
  <si>
    <t>déduit immédiatement</t>
  </si>
  <si>
    <t>deducido inmediatamente</t>
  </si>
  <si>
    <t>Years</t>
  </si>
  <si>
    <t>Années</t>
  </si>
  <si>
    <t>Años</t>
  </si>
  <si>
    <t>Switch</t>
  </si>
  <si>
    <t>Cambio</t>
  </si>
  <si>
    <t>Production year</t>
  </si>
  <si>
    <t>Année de production</t>
  </si>
  <si>
    <t>Año de producción</t>
  </si>
  <si>
    <t>Calendar year</t>
  </si>
  <si>
    <t>Année calendaire</t>
  </si>
  <si>
    <t>Año natural</t>
  </si>
  <si>
    <t>Months</t>
  </si>
  <si>
    <t>Mois</t>
  </si>
  <si>
    <t>Meses</t>
  </si>
  <si>
    <t>selected</t>
  </si>
  <si>
    <t>choisi</t>
  </si>
  <si>
    <t>seleccionado</t>
  </si>
  <si>
    <t>% depletion</t>
  </si>
  <si>
    <t>% soutiré</t>
  </si>
  <si>
    <t>% de agotamiento</t>
  </si>
  <si>
    <t>Year</t>
  </si>
  <si>
    <t>Année</t>
  </si>
  <si>
    <t>Año</t>
  </si>
  <si>
    <t>Project cashflows and government revenues</t>
  </si>
  <si>
    <t xml:space="preserve">Flux de trésorerie du projet et revenus du gouvernement </t>
  </si>
  <si>
    <t>Flujos de caja del proyecto e ingresos fiscales</t>
  </si>
  <si>
    <t>Data for selected project</t>
  </si>
  <si>
    <t>Données du projet choisi</t>
  </si>
  <si>
    <t>Datos para el proyecto seleccionado</t>
  </si>
  <si>
    <t>Model timeline</t>
  </si>
  <si>
    <t>Calendrier du modèle</t>
  </si>
  <si>
    <t>Cronograma del modelo</t>
  </si>
  <si>
    <t>Project data with sensitivity factors applied</t>
  </si>
  <si>
    <t>Données du projet après application des facteurs de sensibilité</t>
  </si>
  <si>
    <t>Datos del proyecto con factores de sensibilidad aplicados</t>
  </si>
  <si>
    <t>Economic limit test (ELT)</t>
  </si>
  <si>
    <t>Test de limite économique (TLE)</t>
  </si>
  <si>
    <t>Prueba del límite económico (ELT)</t>
  </si>
  <si>
    <t>Flags</t>
  </si>
  <si>
    <t>Repères</t>
  </si>
  <si>
    <t>Marcas</t>
  </si>
  <si>
    <t>Inflation Indices</t>
  </si>
  <si>
    <t>Indices d’inflation</t>
  </si>
  <si>
    <t>Índices de inflación</t>
  </si>
  <si>
    <t>GHG emissions from coal combustion</t>
  </si>
  <si>
    <t>Émissions de GES dues à la combustion du charbon</t>
  </si>
  <si>
    <t>Emisiones de GEI de la combustión de carbón</t>
  </si>
  <si>
    <t>Raw project data</t>
  </si>
  <si>
    <t>Données de projet brutes</t>
  </si>
  <si>
    <t>Datos brutos del proyecto</t>
  </si>
  <si>
    <t>Sensitivity factors</t>
  </si>
  <si>
    <t>Facteurs de sensibilité</t>
  </si>
  <si>
    <t>Factores de sensibilidad</t>
  </si>
  <si>
    <t>Project data with sensitivies applied</t>
  </si>
  <si>
    <t>Données du projet après application des sensibilités</t>
  </si>
  <si>
    <t>Datos del proyecto con sensibilidades aplicadas</t>
  </si>
  <si>
    <t>Mineral Price</t>
  </si>
  <si>
    <t>Prix du minerai</t>
  </si>
  <si>
    <t>Precios del mineral</t>
  </si>
  <si>
    <t>Revenues</t>
  </si>
  <si>
    <t>Revenus</t>
  </si>
  <si>
    <t>Ingresos</t>
  </si>
  <si>
    <t>Project costs</t>
  </si>
  <si>
    <t>Coûts du projet</t>
  </si>
  <si>
    <t>Costos del proyecto</t>
  </si>
  <si>
    <t>Peak production year: assumed Economic Limit will not be triggered before this period</t>
  </si>
  <si>
    <t>Année du pic de production : en supposant que la limite économique ne sera pas déclenchée avant cette période</t>
  </si>
  <si>
    <t>Año de producción máxima: se supone que el Límite Económico no se activará antes de este período</t>
  </si>
  <si>
    <t>Maximum cumulative cashflows used to determine when Econ Limit reached</t>
  </si>
  <si>
    <t>Flux de trésorerie cumulé maximum permettant de déterminer quand la limite économique est atteinte</t>
  </si>
  <si>
    <t>Flujos de caja máximos acumulados utilizados para determinar cuándo se alcanza el Límite Económico</t>
  </si>
  <si>
    <t>Reschedule decommissioning costs</t>
  </si>
  <si>
    <t>Rééchelonner les coûts d'abandon</t>
  </si>
  <si>
    <t>Reprogramar los costos de desmantelamiento</t>
  </si>
  <si>
    <t>before ELT</t>
  </si>
  <si>
    <t>avant le TLE</t>
  </si>
  <si>
    <t>antes de ELT</t>
  </si>
  <si>
    <t>Project period</t>
  </si>
  <si>
    <t>Période du projet</t>
  </si>
  <si>
    <t>Período del proyecto</t>
  </si>
  <si>
    <t>Production period</t>
  </si>
  <si>
    <t>Période de production</t>
  </si>
  <si>
    <t>Período de producción</t>
  </si>
  <si>
    <t>Development period (used for depreciation calculations)</t>
  </si>
  <si>
    <t>Période de développement (utilisée pour calculer les amortissements)</t>
  </si>
  <si>
    <t>Período de desarrollo (utilizado para cálculos de depreciación)</t>
  </si>
  <si>
    <t>Index for escalating revenues and costs</t>
  </si>
  <si>
    <t>Indice de l’évolution des recettes et des coûts</t>
  </si>
  <si>
    <t>Índice de aumento de ingresos y costos</t>
  </si>
  <si>
    <t>Index for deflating cashflows to start of project</t>
  </si>
  <si>
    <t>Indice de déflation des flux de trésorerie au début du projet</t>
  </si>
  <si>
    <t>Índice de deflactación de los flujos de caja para iniciar el proyecto</t>
  </si>
  <si>
    <t>Discount factors (assumes discounting to middle of the year, assuming cashflows received on average in middle of the year)</t>
  </si>
  <si>
    <t>Facteurs d’actualisation (hypothèse d’une actualisation au milieu de l’année, en supposant que les flux de trésorerie sont reçus en moyenne en milieu d’année)</t>
  </si>
  <si>
    <t>Factores de descuento (supone descuentos a mitad del año, suponiendo que en promedio se reciben flujos de caja a mitad del año)</t>
  </si>
  <si>
    <t>Discount factor</t>
  </si>
  <si>
    <t>Facteur d’actualisation</t>
  </si>
  <si>
    <t>Factor de descuento</t>
  </si>
  <si>
    <t>Row description</t>
  </si>
  <si>
    <t>Description de la ligne</t>
  </si>
  <si>
    <t>Descripción de la fila</t>
  </si>
  <si>
    <t>Mineral</t>
  </si>
  <si>
    <t>Minerai</t>
  </si>
  <si>
    <t>Mineral units</t>
  </si>
  <si>
    <t>Unités minérales</t>
  </si>
  <si>
    <t>Unidades minerales</t>
  </si>
  <si>
    <t>Transport costs post-fiscal point</t>
  </si>
  <si>
    <t>Coûts de transport après impôts</t>
  </si>
  <si>
    <t>Punto posfiscal de los costos de transporte</t>
  </si>
  <si>
    <t>Exploration costs</t>
  </si>
  <si>
    <t>Coûts d’exploration</t>
  </si>
  <si>
    <t>Costos de prospección</t>
  </si>
  <si>
    <t>Development costs</t>
  </si>
  <si>
    <t>Coûts de développement</t>
  </si>
  <si>
    <t>Costos de desarrollo</t>
  </si>
  <si>
    <t>Replacement capital costs</t>
  </si>
  <si>
    <t>Coût des investissements de remplacement</t>
  </si>
  <si>
    <t>Costos de capital de reemplazo</t>
  </si>
  <si>
    <t>Operating costs</t>
  </si>
  <si>
    <t>Coûts d’exploitation</t>
  </si>
  <si>
    <t>Costos de operación</t>
  </si>
  <si>
    <t>Decommissioning costs</t>
  </si>
  <si>
    <t>Coûts d'abandon</t>
  </si>
  <si>
    <t>Costos de desmantelamiento</t>
  </si>
  <si>
    <t>Total costs</t>
  </si>
  <si>
    <t>Coûts totaux</t>
  </si>
  <si>
    <t>Costos totales</t>
  </si>
  <si>
    <t>Total sales</t>
  </si>
  <si>
    <t>Total des ventes</t>
  </si>
  <si>
    <t>Ventas totales</t>
  </si>
  <si>
    <t>First row of project data</t>
  </si>
  <si>
    <t>Première ligne des données du projet</t>
  </si>
  <si>
    <t>Primera columna de datos del proyecto</t>
  </si>
  <si>
    <t>Model years</t>
  </si>
  <si>
    <t>Années du modèle</t>
  </si>
  <si>
    <t>Años del modelo</t>
  </si>
  <si>
    <t>Model calendar years</t>
  </si>
  <si>
    <t>Années calendaires du modèle</t>
  </si>
  <si>
    <t>Años naturales del modelo</t>
  </si>
  <si>
    <t>Peak production year</t>
  </si>
  <si>
    <t>Année du pic de production</t>
  </si>
  <si>
    <t>Año de producción máxima</t>
  </si>
  <si>
    <t>Project cashflow before decommissioning fund and ELT</t>
  </si>
  <si>
    <t>Flux de trésorerie avant fonds d'abandon et TLE</t>
  </si>
  <si>
    <t>Flujo de caja del proyecto antes del fondo para desmantelamiento y de ELT</t>
  </si>
  <si>
    <t>Peak cumulative cashflows</t>
  </si>
  <si>
    <t>Maximum des flux de trésorerie cumulés</t>
  </si>
  <si>
    <t>Flujos de caja máximos acumulados</t>
  </si>
  <si>
    <t>Economic limit reached</t>
  </si>
  <si>
    <t>Limite économique atteinte</t>
  </si>
  <si>
    <t>Límite económico alcanzado</t>
  </si>
  <si>
    <t>Economic limit year based on cashflows</t>
  </si>
  <si>
    <t>Année de la limite économique en fonction des flux de trésorerie</t>
  </si>
  <si>
    <t>Año de límite económico según los flujos de caja</t>
  </si>
  <si>
    <t>Project economic limit</t>
  </si>
  <si>
    <t>Limite économique du projet</t>
  </si>
  <si>
    <t>Límite económico del proyecto</t>
  </si>
  <si>
    <t>Decommissioning costs incurred after ELT year</t>
  </si>
  <si>
    <t>Coûts d'abandon engagés après l’année du TLE</t>
  </si>
  <si>
    <t>Costos de desmantelamiento incurridos tras el año ELT</t>
  </si>
  <si>
    <t>Post-production decommissioning original start year</t>
  </si>
  <si>
    <t>Année initiale du début de l'abandon après production</t>
  </si>
  <si>
    <t>Postproducción: año de inicio original del desmantelamiento</t>
  </si>
  <si>
    <t>Post-production decommissioning start with ELT</t>
  </si>
  <si>
    <t>Année du début de l'abandon post production avec TLE</t>
  </si>
  <si>
    <t>Postproducción: inicio del desmantelamiento con ELT</t>
  </si>
  <si>
    <t>EL reached before project end</t>
  </si>
  <si>
    <t>Limite économique atteinte avant la fin du projet</t>
  </si>
  <si>
    <t>EL alcanzado antes del final del proyecto</t>
  </si>
  <si>
    <t>Post-production decomm. costs with ELT</t>
  </si>
  <si>
    <t>Coûts d'abandon après production avec TLE</t>
  </si>
  <si>
    <t>Postproducción: costos de desmantelamiento con ELT</t>
  </si>
  <si>
    <t>Project activity</t>
  </si>
  <si>
    <t>Activité du projet</t>
  </si>
  <si>
    <t>Actividad del proyecto</t>
  </si>
  <si>
    <t>Cumulative project activity</t>
  </si>
  <si>
    <t>Années d'activité cumulées du projet</t>
  </si>
  <si>
    <t>Actividad acumulada del proyecto</t>
  </si>
  <si>
    <t>First project activity year</t>
  </si>
  <si>
    <t>Première année d’activité du projet</t>
  </si>
  <si>
    <t>Primer año de actividad del proyecto</t>
  </si>
  <si>
    <t>Project activity (excl. decommissioning)</t>
  </si>
  <si>
    <t>Activité du projet (à l’exclusion de l'abandon)</t>
  </si>
  <si>
    <t>Actividad del proyecto (excluido desmantelamiento)</t>
  </si>
  <si>
    <t>Production years after ELT</t>
  </si>
  <si>
    <t>Années de production après le TLE</t>
  </si>
  <si>
    <t>Años de producción después del ELT</t>
  </si>
  <si>
    <t>Cumulative production years</t>
  </si>
  <si>
    <t>Années de production cumulées</t>
  </si>
  <si>
    <t>Años acumulados de producción</t>
  </si>
  <si>
    <t>Remaining production years</t>
  </si>
  <si>
    <t>Années de production restantes</t>
  </si>
  <si>
    <t>Años restantes de producción</t>
  </si>
  <si>
    <t>Cumulative years from start of development</t>
  </si>
  <si>
    <t>Années cumulées à partir du début du développement</t>
  </si>
  <si>
    <t>Años acumulados desde el inicio del desarrollo</t>
  </si>
  <si>
    <t>FID forward flag</t>
  </si>
  <si>
    <t>Repère de poursuite DFI</t>
  </si>
  <si>
    <t>Marca DFI adelantada</t>
  </si>
  <si>
    <t>Inflation index</t>
  </si>
  <si>
    <t>Indice d’inflation</t>
  </si>
  <si>
    <t>Índice de inflación</t>
  </si>
  <si>
    <t>Deflation index to first year of activity</t>
  </si>
  <si>
    <t>Indice de déflation à la première année d’activité</t>
  </si>
  <si>
    <t>Índice de deflación del primer año de actividad</t>
  </si>
  <si>
    <t>Label for real terms cashflows</t>
  </si>
  <si>
    <t>Étiquette pour les flux de trésorerie en valeur réelle</t>
  </si>
  <si>
    <t>Etiqueta para flujos de caja en términos reales</t>
  </si>
  <si>
    <t>Project cashflow before decommissioning fund</t>
  </si>
  <si>
    <t>Flux de trésorerie du projet avant fonds d'abanbon</t>
  </si>
  <si>
    <t>Flujo de caja del proyecto antes del fondo para desmantelamiento</t>
  </si>
  <si>
    <t>Project benefits</t>
  </si>
  <si>
    <t>Avantages du projet</t>
  </si>
  <si>
    <t>Beneficios del proyecto</t>
  </si>
  <si>
    <t>Mineral product for which emissions calculated</t>
  </si>
  <si>
    <t>Ressource minière pour laquelle les émissions sont calculées</t>
  </si>
  <si>
    <t>Producto mineral para el que se calculan las emisiones</t>
  </si>
  <si>
    <t>Heat content of coal sold</t>
  </si>
  <si>
    <t>Energie calorifique du charbon vendu</t>
  </si>
  <si>
    <t>Contenido calorífico del carbón vendido</t>
  </si>
  <si>
    <t>Scope 3: GHG emissions from coal combusted</t>
  </si>
  <si>
    <t>Portée 3 : Émissions de GES dues à la combustion du charbon</t>
  </si>
  <si>
    <t>Ámbito 3: Emisiones de GEI del carbón quemado</t>
  </si>
  <si>
    <t>Investors (Parent company + lender)</t>
  </si>
  <si>
    <t>Investisseurs (société-mère + prêteur)</t>
  </si>
  <si>
    <t>Inversionistas (empresa matriz + prestamista)</t>
  </si>
  <si>
    <t>Unit analysis</t>
  </si>
  <si>
    <t>Analyse des unités</t>
  </si>
  <si>
    <t>Análisis unitario</t>
  </si>
  <si>
    <t>Average Effective Tax Rate (excl. participation)</t>
  </si>
  <si>
    <t>Taux d’imposition effectif moyen (sans participation)</t>
  </si>
  <si>
    <t>Tasa impositiva efectiva promedio (excluida participación)</t>
  </si>
  <si>
    <t>Average Effective Tax Rate (incl. participation)</t>
  </si>
  <si>
    <t>Taux d’imposition effectif moyen (avec participation)</t>
  </si>
  <si>
    <t>Tasa impositiva efectiva promedio (incluida participación)</t>
  </si>
  <si>
    <t>sales</t>
  </si>
  <si>
    <t>Ventes</t>
  </si>
  <si>
    <t>ventas</t>
  </si>
  <si>
    <t>after ELT</t>
  </si>
  <si>
    <t>après le TLE</t>
  </si>
  <si>
    <t>después de ELT</t>
  </si>
  <si>
    <t>price realized from sales</t>
  </si>
  <si>
    <t>prix réalisé à partir des ventes</t>
  </si>
  <si>
    <t>precio obtenido de las ventas</t>
  </si>
  <si>
    <t>incurred before ELT reached</t>
  </si>
  <si>
    <t>engagés avant le TLE</t>
  </si>
  <si>
    <t>incurridos antes de alcanzar el ELT</t>
  </si>
  <si>
    <t>Sales revenues</t>
  </si>
  <si>
    <t>Revenus des ventes</t>
  </si>
  <si>
    <t>Ingresos de las ventas</t>
  </si>
  <si>
    <t>(into model)</t>
  </si>
  <si>
    <t>(entrant le modèle)</t>
  </si>
  <si>
    <t>(al modelo)</t>
  </si>
  <si>
    <t>(before decommissioning)</t>
  </si>
  <si>
    <t>(avant l'abandon)</t>
  </si>
  <si>
    <t>(antes del desmantelamiento)</t>
  </si>
  <si>
    <t>Check</t>
  </si>
  <si>
    <t>Vérification</t>
  </si>
  <si>
    <t>Verificación</t>
  </si>
  <si>
    <t>Units</t>
  </si>
  <si>
    <t>Unités</t>
  </si>
  <si>
    <t>Unidades</t>
  </si>
  <si>
    <t>Track changes</t>
  </si>
  <si>
    <t>Suivi des changements</t>
  </si>
  <si>
    <t>Seguimiento de cambios</t>
  </si>
  <si>
    <t>Dashboard Analytical Routines</t>
  </si>
  <si>
    <t>Tableau de bord des programmes analytiques</t>
  </si>
  <si>
    <t>Panel de información de rutinas analíticas</t>
  </si>
  <si>
    <t>Results for selected fiscal regimes</t>
  </si>
  <si>
    <t>Résultats pour les régimes fiscaux choisis</t>
  </si>
  <si>
    <t>Resultados de regímenes fiscales seleccionados</t>
  </si>
  <si>
    <t>Government revenues profiles under selected regimes</t>
  </si>
  <si>
    <t>Profils des revenus du gouvernemenet sous les régimes choisis</t>
  </si>
  <si>
    <t>Perfiles de ingresos fiscales en regímenes seleccionados</t>
  </si>
  <si>
    <t>Progressivity analysis across a range of mineral prices</t>
  </si>
  <si>
    <t>Analyse de progressivité à différents niveaux de prix du minerai</t>
  </si>
  <si>
    <t>Análisis de progresividad con varios precios del mineral</t>
  </si>
  <si>
    <t>Breakeven mineral price and marginal effective tax rate</t>
  </si>
  <si>
    <t>Prix d’équilibre du minerai et taux d’imposition effectif marginal</t>
  </si>
  <si>
    <t>Precio del mineral de equilibrio y tasa impositiva efectiva promedio</t>
  </si>
  <si>
    <t>Net present value table</t>
  </si>
  <si>
    <t>Tableau de la valeur actualisée nette</t>
  </si>
  <si>
    <t>Cuadro del valor presente neto</t>
  </si>
  <si>
    <t>Project, Fiscal Regime &amp; Prices</t>
  </si>
  <si>
    <t>Projet, régime fiscal et prix</t>
  </si>
  <si>
    <t>Proyecto, régimen fiscal y precios</t>
  </si>
  <si>
    <t>Project statistics and economic limit (EL)</t>
  </si>
  <si>
    <t>Statistiques et limite économique du projet</t>
  </si>
  <si>
    <t>Estadísticas del proyecto y límite económico (EL)</t>
  </si>
  <si>
    <t>EL</t>
  </si>
  <si>
    <t>Limite éco.</t>
  </si>
  <si>
    <t>Links to analytical routines</t>
  </si>
  <si>
    <t>Lien vers les programmes analytiques</t>
  </si>
  <si>
    <t>Vínculos a rutinas analíticas</t>
  </si>
  <si>
    <t>Post financing</t>
  </si>
  <si>
    <t>Après financement</t>
  </si>
  <si>
    <t>Postfinanciamiento</t>
  </si>
  <si>
    <t>revenues after royalty</t>
  </si>
  <si>
    <t>revenus après redevance</t>
  </si>
  <si>
    <t>ingresos después de regalías</t>
  </si>
  <si>
    <t>Mining company</t>
  </si>
  <si>
    <t>Société minière</t>
  </si>
  <si>
    <t>Empresa minera</t>
  </si>
  <si>
    <t>above threshold</t>
  </si>
  <si>
    <t>au-dessus du seuil</t>
  </si>
  <si>
    <t>por encima del umbral</t>
  </si>
  <si>
    <t>adjusted</t>
  </si>
  <si>
    <t>ajusté</t>
  </si>
  <si>
    <t>ajustado</t>
  </si>
  <si>
    <t>in first tax year</t>
  </si>
  <si>
    <t>pendant la première année d'imposition</t>
  </si>
  <si>
    <t>en el primer año fiscal</t>
  </si>
  <si>
    <t>VAT charged</t>
  </si>
  <si>
    <t>TVA demandée</t>
  </si>
  <si>
    <t>IVA soportado</t>
  </si>
  <si>
    <t>deductible</t>
  </si>
  <si>
    <t>déductible</t>
  </si>
  <si>
    <t>deducible</t>
  </si>
  <si>
    <t>applicable</t>
  </si>
  <si>
    <t>aplicable</t>
  </si>
  <si>
    <t>during financing period</t>
  </si>
  <si>
    <t>pendant la période de financement</t>
  </si>
  <si>
    <t>durante el período de financiamiento</t>
  </si>
  <si>
    <t>deducted for RRT</t>
  </si>
  <si>
    <t>déductible pour l’IRRN</t>
  </si>
  <si>
    <t>deducible para el IRRN</t>
  </si>
  <si>
    <t>tax deductible</t>
  </si>
  <si>
    <t>déductible de l’impôt</t>
  </si>
  <si>
    <t>deducible de impuestos</t>
  </si>
  <si>
    <t>inflation indexed</t>
  </si>
  <si>
    <t>indexé à l’inflation</t>
  </si>
  <si>
    <t>indexado por inflación</t>
  </si>
  <si>
    <t>not inflation indexed</t>
  </si>
  <si>
    <t>non indexés à l’inflation</t>
  </si>
  <si>
    <t>no indexado por inflación</t>
  </si>
  <si>
    <t>Royalty base</t>
  </si>
  <si>
    <t>revenue</t>
  </si>
  <si>
    <t>ingresos</t>
  </si>
  <si>
    <t>Selected flag for depreciation</t>
  </si>
  <si>
    <t>Repère choisi pour l’amortissement</t>
  </si>
  <si>
    <t>Marca de depreciación seleccionada</t>
  </si>
  <si>
    <t>into depreciation</t>
  </si>
  <si>
    <t>entrant au calcul d’amortissement</t>
  </si>
  <si>
    <t>a depreciación</t>
  </si>
  <si>
    <t>Positive</t>
  </si>
  <si>
    <t>Positivo</t>
  </si>
  <si>
    <t>paid</t>
  </si>
  <si>
    <t>payé</t>
  </si>
  <si>
    <t>pagado</t>
  </si>
  <si>
    <t>Authors</t>
  </si>
  <si>
    <t>Auteurs</t>
  </si>
  <si>
    <t>Autores</t>
  </si>
  <si>
    <t>Contact in IMF FAD</t>
  </si>
  <si>
    <t>Personne à contacter au Département des finances publiques du FMI</t>
  </si>
  <si>
    <t>Contacto en el Departamento de Asuntos Fiscales del FMI</t>
  </si>
  <si>
    <t>Owner</t>
  </si>
  <si>
    <t>Propriétaire</t>
  </si>
  <si>
    <t>Propietario</t>
  </si>
  <si>
    <t>Overall checks</t>
  </si>
  <si>
    <t>Vérifications globales</t>
  </si>
  <si>
    <t>Verificaciones generales</t>
  </si>
  <si>
    <t>Changes</t>
  </si>
  <si>
    <t>Modifications</t>
  </si>
  <si>
    <t>Modificaciones</t>
  </si>
  <si>
    <t>Language</t>
  </si>
  <si>
    <t>Langue</t>
  </si>
  <si>
    <t>Idioma</t>
  </si>
  <si>
    <t>Fiscal regime selected</t>
  </si>
  <si>
    <t>Régime fiscal choisi</t>
  </si>
  <si>
    <t>Régimen fiscal seleccionado</t>
  </si>
  <si>
    <t>Selected project</t>
  </si>
  <si>
    <t>Projet choisi</t>
  </si>
  <si>
    <t>Proyecto seleccionado</t>
  </si>
  <si>
    <t>Prices (constant real terms)</t>
  </si>
  <si>
    <t>Prix (en termes réels constants)</t>
  </si>
  <si>
    <t>Precios (términos reales constantes)</t>
  </si>
  <si>
    <t>Gold</t>
  </si>
  <si>
    <t>Or</t>
  </si>
  <si>
    <t>Oro</t>
  </si>
  <si>
    <t>Iron Ore</t>
  </si>
  <si>
    <t>Minerai de fer</t>
  </si>
  <si>
    <t>Mineral de hierro</t>
  </si>
  <si>
    <t>Diamond</t>
  </si>
  <si>
    <t>Diamants</t>
  </si>
  <si>
    <t>Diamante</t>
  </si>
  <si>
    <t>Coal</t>
  </si>
  <si>
    <t>Charbon</t>
  </si>
  <si>
    <t>Carbón</t>
  </si>
  <si>
    <t xml:space="preserve">OtherMineral </t>
  </si>
  <si>
    <t xml:space="preserve">Autre minerai </t>
  </si>
  <si>
    <t xml:space="preserve">Otro mineral </t>
  </si>
  <si>
    <t>Price sensitivity</t>
  </si>
  <si>
    <t>Sensibilité aux prix</t>
  </si>
  <si>
    <t>Sensibilidad al precio</t>
  </si>
  <si>
    <t>Production sensitivity</t>
  </si>
  <si>
    <t>Sensibilité à la production</t>
  </si>
  <si>
    <t>Sensibilidad a la producción</t>
  </si>
  <si>
    <t>Exploration cost sensitivity</t>
  </si>
  <si>
    <t>Sensibilité aux coûts d’exploration</t>
  </si>
  <si>
    <t>Sensibilidad al costo de prospección</t>
  </si>
  <si>
    <t xml:space="preserve">Capex sensitivity (Development; Replacement; Decommissioning) </t>
  </si>
  <si>
    <t xml:space="preserve">Sensibilité aux dépenses d'investissement (développement ; remplacement ; abandon) </t>
  </si>
  <si>
    <t xml:space="preserve">Sensibilidad al gasto de capital (desarrollo, reemplazo, desmantelamiento) </t>
  </si>
  <si>
    <t>Operating cost sensitivity</t>
  </si>
  <si>
    <t>Sensibilité aux coûts d’exploitation</t>
  </si>
  <si>
    <t>Sensibilidad a los costos de operación</t>
  </si>
  <si>
    <t>Discount rate</t>
  </si>
  <si>
    <t>Taux d’actualisation</t>
  </si>
  <si>
    <t>Tasa de descuento</t>
  </si>
  <si>
    <t>Chart details</t>
  </si>
  <si>
    <t>Détails du graphique</t>
  </si>
  <si>
    <t>Detalles del gráfico</t>
  </si>
  <si>
    <t>Chart title</t>
  </si>
  <si>
    <t>Titre du graphique</t>
  </si>
  <si>
    <t>Título del gráfico</t>
  </si>
  <si>
    <t>Vertical axis</t>
  </si>
  <si>
    <t>Axe vertical</t>
  </si>
  <si>
    <t>Eje vertical</t>
  </si>
  <si>
    <t>Horizontal axis</t>
  </si>
  <si>
    <t>Axe horizontal</t>
  </si>
  <si>
    <t>Eje horizontal</t>
  </si>
  <si>
    <t>Text box</t>
  </si>
  <si>
    <t>Zone de texte</t>
  </si>
  <si>
    <t>Caja de texto</t>
  </si>
  <si>
    <t>Named ranges used in macro</t>
  </si>
  <si>
    <t>Plages de noms utilisées dans la macro</t>
  </si>
  <si>
    <t>Rangos designados utilizados en macro</t>
  </si>
  <si>
    <t>Text box 1</t>
  </si>
  <si>
    <t>Zone de texte 1</t>
  </si>
  <si>
    <t>Caja de texto 1</t>
  </si>
  <si>
    <t>Project</t>
  </si>
  <si>
    <t>Projet</t>
  </si>
  <si>
    <t>Proyecto</t>
  </si>
  <si>
    <t>Lender (Parent company share)</t>
  </si>
  <si>
    <t>Prêteur (part de la société mère)</t>
  </si>
  <si>
    <t>Prestamista (Parte de la empresa matriz)</t>
  </si>
  <si>
    <t>Mining company + lender</t>
  </si>
  <si>
    <t>Société minière + prêteur</t>
  </si>
  <si>
    <t>Empresa minera + prestamista</t>
  </si>
  <si>
    <t>Government excl. participation</t>
  </si>
  <si>
    <t>Gouvernement, hors participations</t>
  </si>
  <si>
    <t>Gobierno  excl. participación</t>
  </si>
  <si>
    <t>Government incl. participation</t>
  </si>
  <si>
    <t>Gouvernement, avec participations</t>
  </si>
  <si>
    <t>Gobierno  incl. participación</t>
  </si>
  <si>
    <t>Government share (AETR)</t>
  </si>
  <si>
    <t>Part du gouvernement (TMEI)</t>
  </si>
  <si>
    <t>Proporción del gobierno (TMEI)</t>
  </si>
  <si>
    <t>Government share of project benefits</t>
  </si>
  <si>
    <t>Part du gouvernement dans les bénéfices du projet</t>
  </si>
  <si>
    <t>Proporción del gobierno de los beneficios del proyecto</t>
  </si>
  <si>
    <t>Net decommissioning fund</t>
  </si>
  <si>
    <t>Fonds d'abandon net</t>
  </si>
  <si>
    <t>Fondo para desmantelamiento neto</t>
  </si>
  <si>
    <t>AETR</t>
  </si>
  <si>
    <t>TMEI</t>
  </si>
  <si>
    <t>Fiscal regime</t>
  </si>
  <si>
    <t>Régime fiscal</t>
  </si>
  <si>
    <t>Régimen fiscal</t>
  </si>
  <si>
    <t>Government revenues data table</t>
  </si>
  <si>
    <t>Tableau de données des revenus du gouvernement</t>
  </si>
  <si>
    <t>Cuadro de datos de ingresos fiscales</t>
  </si>
  <si>
    <t>Live results</t>
  </si>
  <si>
    <t>Résultats en direct</t>
  </si>
  <si>
    <t>Resultados en directo</t>
  </si>
  <si>
    <t>Select regimes to compare</t>
  </si>
  <si>
    <t>Choisir des régimes pour comparaison</t>
  </si>
  <si>
    <t>Seleccionar regímenes que se comparan</t>
  </si>
  <si>
    <t>Difference between two regimes</t>
  </si>
  <si>
    <t>Différence entre deux régimes</t>
  </si>
  <si>
    <t>Diferencia entre dos regímenes</t>
  </si>
  <si>
    <t>Cumulative difference</t>
  </si>
  <si>
    <t>Différence cumulée</t>
  </si>
  <si>
    <t>Diferencia acumulada</t>
  </si>
  <si>
    <t>Select metric</t>
  </si>
  <si>
    <t>Choisir un indicateur</t>
  </si>
  <si>
    <t>Seleccionar medida</t>
  </si>
  <si>
    <t>Create range of mineral prices</t>
  </si>
  <si>
    <t>Créer une fourchette de prix du minerai</t>
  </si>
  <si>
    <t>Crear rango de precios del mineral</t>
  </si>
  <si>
    <t>Price label</t>
  </si>
  <si>
    <t>Étiquette de prix</t>
  </si>
  <si>
    <t>Etiqueta de precios</t>
  </si>
  <si>
    <t>Starting price multiplier</t>
  </si>
  <si>
    <t>Multiplicateur du prix de départ</t>
  </si>
  <si>
    <t>Multiplicador inicial de precios</t>
  </si>
  <si>
    <t>Increment</t>
  </si>
  <si>
    <t>Augmentation</t>
  </si>
  <si>
    <t>Incremento</t>
  </si>
  <si>
    <t>Data table to perform sensitivity analysis</t>
  </si>
  <si>
    <t>Table de données pour l’analyse de sensibilité</t>
  </si>
  <si>
    <t>Cuadro de datos para realizar análisis de sensibilidad</t>
  </si>
  <si>
    <t>Selected regimes (from above)</t>
  </si>
  <si>
    <t>Régimes choisis (ci-dessus)</t>
  </si>
  <si>
    <t>Regímenes seleccionados (desde arriba)</t>
  </si>
  <si>
    <t>Data table to generate pre-tax IRR</t>
  </si>
  <si>
    <t>Table de données pour générer le TRI avant impôts</t>
  </si>
  <si>
    <t>Cuadro de datos para generar la TIR antes de impuestos</t>
  </si>
  <si>
    <t>Investor hurdle Rate (real terms)</t>
  </si>
  <si>
    <t>Taux de rentabilité requis par l'investissement (en valeur réelle)</t>
  </si>
  <si>
    <t>Tasa mínima de rentabilidad del inversionista (términos reales)</t>
  </si>
  <si>
    <t>Regime count</t>
  </si>
  <si>
    <t>Nombre de régimes</t>
  </si>
  <si>
    <t>Recuento de regímenes</t>
  </si>
  <si>
    <t>Difference from hurdle rate (used by macro)</t>
  </si>
  <si>
    <t>Différence par rapport au taux critique de rentabilité (utilisé par macro)</t>
  </si>
  <si>
    <t>Diferencia respecto de la tasa mínima de rentabilidad (utilizada mediante macro)</t>
  </si>
  <si>
    <t>Marginal Effective Tax Rate (METR)</t>
  </si>
  <si>
    <t>Taux effectif marginal d'imposition (TEMI)</t>
  </si>
  <si>
    <t>Tasa impositiva efectiva promedio (METR)</t>
  </si>
  <si>
    <t>Nom de la feuille de cet exemple de projet</t>
  </si>
  <si>
    <t>Nombre de la hoja de ejemplo de este proyecto</t>
  </si>
  <si>
    <t>Transport and refining costs post-fiscal point</t>
  </si>
  <si>
    <t>Frais de transport et de raffinage après le point fiscal</t>
  </si>
  <si>
    <t>Punto posfiscal de los costos de transporte y refinado</t>
  </si>
  <si>
    <t>Model first calendar year</t>
  </si>
  <si>
    <t>Première année calendaire du modèle</t>
  </si>
  <si>
    <t>Primer año natural del modelo</t>
  </si>
  <si>
    <t>ELT applies</t>
  </si>
  <si>
    <t>Le TLE s’applique</t>
  </si>
  <si>
    <t>ELT se aplica</t>
  </si>
  <si>
    <t>Inflation rate</t>
  </si>
  <si>
    <t>Taux d’inflation</t>
  </si>
  <si>
    <t>Tasa de inflación</t>
  </si>
  <si>
    <t>London Interbank Offered Rate</t>
  </si>
  <si>
    <t>Taux interbancaire pratiqué à Londres</t>
  </si>
  <si>
    <t>Tasa interbancaria de oferta de Londres</t>
  </si>
  <si>
    <t>LIBOR</t>
  </si>
  <si>
    <t xml:space="preserve">NPV label </t>
  </si>
  <si>
    <t xml:space="preserve">Étiquette de la VAN </t>
  </si>
  <si>
    <t xml:space="preserve">Etiqueta VPN </t>
  </si>
  <si>
    <t>Short NPV label</t>
  </si>
  <si>
    <t>Étiquette courte de la VAN</t>
  </si>
  <si>
    <t>Etiqueta VPN corta</t>
  </si>
  <si>
    <t>Heat content per coal consumed</t>
  </si>
  <si>
    <t>Energie calorifique du charbon consommé</t>
  </si>
  <si>
    <t>Contenido calorífico por carbón consumido</t>
  </si>
  <si>
    <t>Average carbon coefficient of coal combusted (EPA)</t>
  </si>
  <si>
    <t>Coefficient moyen de carbone du charbon brûlé (EPA)</t>
  </si>
  <si>
    <t>Coeficiente de carbono promedio del carbón quemado (EPA)</t>
  </si>
  <si>
    <t>Ratio of molecular weight of carbon dioxide to carbon</t>
  </si>
  <si>
    <t>Ratio du poids moléculaire du dioxyde de carbone sur celui du charbon</t>
  </si>
  <si>
    <t>Relación entre el peso molecular del dióxido de carbono y del carbono</t>
  </si>
  <si>
    <t>Model check tolerance level</t>
  </si>
  <si>
    <t>Le modèle vérifie le niveau de tolérance d'erreur</t>
  </si>
  <si>
    <t>Verificación del nivel de tolerancia del modelo</t>
  </si>
  <si>
    <t>Production days per year</t>
  </si>
  <si>
    <t>Jours de production par an</t>
  </si>
  <si>
    <t>Días de producción anuales</t>
  </si>
  <si>
    <t>one thousand</t>
  </si>
  <si>
    <t>mille</t>
  </si>
  <si>
    <t>mil</t>
  </si>
  <si>
    <t>one hundred</t>
  </si>
  <si>
    <t>cent</t>
  </si>
  <si>
    <t>cien</t>
  </si>
  <si>
    <t>Anglais</t>
  </si>
  <si>
    <t>Inglés</t>
  </si>
  <si>
    <t>Français</t>
  </si>
  <si>
    <t>Francés</t>
  </si>
  <si>
    <t>Espagnol</t>
  </si>
  <si>
    <t>Español</t>
  </si>
  <si>
    <t>Autre 1</t>
  </si>
  <si>
    <t>Otro 1</t>
  </si>
  <si>
    <t>Autre 2</t>
  </si>
  <si>
    <t>Otro 2</t>
  </si>
  <si>
    <t>Language selected</t>
  </si>
  <si>
    <t>Langue choisie</t>
  </si>
  <si>
    <t>Idioma seleccionado</t>
  </si>
  <si>
    <t>Compare live results to</t>
  </si>
  <si>
    <t>Comparer les résultats réels à</t>
  </si>
  <si>
    <t>Comparar resultados reales con</t>
  </si>
  <si>
    <t>Constant</t>
  </si>
  <si>
    <t>Constante</t>
  </si>
  <si>
    <t>gross</t>
  </si>
  <si>
    <t>brut</t>
  </si>
  <si>
    <t>bruto</t>
  </si>
  <si>
    <t>neto</t>
  </si>
  <si>
    <t>Pourcentage</t>
  </si>
  <si>
    <t>Porcentaje</t>
  </si>
  <si>
    <t>TargetYear</t>
  </si>
  <si>
    <t>Année cible</t>
  </si>
  <si>
    <t>Año objetivo</t>
  </si>
  <si>
    <t>depreciated</t>
  </si>
  <si>
    <t>amorti</t>
  </si>
  <si>
    <t>depreciado</t>
  </si>
  <si>
    <t>comptabilisé en charges</t>
  </si>
  <si>
    <t>asentado como gasto</t>
  </si>
  <si>
    <t>spend</t>
  </si>
  <si>
    <t>dépenser</t>
  </si>
  <si>
    <t>gastar</t>
  </si>
  <si>
    <t>Exploration</t>
  </si>
  <si>
    <t>Prospección</t>
  </si>
  <si>
    <t>FID</t>
  </si>
  <si>
    <t>DFI</t>
  </si>
  <si>
    <t>Producción</t>
  </si>
  <si>
    <t>do not delete row</t>
  </si>
  <si>
    <t>ne pas effacer la ligne</t>
  </si>
  <si>
    <t>no eliminar fila</t>
  </si>
  <si>
    <t>Dashboard parameters and results</t>
  </si>
  <si>
    <t>Paramètres et résultats du tableau de bord</t>
  </si>
  <si>
    <t>panel de información de parámetros y resultados</t>
  </si>
  <si>
    <t>Primary fiscal regime results</t>
  </si>
  <si>
    <t>Résultats du régime fiscal principal</t>
  </si>
  <si>
    <t>Resultados principales del régimen fiscal</t>
  </si>
  <si>
    <t>Model info</t>
  </si>
  <si>
    <t>Information sur le modèle</t>
  </si>
  <si>
    <t>Información del modelo</t>
  </si>
  <si>
    <t>Comments and version changes</t>
  </si>
  <si>
    <t>Commentaires et changements de version</t>
  </si>
  <si>
    <t>Comentarios y cambios de versión</t>
  </si>
  <si>
    <t>Project selection and sensitivities</t>
  </si>
  <si>
    <t xml:space="preserve">Choix du projet et sensibilités </t>
  </si>
  <si>
    <t>Selección del proyecto y sensibilidades</t>
  </si>
  <si>
    <t>Economic assumptions</t>
  </si>
  <si>
    <t>Hypothèses économiques</t>
  </si>
  <si>
    <t>Supuestos económicos</t>
  </si>
  <si>
    <t>Evaluation parameters</t>
  </si>
  <si>
    <t>Paramètres d’évaluation</t>
  </si>
  <si>
    <t>Parámetros de evaluación</t>
  </si>
  <si>
    <t>Model name and version</t>
  </si>
  <si>
    <t>Nom et version du modèle</t>
  </si>
  <si>
    <t>Nombre y versión del modelo</t>
  </si>
  <si>
    <t>Technical parameters</t>
  </si>
  <si>
    <t>Paramètres techniques</t>
  </si>
  <si>
    <t>Parámetros técnicos</t>
  </si>
  <si>
    <t>Global labels</t>
  </si>
  <si>
    <t>Étiquettes universelles</t>
  </si>
  <si>
    <t>Etiquetas globales</t>
  </si>
  <si>
    <t>Selecting project</t>
  </si>
  <si>
    <t>Choisir un projet</t>
  </si>
  <si>
    <t>Selección del proyecto</t>
  </si>
  <si>
    <t>Project data location</t>
  </si>
  <si>
    <t>Emplacement des données du projet</t>
  </si>
  <si>
    <t>Ubicación de datos del proyecto</t>
  </si>
  <si>
    <t>List of projects</t>
  </si>
  <si>
    <t>Liste des projets</t>
  </si>
  <si>
    <t>Lista de proyectos</t>
  </si>
  <si>
    <t>Sensitivity parameters</t>
  </si>
  <si>
    <t>Paramètres de sensibilité</t>
  </si>
  <si>
    <t>Parámetros de sensibilidad</t>
  </si>
  <si>
    <t>Government revenues under alternative regimes</t>
  </si>
  <si>
    <t>Revenus du gouvernement sous d’autres régimes</t>
  </si>
  <si>
    <t>Ingresos fiscales en regímenes alternativos</t>
  </si>
  <si>
    <t>Fiscal regimes</t>
  </si>
  <si>
    <t>Régimes fiscaux</t>
  </si>
  <si>
    <t>Regímenes fiscales</t>
  </si>
  <si>
    <t>Investor NPV &amp; IRR under alternative regimes</t>
  </si>
  <si>
    <t>VAN &amp; TRI des investissements sous d’autres régimes</t>
  </si>
  <si>
    <t>VPN y TIR del inversionista en regímenes alternativos</t>
  </si>
  <si>
    <t>Discount rates</t>
  </si>
  <si>
    <t>Tasas de descuento</t>
  </si>
  <si>
    <t>Return to</t>
  </si>
  <si>
    <t>Rendement à</t>
  </si>
  <si>
    <t>Volver a</t>
  </si>
  <si>
    <t>Label</t>
  </si>
  <si>
    <t>Étiquette</t>
  </si>
  <si>
    <t>Etiqueta</t>
  </si>
  <si>
    <t>Flag</t>
  </si>
  <si>
    <t>Repère</t>
  </si>
  <si>
    <t>Marca</t>
  </si>
  <si>
    <t>row</t>
  </si>
  <si>
    <t>ligne</t>
  </si>
  <si>
    <t>fila</t>
  </si>
  <si>
    <t>Name</t>
  </si>
  <si>
    <t>Nom</t>
  </si>
  <si>
    <t>Nombre</t>
  </si>
  <si>
    <t>oui</t>
  </si>
  <si>
    <t>sí</t>
  </si>
  <si>
    <t>non</t>
  </si>
  <si>
    <t>Translation of options</t>
  </si>
  <si>
    <t>Traduction des options</t>
  </si>
  <si>
    <t>Traducción de opciones</t>
  </si>
  <si>
    <t>carat</t>
  </si>
  <si>
    <t>quilate</t>
  </si>
  <si>
    <t>option selected</t>
  </si>
  <si>
    <t>option choisie</t>
  </si>
  <si>
    <t>opción seleccionada</t>
  </si>
  <si>
    <t>Tolerance</t>
  </si>
  <si>
    <t>Tolérance</t>
  </si>
  <si>
    <t>Tolerancia</t>
  </si>
  <si>
    <t>Days</t>
  </si>
  <si>
    <t>Jours</t>
  </si>
  <si>
    <t>Días</t>
  </si>
  <si>
    <t>Thousand</t>
  </si>
  <si>
    <t>Mille</t>
  </si>
  <si>
    <t>Miles</t>
  </si>
  <si>
    <t>DMT</t>
  </si>
  <si>
    <t>MT</t>
  </si>
  <si>
    <t>ounce</t>
  </si>
  <si>
    <t>onces</t>
  </si>
  <si>
    <t>onza</t>
  </si>
  <si>
    <t>Project source data</t>
  </si>
  <si>
    <t>Données-source du projet</t>
  </si>
  <si>
    <t>Datos fuente del proyecto</t>
  </si>
  <si>
    <t>Cost inputs</t>
  </si>
  <si>
    <t>Intrants de coûts</t>
  </si>
  <si>
    <t>Insumos de costos</t>
  </si>
  <si>
    <t>Unit costs</t>
  </si>
  <si>
    <t>Coûts unitaires</t>
  </si>
  <si>
    <t>Costos unitarios</t>
  </si>
  <si>
    <t>Check project data in correct row</t>
  </si>
  <si>
    <t>Vérifier que les données du projet sont dans la bonne ligne</t>
  </si>
  <si>
    <t>Verificar datos del proyecto en fila correcta</t>
  </si>
  <si>
    <t>prior period</t>
  </si>
  <si>
    <t>Période antérieure</t>
  </si>
  <si>
    <t>período anterior</t>
  </si>
  <si>
    <t>add</t>
  </si>
  <si>
    <t>plus</t>
  </si>
  <si>
    <t>añadir</t>
  </si>
  <si>
    <t>less</t>
  </si>
  <si>
    <t>moins</t>
  </si>
  <si>
    <t>menos</t>
  </si>
  <si>
    <t>base year is first project year</t>
  </si>
  <si>
    <t>l’année de référence est la première année du projet</t>
  </si>
  <si>
    <t>el año de base es el primer año del proyecto</t>
  </si>
  <si>
    <t>Index</t>
  </si>
  <si>
    <t>Indice</t>
  </si>
  <si>
    <t>Sheet checks</t>
  </si>
  <si>
    <t>Vérifications de feuille</t>
  </si>
  <si>
    <t>verificaciones de hoja</t>
  </si>
  <si>
    <t>Unit opex</t>
  </si>
  <si>
    <t>Dépense d’exploitation unitaire</t>
  </si>
  <si>
    <t>Costos de operación unitarios</t>
  </si>
  <si>
    <t>trillion</t>
  </si>
  <si>
    <t>mille milliards</t>
  </si>
  <si>
    <t>billón</t>
  </si>
  <si>
    <t>number</t>
  </si>
  <si>
    <t>numéro</t>
  </si>
  <si>
    <t>número</t>
  </si>
  <si>
    <t>Date</t>
  </si>
  <si>
    <t>Date :</t>
  </si>
  <si>
    <t>Fecha</t>
  </si>
  <si>
    <t>Time</t>
  </si>
  <si>
    <t>Temps</t>
  </si>
  <si>
    <t>Tiempo</t>
  </si>
  <si>
    <t>File</t>
  </si>
  <si>
    <t>Fichier</t>
  </si>
  <si>
    <t>Archivo</t>
  </si>
  <si>
    <t>Dashboard parameters</t>
  </si>
  <si>
    <t>Paramètres du tableau de bord</t>
  </si>
  <si>
    <t>Panel de información de parámetros</t>
  </si>
  <si>
    <t>Top of track results</t>
  </si>
  <si>
    <t>Début de liste du suivi des changements</t>
  </si>
  <si>
    <t>Inicio de resultados del seguimiento</t>
  </si>
  <si>
    <t>Bottom of track results</t>
  </si>
  <si>
    <t>Fin de liste du suivi des changements</t>
  </si>
  <si>
    <t>Final de resultados del seguimiento</t>
  </si>
  <si>
    <t>Describe changes</t>
  </si>
  <si>
    <t>Décrire les changements</t>
  </si>
  <si>
    <t>Describir modificaciones</t>
  </si>
  <si>
    <t>mineral sales</t>
  </si>
  <si>
    <t>ventes de minerais</t>
  </si>
  <si>
    <t>ventas del mineral</t>
  </si>
  <si>
    <t>alternative sets of fiscal paramemters</t>
  </si>
  <si>
    <t>Autres ensembles de paramètres du régime fiscal</t>
  </si>
  <si>
    <t>conjuntos alternativos de parámetros fiscales</t>
  </si>
  <si>
    <t>Columns</t>
  </si>
  <si>
    <t>Colonnes</t>
  </si>
  <si>
    <t>Columnas</t>
  </si>
  <si>
    <t>Zero if ELT off</t>
  </si>
  <si>
    <t>Zéro sans TLE</t>
  </si>
  <si>
    <t>Cero si la ELT no es buena</t>
  </si>
  <si>
    <t>const</t>
  </si>
  <si>
    <t>constantes</t>
  </si>
  <si>
    <t>cashflows excluding exploration &amp; development costs</t>
  </si>
  <si>
    <t>flux de trésorerie, à l’exclusion des coûts d’exploration et de développement</t>
  </si>
  <si>
    <t>flujos de caja excluidos costos de prospección y desarrollo</t>
  </si>
  <si>
    <t>For chart</t>
  </si>
  <si>
    <t>Pour le graphique</t>
  </si>
  <si>
    <t>Para el gráfico</t>
  </si>
  <si>
    <t>FARI terms of use</t>
  </si>
  <si>
    <t>Conditions d’utilisation du modèle FARI</t>
  </si>
  <si>
    <t>Condiciones de uso del FARI</t>
  </si>
  <si>
    <t>The Fiscal Analysis of Resource Industries (FARI or the “Methodology”) is made available to User by the International Monetary Fund (IMF) and subject to the following terms and conditions of use (“Terms”).  By proceeding to use of the Methodology, User agrees and accepts the Terms.</t>
  </si>
  <si>
    <t>L’analyse fiscale des industries extractives (FARI ou la « méthodologie ») est mise à la disposition de l’utilisateur par le Fonds monétaire international (FMI) et fait l’objet des modalités et conditions d’utilisation (« conditions ») suivantes.  En continuant à utiliser la méthodologie, l’utilisateur accepte les conditions.</t>
  </si>
  <si>
    <t>El Fondo Monetario Internacional (FMI) pone el Análisis fiscal de las industrias de extracción de recursos (FARI, o la «Metodología») a disposición del Usuario conforme a las siguientes condiciones de uso («Condiciones»).  Al proceder a utilizar la Metodología, el Usuario asume y acepta las Condiciones.</t>
  </si>
  <si>
    <t>TERMS</t>
  </si>
  <si>
    <t>CONDITIONS</t>
  </si>
  <si>
    <t>CONDICIONES</t>
  </si>
  <si>
    <t>1. The Methodology is intended as a tool to perform economic and fiscal analysis of extractive industries projects and to support general capacity building for government officials and civil society. User may adapt, modify or alter the Methodology to the extent necessary to fit the purpose of User’s internal use, provided that such adaptations, modifications or alterations shall not affect the integrity of the Methodology.</t>
  </si>
  <si>
    <t>1. La méthodologie permet de procéder à une analyse économique et fiscale des projets dans les industries extractives et contribue à un renforcement général des capacités des fonctionnaires et de la société civile. L’utilisateur peut adapter ou modifier la méthodologie dans la mesure où cela sera nécessaire pour répondre à ses besoins internes, à condition que ces adaptations et modifications n'altèrent pas la qualité de la méthodologie.</t>
  </si>
  <si>
    <t>1. La Metodología está concebida como una herramienta para llevar a cabo análisis económico y fiscal de proyectos de las industrias extractivas y para respaldar el fortalecimiento de las capacidades de los funcionarios públicos y de la sociedad civil. El Usuario puede adaptar, modificar o alterar la Metodología en la medida que sea necesario para adaptarla al objetivo del uso interno del Usuario, siempre que tales adaptaciones, modificaciones o alteraciones no afecten la integridad de la Metodología.</t>
  </si>
  <si>
    <t>2. The Methodology has not been configured as a formal forecasting tool and is not designed or intended for such use. The Methodology is made available “as is” and the IMF makes no warranty or representation of the accuracy, adequacy or fitness for a particular purpose of the Methodology.</t>
  </si>
  <si>
    <t>2). La méthodologie n’a pas été configurée comme un outil de prévision formel et n’est pas conçue pour un tel usage. La méthodologie est mise à la disposition des autorités en l’état, et le FMI ne garantit en aucune façon son exactitude, son adéquation ou son aptitude à un usage particulier.</t>
  </si>
  <si>
    <t>2. La Metodología no está configurada como herramienta formal de pronóstico ni diseñada o concebida para tal uso. La Metodología se pone a disposición «tal cual» y el FMI no ofrece ninguna garantía o declaración con respecto a la precisión o idoneidad para un objetivo específico de la Metodología.</t>
  </si>
  <si>
    <t xml:space="preserve">3. All proprietary rights in the Methodology, including intellectual property rights, belong to the IMF. All other rights, whether now existing or which may hereafter come into existence which are not expressly authorized by these Terms, are hereby reserved to and by the IMF. </t>
  </si>
  <si>
    <t xml:space="preserve">3). Tous les droits de propriété de la méthodologie, y compris les droits de propriété intellectuelle, appartiennent au FMI. Tous les autres droits, qui existent aujourd’hui ou qui pourraient exister ultérieurement et ne sont pas expressément accordés par les présentes conditions, sont réservés au FMI et par ce dernier. </t>
  </si>
  <si>
    <t xml:space="preserve">3. Todos los derechos de propiedad de la Metodología, incluidos los derechos de propiedad intelectual, pertenecen al FMI. Todos los demás derechos, ya existentes o que puedan existir con posterioridad y que no estén autorizados expresamente en las presentes Condiciones, quedan reservados para y por el FMI. </t>
  </si>
  <si>
    <t>4. User shall give appropriate credit to the IMF in all applications and outputs derived from the use of the Methodology, in a way which does not suggest that the IMF endorses User or any User's use of the Methodology and the outputs deriving thereof.</t>
  </si>
  <si>
    <t>4). L’utilisateur attribuera au FMI le mérite qui lui revient dans toutes les applications et les résultats tirés de l’utilisation de la méthodologie, sans impliquer que le FMI donne son aval à l’utilisateur ou à tout usage de la méthodologie par l’utilisateur et à ses résultats.</t>
  </si>
  <si>
    <t>4. El Usuario dará el crédito adecuado al FMI en todas las aplicaciones y productos derivados del uso de la Metodología, de forma que no sugiera que el FMI respalda al usuario o el uso que el usuario haga de la Metodología y los productos derivados de la misma.</t>
  </si>
  <si>
    <t>5. Access to and use of the Methodology are at the User's own risk and responsibility. The IMF bears no responsibility or liability for damage of any kind, also for indirect or consequential damages resulting from access to or use of this Methodology.</t>
  </si>
  <si>
    <t>5). L’utilisateur accède à la méthodologie et l’utilise sous sa responsabilité exclusive et à ses propres risques. Le FMI décline toute responsabilité pour les dommages de toute nature et pour les dommages directs ou indirects résultant de l’accès à la méthodologie ou de son utilisation.</t>
  </si>
  <si>
    <t>5. El acceso a la Metodología y su uso serán por cuenta y riesgo del Usuario. El FMI no asume ninguna obligación o responsabilidad por daños de ningún tipo, tampoco por daños directos o indirectos que resulten del acceso a la presente Metodología y su uso.</t>
  </si>
  <si>
    <t>Accept terms of use to continue.</t>
  </si>
  <si>
    <t>Acceptez les conditions d’utilisation pour continuer.</t>
  </si>
  <si>
    <t>Acepte las condiciones de uso para continuar.</t>
  </si>
  <si>
    <t xml:space="preserve">Accept terms  </t>
  </si>
  <si>
    <t>J'accepte les conditions</t>
  </si>
  <si>
    <t xml:space="preserve">Acepto las condiciones  </t>
  </si>
  <si>
    <t>Don't accept terms</t>
  </si>
  <si>
    <t>Je n'accepte pas les conditions</t>
  </si>
  <si>
    <t>No acepto las condiciones</t>
  </si>
  <si>
    <t>Simplified mining FARI model: June 2021</t>
  </si>
  <si>
    <t>Modèle FARI simplifié pour les industries extractives Juin 2021</t>
  </si>
  <si>
    <t>Modelo FARI minería simplificado: Junio de 2021</t>
  </si>
  <si>
    <t>Checks</t>
  </si>
  <si>
    <t>Vérifications</t>
  </si>
  <si>
    <t>Verificaciones</t>
  </si>
  <si>
    <t>The model applies user-configured fiscal regimes to user-configured mining project examples. This simplified model is currently configured to handle mining projects for gold, iron ore, diamond and coal. However, the user can easily change the model for analyzing another mineral. The model structure is set out in the MODEL MAP sheet.</t>
  </si>
  <si>
    <t>Le modèle applique des régimes fiscaux configurés par l’utilisateur à des exemples de projets d’extraction minière configurés par l’utilisateur. Ce modèle simplifié est actuellement configuré pour  des projets d’extraction d’or, de minerai de fer, de diamant et de charbon. Toutefois, l’utilisateur peut facilement modifier le modèle pour simuler des projets avec d’autres minerais. La structure du modèle est présentée dans la feuille « MODELMAP ».</t>
  </si>
  <si>
    <t>El modelo aplica regímenes fiscales configurados por el usuario a ejemplos de proyectos petroleros configurados por el usuario. Este modelo simplificado actualmente está solo configurado para tratar proyectos de oro, mineral de hierro, diamantes y carbón. No obstante, el usuario podría ajustar el modelo con facilidad para incluir otro mineral. La estructura del modelo se establece en la hoja MODELMAP.</t>
  </si>
  <si>
    <t>The model has a number of checks to test its internal consistency. These checks will remain green. If the master check cell is red, there is a problem in the model. Either an error needs to be corrected, or the check itself refined. In either case, red checks must be addressed.</t>
  </si>
  <si>
    <t>Le modèle effectue une série de vérifications pour tester sa cohérence interne. Les cellules vérifications sont en vert si aucune anomalie n'est détectée. Si la cellule principale de vérification est en rouge, il y a un problème dans le modèle. Soit l’erreur doit être corrigée, soit la vérification elle-même doit être améliorée. Dans tous les cas, les vérifications en rouge appellent à effectuer des corrections.</t>
  </si>
  <si>
    <t>El modelo contiene varias verificaciones para comprobar su coherencia interna. Estas verificaciones permanecerán en verde. Si la celda de verificación maestra es roja, existe un problema en el modelo. O bien debe corregirse un error, o la verificación debe ajustarse. En cualquier caso, deben solucionarse las verificaciones en rojo.</t>
  </si>
  <si>
    <t>This model has been structured broadly in line with the FAST modeling standard (www.fast-standard.org/). Color coding: is set out in the KEY sheet cells.  The user should only need to change cells with yellow background. See KEY sheet</t>
  </si>
  <si>
    <t>La structure de ce modèle est globalement conforme à la norme de modélisation FAST (www.fast-standard.org/). Le code des couleurs est indiqué dans des cellules de la feuille « KEY ».  L’utilisateur devrait uniquement modifier les cellules au fond jaune. Voir la feuille KEY</t>
  </si>
  <si>
    <t>Este modelo se ha estructurado de forma amplia, de conformidad con el estándar de modelización FAST (www.fast-standard.org/). Código de colores: se establece en las celdas de la hoja KEY. El usuario solo debe modificar las celdas con fondo amarillo. Véase la hoja KEY</t>
  </si>
  <si>
    <t>Fiscal regime inputs, including tax parameters and rates, are entered in the yellow cells in FISCSALMODEL sheet. Either amend an existing set of parameters or use a blank column to create a new regime. Give the regime a name, as this becomes the label used to select the regime from the DASHBOARD.</t>
  </si>
  <si>
    <t>Les intrants du régime fiscal, notamment les paramètres et les taux d’imposition, sont saisis dans les cellules jaunes de la feuille « FISCSALMODEL ». Il faudrait soit modifier un ensemble de paramètres existants soit utiliser une colonne vierge pour créer un nouveau régime. Donner un nom au régime, car il devient l’étiquette utilisée pour choisir le régime à partir du DASHBOARD.</t>
  </si>
  <si>
    <t>Los datos de los regímenes fiscales, incluidos los parámetros y las tasas impositivas, se introducen en las celdas amarillas de la hoja FISCALMODELINPUTS. Para crear un régimen nuevo, se debe oO modificar un conjunto existente de parámetros o utilizar una columna en blanco para crear un régimen nuevo. Se debe dar un nombre a cada Dar al régimen fiscalun nombre, que será la etiqueta utilizada para seleccionar el régimen en el DASHBOARD.</t>
  </si>
  <si>
    <t>Debt financing can have a significant impact on government revenues. Financing inputs are included in each fiscal regime, making it straight-forward to compare the incremental effect of financing by having the duplicate fiscal regimes with and without financing.</t>
  </si>
  <si>
    <t>Le financement par emprunt peut avoir d'importantes répercussions sur les revenus du gouvernement. Les intrants de financement sont inclus dans chaque régime fiscal, ce qui simplifie la comparaison avec l’effet différentiel du financement, puisqu’on peut voir le même régime fiscal avec et sans financement.</t>
  </si>
  <si>
    <t>El financiamiento mediante deuda puede incidir considerablemente en los ingresos fiscales. Los datos iniciales de financiamiento se incluyen en todos los regímenes fiscales, por lo que es sencillo comparar el efecto del aumento del financiamiento al tener los regímenes fiscales duplicados con y sin financiamiento.</t>
  </si>
  <si>
    <t>LIBOR real terms interest rates and inflation rates are entered in the INPUT sheet. Proportion of costs financed, interest rate and repayment period are included in fiscal regime parameters.</t>
  </si>
  <si>
    <t>La valeur réelle des taux d’intérêt du LIBOR et des taux d’inflation est saisie dans la feuille « INPUT ». La proportion des coûts financés, le taux d’intérêt et la période de remboursement sont inclus dans les paramètres du régime fiscal.</t>
  </si>
  <si>
    <t>Las tasas de interés LIBOR en términos reales y las tasas de inflación se introducen en la hoja INPUT. La proporción de costos financiados, la tasa de interés y el período de repago se incluyen en los parámetros del régimen fiscal.</t>
  </si>
  <si>
    <t xml:space="preserve">The model is currently set up assuming a mining company (whether local or international) invests and manages a project with the option of state participation. Results are presented for the mining company and, if applicable, state equity, plus the lender, plus the aggregate of the Mining Company’s equity plus lender. The latter is the parent company perspective and is used in the model as the primary investor evaluation metric for breakeven price analysis.  </t>
  </si>
  <si>
    <t xml:space="preserve">La configuration actuelle du modèle suppose qu’une société minière (locale ou internationale) investit et gère un projet avec une option de participation de l’État. Les résultats sont présentés pour la société minière et, si applicable, les fonds propres de l’État, plus le prêteur, plus les fonds propres de la société minière et du prêteur. Ces deux derniers correspondent au point de vue de la société-mère et ce point de vue est considéré par le modèle pour le calcul du prix d’équilibre de l'investisseur  </t>
  </si>
  <si>
    <t xml:space="preserve">El modelo está diseñado actualmente asumiendo el financiamiento conjunto de la empresa petrolera internacional (EPI) y de la empresa estatal (EE), como si el financiamiento mediante deuda fuera proporcionado en primer lugar por la empresa matriz de la EPI. Los resultados se presentan para el capital de la EPI y de la EE, más el prestamista, más el agregado del capital de la EPI más el prestamista. Esta última es la perspectiva de la empresa matriz y se utiliza en el modelo como la principal medida de evaluación del inversionista para el análisis de precio de equilibrio.  </t>
  </si>
  <si>
    <t>Projects are defined in separate project sheets. New projects can be created simply by (1) copying an existing project sheet (2) renaming the sheet tab (3) modifying production and cost profiles; then (4) add the new project sheet tab name to the project list in the INPUT sheet. This last step makes the new project available for selection using the parameter on the DASHBOARD</t>
  </si>
  <si>
    <t>Les données de chaque projet sont dans des feuilles de projets distinctes. Pour créer un nouveau projet il faut simplement : 1) copier une feuille de projet existante ; 2) renommer l’onglet de la feuille ; 3) modifier les profils de production et de coûts ; et 4) ajouter le nom du nouvel onglet de la feuille à la liste de projets dans la feuille « INPUT ». Cette dernière étape rend le nouveau projet disponible pour être sélectionné en utilisant le paramètre du « DASHBOARD ».</t>
  </si>
  <si>
    <t>Los proyectos se definen en hojas de proyecto separadas. Pueden crearse nuevos proyectos de forma sencilla 1) copiando una hoja de proyecto existente, 2) dando un nuevo nombre a la etiqueta de la hoja, 3) modificando los perfiles de producción y costos; y después, 4) añadiendo el nombre de la etiqueta de la hoja del nuevo proyecto a la lista de proyectos en la hoja INPUT. Este último paso hace que el nuevo proyecto pueda seleccionarse utilizando el parámetro del DASHBOARD</t>
  </si>
  <si>
    <t>In each project example:</t>
  </si>
  <si>
    <t>Dans chaque exemple de projet :</t>
  </si>
  <si>
    <t>En el ejemplo de cada proyecto:</t>
  </si>
  <si>
    <t>The logic flow in the model is as set out in the MODELMAP:</t>
  </si>
  <si>
    <t>Le diagramme logique du modèle se présente comme dans la feuille « MODELMAP » :</t>
  </si>
  <si>
    <t>El flujo lógico del modelo se establece en el MODELMAP:</t>
  </si>
  <si>
    <t>Select project example</t>
  </si>
  <si>
    <t>Choisir un exemple de projet</t>
  </si>
  <si>
    <t>Seleccionar ejemplo de proyecto</t>
  </si>
  <si>
    <t>Select applicable fiscal regime</t>
  </si>
  <si>
    <t>Choisir le régime fiscal correspondant</t>
  </si>
  <si>
    <t>Seleccionar régimen fiscal aplicable</t>
  </si>
  <si>
    <t>Set mineral price(s)</t>
  </si>
  <si>
    <t>Fixer le(s) prix du/des minerai(s)</t>
  </si>
  <si>
    <t>Fijar precio(s) del mineral</t>
  </si>
  <si>
    <t>The PROJECTCASHFLOWS sheet imports project data from the selected project example sheet</t>
  </si>
  <si>
    <t>La feuille « PROJECTCASHFLOWS » importe les données du projet de la feuille exemple du projet choisi</t>
  </si>
  <si>
    <t>La hoja PROJECTCASHFLOWS importa datos del proyecto desde la hoja de ejemplo del proyecto seleccionado</t>
  </si>
  <si>
    <t>Fiscal calculations are done in the FISCALMODEL sheet</t>
  </si>
  <si>
    <t>Les calculs se font dans la feuille « FISCALMODEL »</t>
  </si>
  <si>
    <t>Los cálculos fiscales se realiza en la hoja FISCALMODEL</t>
  </si>
  <si>
    <t>The ANALYSIS sheet compiles results from the model and derives outcomes for each participant on a (1) Full-cycle basis (from the start of exploration) and (2) from FID (in practice when development costs are first incurred). Comprehensive IRR and NPV calculations are undertaken for each project participant from both perspectives.</t>
  </si>
  <si>
    <t>La feuille « ANALYSIS » regroupe les résultats du modèle et génère des résultats pour chaque participant : 1) en cycle complet (depuis le début de l’exploration) et 2) à partir de la décision finale d’investissement (dans la pratique, lorsque les coûts de développement sont engagés pour la première fois). Des calculs complets du TRI et de la VAN sont effectués pour chaque participant au projet selon ces deux points de vue.</t>
  </si>
  <si>
    <t>La hoja ANALYSIS recopila los resultados del modelo y deriva resultados por cada participante en 1) todo el ciclo completo (desde el inicio de la prospección) y 2) desde la DFI (en la práctica, cuando se incurre por primera vez en costos de desarrollo). Se realizan cálculos completos de la TIR y del VPN para cada participante del proyecto desde ambas perspectivas.</t>
  </si>
  <si>
    <t>The DASHBOARD is where the user will spend most time driving the model.</t>
  </si>
  <si>
    <t>Le tableau de bord (« DASHBOARD ») est là où l’utilisateur passera le plus de temps à manipuler le modèle.</t>
  </si>
  <si>
    <t>El DASHBOARD es donde el usuario pasará la mayor parte del tiempo para dirigir el modelo.</t>
  </si>
  <si>
    <t>Select fiscal regime: drop-down list on top left</t>
  </si>
  <si>
    <t>Choisir le régime fiscal : liste déroulante, coin supérieur gauche</t>
  </si>
  <si>
    <t>Seleccionar régimen fiscal: lista desplegable de la parte superior izquierda</t>
  </si>
  <si>
    <t>Select project: drop-down list on top left</t>
  </si>
  <si>
    <t>Choisir le projet : liste déroulante, coin supérieur gauche</t>
  </si>
  <si>
    <t>Seleccionar proyecto: lista desplegable de la parte superior izquierda</t>
  </si>
  <si>
    <t>Change mineral price(s): entered top left</t>
  </si>
  <si>
    <t>Modifier le(s) prix du/des minerai(s) : saisie coin supérieur gauche</t>
  </si>
  <si>
    <t>Modificar el precio(s) del mineral: se introducen en la parte superior izquierda</t>
  </si>
  <si>
    <t>Participant cashflows (table top-centre)</t>
  </si>
  <si>
    <t>Flux de trésorerie des participants (tableau en haut au centre)</t>
  </si>
  <si>
    <t>Flujos de caja de los participantes (cuadro superior central)</t>
  </si>
  <si>
    <t>Project cashflows (table top-right). Breakdown of revenues and costs on undiscounted real dollars and US$ / unit of measurement for primary mineral.</t>
  </si>
  <si>
    <t>Flux de trésorerie du projet (coin supérieur droit du tableau). Ventilation des revenus et des coûts en dollars réels non actualisés et en dollar/unité de mesure du principal minerai.</t>
  </si>
  <si>
    <t>Flujos de caja del proyecto (cuadro superior derecha). Desglose de ingresos y costos en dólares reales no descontados y USD / unidad de medida del mineral primario.</t>
  </si>
  <si>
    <t>Government revenues (table centre-right). Summary of government revenues by category.</t>
  </si>
  <si>
    <t>Revenus du gouvernement (centre droit du tableau). Récapitulatif des revenus du gouvernement par catégorie.</t>
  </si>
  <si>
    <t>Ingresos fiscales (cuadro central derecho). Resumen de ingresos fiscales por categoría.</t>
  </si>
  <si>
    <t>Project statistics (table and chart lower-Left)</t>
  </si>
  <si>
    <t>Statistiques du projet (tableau et graphique, coin inférieur gauche)</t>
  </si>
  <si>
    <t>Estadísticas del proyecto (cuadro y gráfico inferior izquierdos)</t>
  </si>
  <si>
    <t>Production profile and unit operating costs (chart lower-right)</t>
  </si>
  <si>
    <t>Profil de production et coûts d’exploitation unitaires (coin inférieur droit du graphique)</t>
  </si>
  <si>
    <t>Perfil de producción y costos unitarios de operación (gráfico inferior derecho)</t>
  </si>
  <si>
    <t>Government revenue profile: Chart in centre. Annual revenues by category, plus pie chart showing breakdown over project life.</t>
  </si>
  <si>
    <t>Profil des revenus du gouvernement : Graphique au centre. Recettes annuelles par catégorie, plus diagramme à secteurs montrant la ventilation tout au long de la durée du projet.</t>
  </si>
  <si>
    <t>Perfil de ingresos fiscales: Gráfico en el centro. Ingresos anuales por categoría, más gráfico circular que muestra el desglose a lo largo de la vida del proyecto.</t>
  </si>
  <si>
    <t>Compares key results for regimes selected by user. User chooses regimes to compare from drop-down lists in yellow cells at the top of the table. Then press F9 to update.</t>
  </si>
  <si>
    <t>Compare les principaux résultats des régimes choisis par l'utilisateur. L’utilisateur choisit les régimes à comparer sur les listes déroulantes dans les cellules jaunes en haut du tableau. Puis appuyer sur F9 pour mettre à jour.</t>
  </si>
  <si>
    <t>Compara los principales resultados de los regímenes seleccionados por el usuario. El usuario elige los regímenes a comparar de las listas desplegables en las celdas amarillas en la parte superior de la tabla. Después, presionar F9 para actualizar.</t>
  </si>
  <si>
    <t>If cells are left blank results are zero or #NA, enabling only two regimes to be compared side by side</t>
  </si>
  <si>
    <t>Si les cellules restent vides, le résultat est zéro ou (NA), ce qui permet de comparer seulement deux régimes côte à côte.</t>
  </si>
  <si>
    <t>Si las celdas se dejan vacías, los resultados son cero o #NA, lo que permite comparar solo dos regímenes al mismo tiempo</t>
  </si>
  <si>
    <t>Press F9 to ensure table updates</t>
  </si>
  <si>
    <t>Appuyer sur F9 pour mettre la table à jour.</t>
  </si>
  <si>
    <t>Presionar F9 para que se actualicen los cuadros</t>
  </si>
  <si>
    <t>Compares annual revenue profile for regimes selected by user. Select regimes using drop-down list at left of the table</t>
  </si>
  <si>
    <t>Compare le profil annuel des revenus pour les régimes choisis par l’utilisateur. Choisir les régimes en utilisant la liste déroulante qui se trouve à gauche du tableau</t>
  </si>
  <si>
    <t>Compara los perfiles de ingresos anuales de los regímenes seleccionados por el usuario. Seleccionar regímenes utilizando la lista desplegable en la parte izquierda de la tabla</t>
  </si>
  <si>
    <t>Sensitivity analysis showing results for user-selected metric across a user-defined range of primary mineral prices</t>
  </si>
  <si>
    <t>Analyse de sensibilité montrant les résultats des indicateurs choisis par l’utilisateur selon une fourchette de prix du minerai principal définie par l’utilisateur</t>
  </si>
  <si>
    <t>Análisis de sensibilidad que muestra los resultados por medida seleccionada por el usuario en un rango de precios del mineral primario definido por el usuario.</t>
  </si>
  <si>
    <t>Select metric from drop-down list. Either AETR or share of project benefits, undiscounted or NPV.</t>
  </si>
  <si>
    <t>Choisir un indicateur dans la liste déroulante. TMEI ou part des bénéfices du projet, non actualisée ou VAN.</t>
  </si>
  <si>
    <t>Seleccionar medida de la lista desplegable. Ya sea TMEI o porcentaje de los beneficios del proyecto, no descontado o VPN.</t>
  </si>
  <si>
    <t>Enter start primary mineral price and increment to create range for analysis.</t>
  </si>
  <si>
    <t>Saisir le prix du minerai principal au départ et le différentiel pour créer la plage d’analyse.</t>
  </si>
  <si>
    <t>Introducir el precio del mineral primario inicial e incrementar para crear el rango de análisis.</t>
  </si>
  <si>
    <t>Determines the price for the primary mineral necessary under each regime to achieve a user-specified after-tax IRR</t>
  </si>
  <si>
    <t>Détermine le prix du minerai principal nécessaire dans chaque régime pour réaliser un TRI après impôt spécifié par l’utilisateur</t>
  </si>
  <si>
    <t>Determina el precio del mineral primario necesario en cada régimen para logar la TIR después de impuestos especificada por el usuario.</t>
  </si>
  <si>
    <t>Pressing the button marked “breakeven” initiates a macro that determines the breakeven price for each selected regime using Excel’s GOAL-SEEK mechanism.</t>
  </si>
  <si>
    <t>En appuyant sur le bouton  « breakeven », l’usager déclenche une macro qui détermine le prix d’équilibre pour chaque régime choisi, en utilisant la fonction « VALEUR-CIBLE » d’Excel.</t>
  </si>
  <si>
    <t>Al presionar el botón «de equilibrio» (breakeven) se inicia una macro que determina el precio de equilibrio para cada régimen seleccionado mediante el mecanismo BUSCAR OBJETIVO de Excel.</t>
  </si>
  <si>
    <t>METR is the proportion of pre-tax IRR taken by the fiscal regime, at the breakeven point, as described in the FAD Technical Note</t>
  </si>
  <si>
    <t>Le taux effectif marginal d'imposition (TEMI) est la baisse en % du TRI avant impôt due au régime fiscal, au prix d’équilibre, comme décrit dans la note technique du département des finances publiques.</t>
  </si>
  <si>
    <t>METR es la proporción de la TIR antes de impuestos que toma el régimen fiscal, en el punto de equilibrio, tal como se describe en la Nota Técnica del Departamento de Asuntos Fiscales.</t>
  </si>
  <si>
    <t>Sharing of project post-tax net present value and average effective tax rate between government, investors, and state participation at different discount rates.</t>
  </si>
  <si>
    <t>Partage de la valeur actualisée nette du projet après impôt et du taux moyen effectif d'imposition entre l’État, les investisseurs et la participation de l’État à différents taux d’actualisation.</t>
  </si>
  <si>
    <t>Reparto del valor presente neto del proyecto después de impuestos y de la tasa impositiva efectiva promedio entre el gobierno, los inversionistas y la participación del Estado con tasas de descuento distintas.</t>
  </si>
  <si>
    <t>Annual costs are entered in constant terms of the model start year.</t>
  </si>
  <si>
    <t>Les coûts annuels sont en valeur constante de l’année de début du modèle.</t>
  </si>
  <si>
    <t>Los costos anuales se introducen en términos constantes del año de inicio del modelo.</t>
  </si>
  <si>
    <t>Mineral production is entered as the annual production in terms of the mineral’s unit of production (e.g. iron ore measured in metric tons or gold in thousand of ounces).</t>
  </si>
  <si>
    <t>La production d’un minerai est saisie en tant que production annuelle dans l’unité de production du minerai (exemple : le minerai de fer est mesuré en tonnes métriques et l’or en milliers d’onces).</t>
  </si>
  <si>
    <t>La producción del mineral se introduce como la producción anual en términos de unidad de producción del mineral (por ejemplo, el mineral de hierro medido en toneladas métricas o el oro en miles de onzas).</t>
  </si>
  <si>
    <t>Costs are broken down into exploration, development, sustaining capital, operating costs and decommissioning costs to enable different fiscal treatment for each. For example, exploration costs can be expensed for income tax while development costs are depreciated.</t>
  </si>
  <si>
    <t>Les coûts sont ventilés par catégorie (exploration, développement, immobilisations de maintien, exploitation et démantèlement) pour favoriser leur traitement fiscal différencié. Par exemple, les coûts d’exploration peuvent être comptabilisés aux fins d’impôt sur le revenu, tandis que les coûts de développement sont amortis.</t>
  </si>
  <si>
    <t>Los costos se desglosan en prospección, desarrollo, capital de mantenimiento, costos de operación y desmantelamiento, para diferenciar el tratamiento tributario de cada uno. Por ejemplo, los costos de prospección pueden asentarse como gasto en el impuesto sobre la renta, mientras que los costos de desarrollo se deprecian.</t>
  </si>
  <si>
    <t>Fiscal regime parameters are entered in INPUTS</t>
  </si>
  <si>
    <t>Les paramètres du régime fiscal sont saisis dans INPUTS</t>
  </si>
  <si>
    <t>Los parámetros del régimen fiscal se introducen en INPUTS</t>
  </si>
  <si>
    <t>Project data is entered in individual project example sheets</t>
  </si>
  <si>
    <t>Les données des projets sont saisies dans la feuille de chaque exemple de projet</t>
  </si>
  <si>
    <t>Los datos del proyecto se introducen en hojas individuales de ejemplo del proyecto</t>
  </si>
  <si>
    <t>IRR; undiscounted and NPV cashflows for (1) project (pre-tax net cashflows); (2) mining company; (3) mining company + lender (parent company perspective assuming parent provides the debt financing); (4) government including or excluding state participation</t>
  </si>
  <si>
    <t>TRI ; flux de trésorerie non actualisés et en VAN pour 1) le projet (flux de trésorerie nets avant impôt) ; 2) la société minière ; 3) la société-mère + le prêteur (point de vue de la société-mère, en supposant que celle-ci fournit le financement par emprunt) ; 4) l’État, avec ou sans participation de l’État</t>
  </si>
  <si>
    <t>TIR; flujos de caja VPN y no descontados de 1) proyecto; 2) empresa minera; 3) empresa minera + prestamista (perspectiva de la empresa matriz asumiendo que esta facilita el financiamiento mediante deuda), y 4) Gobierno, incluida o excluida participación del Estado</t>
  </si>
  <si>
    <t>Average effective tax rates and government share of project benefits (see technical note)</t>
  </si>
  <si>
    <t>Taux moyens effectifs d'imposition et part des bénéfices du projet revenant à l’État (voir la note technique et le manuel)</t>
  </si>
  <si>
    <t>Tasas medias efectivas del impuesto y proporción del gobierno de los beneficios del proyecto (véase nota técnica)</t>
  </si>
  <si>
    <t>IMF Fiscal Affairs Department, Tax Policy Division</t>
  </si>
  <si>
    <t>Département des finances publiques du FMI, Division politique fiscale</t>
  </si>
  <si>
    <t>Departamento de Asuntos Fiscales del FMI, División de Política Tributaria</t>
  </si>
  <si>
    <t>© IMF Fiscal Affairs Department. All rights reserved</t>
  </si>
  <si>
    <t>© Département des finances publiques du FMI Tous droits réservés</t>
  </si>
  <si>
    <t>© Departamento de Asuntos Fiscales del FMI. Todos los derechos reservados</t>
  </si>
  <si>
    <t>This model is accompanied by an IMF Technical Note and Manual, which should also be read before using the model.</t>
  </si>
  <si>
    <t>Ce modèle s’accompagne d’une note technique et d’un manuel du FMI qu’il convient de lire avant utilisation.</t>
  </si>
  <si>
    <t>Este modelo va acompañado de una Nota Técnica y un Manual del FMI, que también deben leerse antes de utilizar este modelo.</t>
  </si>
  <si>
    <t>User guide</t>
  </si>
  <si>
    <t>Guide utilisateur</t>
  </si>
  <si>
    <t>Guía de usuario</t>
  </si>
  <si>
    <t>Sheet tabs</t>
  </si>
  <si>
    <t>Onglets de feuille</t>
  </si>
  <si>
    <t>Etiquetas de las hojas</t>
  </si>
  <si>
    <t>Font colour only</t>
  </si>
  <si>
    <t>Couleur de police uniquement</t>
  </si>
  <si>
    <t>Color de fuente solamente</t>
  </si>
  <si>
    <t>Font + shade combinations</t>
  </si>
  <si>
    <t>Police + combinaison de teintes</t>
  </si>
  <si>
    <t>Combinaciones de fuente + sombreado</t>
  </si>
  <si>
    <t>Error checks &amp; alerts</t>
  </si>
  <si>
    <t>Contrôles d’erreurs et alertes</t>
  </si>
  <si>
    <t>Alertas y verificaciones de errores</t>
  </si>
  <si>
    <t>Abbreviations</t>
  </si>
  <si>
    <t>Sigles et abréviations</t>
  </si>
  <si>
    <t>Abreviaturas</t>
  </si>
  <si>
    <t>Name ranges used in the model</t>
  </si>
  <si>
    <t>Plages de noms utilisées dans le modèle</t>
  </si>
  <si>
    <t>Rangos de nombres utilizados en el modelo</t>
  </si>
  <si>
    <t>Model structure</t>
  </si>
  <si>
    <t>Structure du modèle</t>
  </si>
  <si>
    <t>Estructura del modelo</t>
  </si>
  <si>
    <t>FAST modeling standard</t>
  </si>
  <si>
    <t>Norme de modélisation FAST</t>
  </si>
  <si>
    <t>Estándar de modelización FAST</t>
  </si>
  <si>
    <t>Fiscal regime assumptions</t>
  </si>
  <si>
    <t>Hypothèses liées au régime fiscal</t>
  </si>
  <si>
    <t>Supuestos sobre el régimen fiscal</t>
  </si>
  <si>
    <t>Financing and economic assumptions</t>
  </si>
  <si>
    <t>Hypothèses financières et économiques</t>
  </si>
  <si>
    <t>Supuestos económicos y sobre financiamiento</t>
  </si>
  <si>
    <t>Project data</t>
  </si>
  <si>
    <t>Données du projet</t>
  </si>
  <si>
    <t>Datos del proyecto</t>
  </si>
  <si>
    <t>Dashboard results</t>
  </si>
  <si>
    <t>Résultats du tableau de bord</t>
  </si>
  <si>
    <t>Resultados en el panel de información</t>
  </si>
  <si>
    <t>Workings/calculations</t>
  </si>
  <si>
    <t>Fonctionnement/calculs</t>
  </si>
  <si>
    <t>Tareas/cálculos</t>
  </si>
  <si>
    <t>White</t>
  </si>
  <si>
    <t>Blanc</t>
  </si>
  <si>
    <t>Blanco</t>
  </si>
  <si>
    <t>Light yellow</t>
  </si>
  <si>
    <t>Jaune clair</t>
  </si>
  <si>
    <t>Amarillo claro</t>
  </si>
  <si>
    <t>Transparent/light gray</t>
  </si>
  <si>
    <t>Transparent/gris clair</t>
  </si>
  <si>
    <t>Gris claro / transparente</t>
  </si>
  <si>
    <t>Pale blue</t>
  </si>
  <si>
    <t>Bleu pâle</t>
  </si>
  <si>
    <t>Azul claro</t>
  </si>
  <si>
    <t>Dark gray</t>
  </si>
  <si>
    <t>Gris foncé</t>
  </si>
  <si>
    <t>Gris oscuro</t>
  </si>
  <si>
    <t>Turquoise</t>
  </si>
  <si>
    <t>Turquesa</t>
  </si>
  <si>
    <t>Blue font</t>
  </si>
  <si>
    <t>Police bleue</t>
  </si>
  <si>
    <t>Fuente azul</t>
  </si>
  <si>
    <t xml:space="preserve">Red font </t>
  </si>
  <si>
    <t xml:space="preserve">Police rouge </t>
  </si>
  <si>
    <t xml:space="preserve">Fuente roja </t>
  </si>
  <si>
    <t>Black font</t>
  </si>
  <si>
    <t>Police noire</t>
  </si>
  <si>
    <t>Fuente negra</t>
  </si>
  <si>
    <t>Green font</t>
  </si>
  <si>
    <t>Police verte</t>
  </si>
  <si>
    <t>Fuente verde</t>
  </si>
  <si>
    <t>Black font + Light Yellow shade</t>
  </si>
  <si>
    <t>Police noire + teinte jaune clair</t>
  </si>
  <si>
    <t>Fuente negra + Sombreado amarillo claro</t>
  </si>
  <si>
    <t>Transparent</t>
  </si>
  <si>
    <t>Transparente</t>
  </si>
  <si>
    <t>Blue font and blue shade</t>
  </si>
  <si>
    <t>Police bleue et ombre bleue</t>
  </si>
  <si>
    <t>Fuente azul y sombreado azul</t>
  </si>
  <si>
    <t>Black font + light gray shade on entire row</t>
  </si>
  <si>
    <t>Police noire + teinte gris clair sur toute la ligne</t>
  </si>
  <si>
    <t>Fuente negra + sombreado gris claro en toda la fila</t>
  </si>
  <si>
    <t>Empty cell with light gray shade</t>
  </si>
  <si>
    <t>Cellule vide avec teinte gris clair</t>
  </si>
  <si>
    <t>Celda vacía con sombreado gris claro</t>
  </si>
  <si>
    <t>White font + pale blue shade on entire row</t>
  </si>
  <si>
    <t>Police blanche + teinte bleu clair sur toute la ligne</t>
  </si>
  <si>
    <t>Fuente blanca + sombreado azul claro en toda la fila</t>
  </si>
  <si>
    <t>Green shade</t>
  </si>
  <si>
    <t>Teinte verte</t>
  </si>
  <si>
    <t>Sombreado verde</t>
  </si>
  <si>
    <t>Red shade</t>
  </si>
  <si>
    <t>Teinte rouge</t>
  </si>
  <si>
    <t>Sombreado rojo</t>
  </si>
  <si>
    <t>Gold shade</t>
  </si>
  <si>
    <t>Teinte or</t>
  </si>
  <si>
    <t>Sombreado dorado</t>
  </si>
  <si>
    <t>United States Dollars</t>
  </si>
  <si>
    <t>Dollars des États-Unis</t>
  </si>
  <si>
    <t>Dólares de Estados Unidos</t>
  </si>
  <si>
    <t>Purpose of this sheet is to save a set of baseline results so that the model can be confirmed to be / brought back to baseline, or changes in results over time can be documented.
Process for creating a new saved case:</t>
  </si>
  <si>
    <t>Cette feuille a pour but de sauvegarder un ensemble de résultats de référence afin que le modèle puisse être confirmé comme conforme ou ramené à la référence, ou bien pour suivre les résultats obtenus.
Processus de création d’un nouveau cas sauvegardé :</t>
  </si>
  <si>
    <t>El objetivo de esta hoja es guardar un conjunto de resultados de referencia de forma que el modelo pueda confirmarse como referencia o restablecerse como tal, o para poder documentar los cambios en los resultados a lo largo del tiempo.
Proceso de creación de un nuevo caso guardado:</t>
  </si>
  <si>
    <t>1. Select column M</t>
  </si>
  <si>
    <t>1 Sélectionner la colonne M</t>
  </si>
  <si>
    <t>1. Seleccionar columna M</t>
  </si>
  <si>
    <t>2. Copy column M and immediately Right click insert copied cells. This duplicates the existing saved results set</t>
  </si>
  <si>
    <t>2). Copier la colonne M et faire immédiatement un clic droit, puis insérer les cellules copiées. Cela duplique l’ensemble de résultats sauvegardés précédemment.</t>
  </si>
  <si>
    <t>2. Copiar columna M y hacer inmediatamente clic en el botón derecho para insertar las celdas copiadas. Esto duplica el conjunto guardado de resultados existentes</t>
  </si>
  <si>
    <t>3. Now copy the live results from column F between Row 5 and 89 (i.e. each gray row)</t>
  </si>
  <si>
    <t>3). À présent, copier les résultats affichés de la colonne F entre la ligne 5 et la ligne 89 (c’est-à-dire chaque ligne grise)</t>
  </si>
  <si>
    <t>3. A continuación copiar los resultados reales desde la columna F entre las filas 5 y 89 (es decir, todas las columnas grises)</t>
  </si>
  <si>
    <t>4. Paste as values over the newly created duplicate saved results</t>
  </si>
  <si>
    <t>4). Coller comme valeurs sur les résultats nouvellement recopiés</t>
  </si>
  <si>
    <t>4. Copiar como valores sobre los resultados guardados duplicados que se acaban de crear</t>
  </si>
  <si>
    <t>5. Rename the new saved results case in row 4</t>
  </si>
  <si>
    <t>5). Renommer les nouveaux résultats sauvegardés dans la ligne 4</t>
  </si>
  <si>
    <t>5. Asignar un nuevo nombre al nuevo caso de resultados guardado en la fila 4</t>
  </si>
  <si>
    <t>6. Track sheet will show differences between live results and saved case selected at E2</t>
  </si>
  <si>
    <t>6). La feuille de suivi montrera les différences entre les résultats réels et le cas sauvegardé choisi dans E2</t>
  </si>
  <si>
    <t>6. La hoja de control cambios mostrará las diferencias entre los resultados reales y el caso guardado seleccionado en E2</t>
  </si>
  <si>
    <t>7. Additional results and/or parameters can be added to results set. For example, fiscal parameters for baseline mission country regime could be captured to ensure no inadvertent changes</t>
  </si>
  <si>
    <t>7). D’autres résultats ou paramètres peuvent être ajoutés à l’ensemble de résultats. Par exemple, les paramètres fiscaux du régime de référence du pays de la mission pourraient être saisis pour éviter des changements par inadvertance.</t>
  </si>
  <si>
    <t>7. Pueden añadirse otros resultados o parámetros al conjunto de resultados. Por ejemplo, pueden captarse los parámetros fiscales del régimen del país objeto de la misión del escenario base para que no se produzcan modificaciones inadvertidas</t>
  </si>
  <si>
    <t>Mn t CO2 eq</t>
  </si>
  <si>
    <t>éq. CO2 en Mn t</t>
  </si>
  <si>
    <t>MM t CO2(e)</t>
  </si>
  <si>
    <t>US$ / t CO2 eq</t>
  </si>
  <si>
    <t>US$/t éq. CO2</t>
  </si>
  <si>
    <t>USD / t CO2(e)</t>
  </si>
  <si>
    <t>CO2 eq</t>
  </si>
  <si>
    <t>éq. CO2</t>
  </si>
  <si>
    <t>CO2(e)</t>
  </si>
  <si>
    <t>Key</t>
  </si>
  <si>
    <t>Leyenda</t>
  </si>
  <si>
    <t>Enter Fiscal Regime Assumptions</t>
  </si>
  <si>
    <t>Saisir les hypothèses liées au régime fiscal</t>
  </si>
  <si>
    <t>Introducir supuestos sobre el régimen fiscal</t>
  </si>
  <si>
    <t>Enter Project Data</t>
  </si>
  <si>
    <t>Saisir les données du projet</t>
  </si>
  <si>
    <t>Introducir datos del proyecto</t>
  </si>
  <si>
    <t>Select fiscal regime</t>
  </si>
  <si>
    <t>Choisir un régime fiscal</t>
  </si>
  <si>
    <t>Seleccionar régimen fiscal</t>
  </si>
  <si>
    <t>Select project</t>
  </si>
  <si>
    <t>Seleccionar proyecto</t>
  </si>
  <si>
    <t>Change mineral price</t>
  </si>
  <si>
    <t>Modifier le prix du minerai</t>
  </si>
  <si>
    <t>Modificación del precio del mineral</t>
  </si>
  <si>
    <t>Review results</t>
  </si>
  <si>
    <t>Examiner les résultats</t>
  </si>
  <si>
    <t>Resultados del examen</t>
  </si>
  <si>
    <t>Review detailed results</t>
  </si>
  <si>
    <t>Examiner les résultats détaillés</t>
  </si>
  <si>
    <t>Resultados detallados del examen</t>
  </si>
  <si>
    <t>Analytical routines</t>
  </si>
  <si>
    <t>Programmes analytiques</t>
  </si>
  <si>
    <t>Rutinas analíticas</t>
  </si>
  <si>
    <t>Project examples</t>
  </si>
  <si>
    <t>Exemples de projet</t>
  </si>
  <si>
    <t>Ejemplos de proyectos</t>
  </si>
  <si>
    <t xml:space="preserve">To: </t>
  </si>
  <si>
    <t>Pour :</t>
  </si>
  <si>
    <t>Para:</t>
  </si>
  <si>
    <t>Go to sheet:</t>
  </si>
  <si>
    <t>Aller à la feuille :</t>
  </si>
  <si>
    <t>Ir a la hoja:</t>
  </si>
  <si>
    <t>Sheets</t>
  </si>
  <si>
    <t>Feuilles</t>
  </si>
  <si>
    <t>Hojas</t>
  </si>
  <si>
    <t>top row</t>
  </si>
  <si>
    <t>première ligne</t>
  </si>
  <si>
    <t>fila superior</t>
  </si>
  <si>
    <t>bottom row</t>
  </si>
  <si>
    <t>dernière ligne</t>
  </si>
  <si>
    <t>fila inferior</t>
  </si>
  <si>
    <t>Difference between two selected regimes</t>
  </si>
  <si>
    <t>Différence entre deux régimes choisis</t>
  </si>
  <si>
    <t>Diferencia entre dos regímenes seleccionados</t>
  </si>
  <si>
    <t>Range of price multipliers</t>
  </si>
  <si>
    <t>Plage de multiplicateurs du prix</t>
  </si>
  <si>
    <t>Rango de multiplicadores de precios</t>
  </si>
  <si>
    <t>Breakeven price</t>
  </si>
  <si>
    <t>Prix d’équilibre</t>
  </si>
  <si>
    <t>Precio de equilibrio</t>
  </si>
  <si>
    <t>Choose alternative discount rates</t>
  </si>
  <si>
    <t>Choisir d’autres taux d’actualisation</t>
  </si>
  <si>
    <t>Elegir tasas de descuento alternativas</t>
  </si>
  <si>
    <t>Btu</t>
  </si>
  <si>
    <t>British thermal units</t>
  </si>
  <si>
    <t>Unités thermiques britanniques</t>
  </si>
  <si>
    <t xml:space="preserve">Unidades térmicas británicas </t>
  </si>
  <si>
    <t>kilograms of Carbon</t>
  </si>
  <si>
    <t>Kilogrammes de carbone</t>
  </si>
  <si>
    <t>kilogramos de carbono</t>
  </si>
  <si>
    <t>kilograms of CO2</t>
  </si>
  <si>
    <t>Kilogrammes de CO2</t>
  </si>
  <si>
    <t>kilogramos de CO2</t>
  </si>
  <si>
    <t>cumulative</t>
  </si>
  <si>
    <t>Cumulé</t>
  </si>
  <si>
    <t>acumulada</t>
  </si>
  <si>
    <t>Operating unit costs</t>
  </si>
  <si>
    <t>Coûts unitaires d’exploitation</t>
  </si>
  <si>
    <t>Costos unitarios de operación</t>
  </si>
  <si>
    <t>Charts</t>
  </si>
  <si>
    <t>Graphiques</t>
  </si>
  <si>
    <t>Gráficos</t>
  </si>
  <si>
    <t>Greenhouse gas emissions</t>
  </si>
  <si>
    <t>Émissions de gaz à effet de serre</t>
  </si>
  <si>
    <t>Gases de efecto invernadero</t>
  </si>
  <si>
    <t>GHG</t>
  </si>
  <si>
    <t>GES</t>
  </si>
  <si>
    <t>GEI</t>
  </si>
  <si>
    <t>All checks related to the translation of options need to be green before using the model. After changing the language of the model, all drop-down options need to be re-selected for the model to function properly. Please click on each check to verify that the correct options are selected. All checks should be green.</t>
  </si>
  <si>
    <t>Tous les vérifications liées à la traduction des options doivent être vert avant d'utiliser le modèle. Après avoir changé la langue du modèle, toutes les options déroulantes doivent être resélectionnées pour que le modèle fonctionne correctement. Veuillez cliquer sur chaque vérification pour vérifier que les options correctes sont sélectionnées. Toutes les vérifications doivent être vert.</t>
  </si>
  <si>
    <t>Todas las verificaciones relacionadas con la traducción de opciones deben ser de color verde antes de usar el modelo. Después de cambiar el idioma del modelo, es necesario volver a seleccionar todas las opciones desplegables para que el modelo funcione correctamente. Haga clic en cada una de las verificaciones para verificar que se hayan seleccionado las opciones correctas. Todas las verificaciones deben ser de color verde.</t>
  </si>
  <si>
    <t>Change model language</t>
  </si>
  <si>
    <t>Changer la langue du modèle.</t>
  </si>
  <si>
    <t>Cambiar el idioma del modelo.</t>
  </si>
  <si>
    <t>Select language on DASHBOARD</t>
  </si>
  <si>
    <t>Choisir la langue à partir du DASHBOARD.</t>
  </si>
  <si>
    <t>Seleccionar el idioma en el DASHBOARD.</t>
  </si>
  <si>
    <t xml:space="preserve">Please verify that the translation checks in column I and between rows </t>
  </si>
  <si>
    <t>Les vérifications lieés à la traduction des options dans la colonne I et entre les lignes</t>
  </si>
  <si>
    <t xml:space="preserve">Las verificaciones relacionadas con la traducción de opciones </t>
  </si>
  <si>
    <t>and</t>
  </si>
  <si>
    <t>et</t>
  </si>
  <si>
    <t>y</t>
  </si>
  <si>
    <t>are green.</t>
  </si>
  <si>
    <t>doivent être vert.</t>
  </si>
  <si>
    <t>deben ser de color verde.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</si>
</sst>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164" formatCode="_-* #,##0.00_-;\-* #,##0.00_-;_-* &quot;-&quot;??_-;_-@_-"/>
    <numFmt numFmtId="165" formatCode="#,##0_);[Red]\(#,##0\);\-"/>
    <numFmt numFmtId="166" formatCode="#,##0;\-#,##0;\-"/>
    <numFmt numFmtId="167" formatCode="#,###;#,###;\-"/>
    <numFmt numFmtId="168" formatCode="0.0%"/>
    <numFmt numFmtId="169" formatCode="#,##0.0_);[Red]\(#,##0.0\);\-"/>
    <numFmt numFmtId="170" formatCode="[$-F800]dddd\,\ mmmm\ dd\,\ yyyy"/>
    <numFmt numFmtId="171" formatCode="#,##0_);\(#,##0\);&quot;-  &quot;;&quot; &quot;@&quot; &quot;"/>
    <numFmt numFmtId="172" formatCode="0.00%_);\-0.00%_);&quot;-  &quot;;&quot; &quot;@&quot; &quot;"/>
    <numFmt numFmtId="173" formatCode="#,##0.0000_);\(#,##0.0000\);&quot;-  &quot;;&quot; &quot;@&quot; &quot;"/>
    <numFmt numFmtId="174" formatCode="#,##0.0_);\(#,##0.0\);&quot;-  &quot;;&quot; &quot;@&quot; &quot;"/>
    <numFmt numFmtId="175" formatCode="#,##0_);\(#,##0\);&quot;-  &quot;;&quot; &quot;@"/>
    <numFmt numFmtId="176" formatCode="0.0%_);\-0.0%_);&quot;-  &quot;;&quot; &quot;@&quot; &quot;"/>
    <numFmt numFmtId="177" formatCode="#,##0.00_);\(#,##0.00\);&quot;-  &quot;;&quot; &quot;@&quot; &quot;"/>
    <numFmt numFmtId="178" formatCode="0%_);\-0%_);&quot;-  &quot;;&quot; &quot;@&quot; &quot;"/>
    <numFmt numFmtId="179" formatCode="dd\ mmm\ yyyy_);\(###0\);&quot;-  &quot;;&quot; &quot;@&quot; &quot;"/>
    <numFmt numFmtId="180" formatCode="dd\ mmm\ yy_);\(###0\);&quot;-  &quot;;&quot; &quot;@&quot; &quot;"/>
    <numFmt numFmtId="181" formatCode="[$-F400]h:mm:ss\ AM/PM"/>
    <numFmt numFmtId="182" formatCode="###0_);\(###0\);&quot;-  &quot;;&quot; &quot;@&quot; &quot;"/>
    <numFmt numFmtId="183" formatCode="#,##0.000000_);\(#,##0.000000\);&quot;-  &quot;;&quot; &quot;@&quot; &quot;"/>
    <numFmt numFmtId="184" formatCode="0.00_)%_);\(0.00\)%_);&quot;-  &quot;;&quot; &quot;@&quot; &quot;"/>
  </numFmts>
  <fonts count="82">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9.35"/>
      <color theme="10"/>
      <name val="Calibri"/>
      <family val="2"/>
    </font>
    <font>
      <b/>
      <sz val="11"/>
      <color theme="1"/>
      <name val="Calibri"/>
      <family val="2"/>
      <scheme val="minor"/>
    </font>
    <font>
      <sz val="11"/>
      <color rgb="FFFF0000"/>
      <name val="Calibri"/>
      <family val="2"/>
      <scheme val="minor"/>
    </font>
    <font>
      <b/>
      <sz val="11"/>
      <color theme="0"/>
      <name val="Calibri"/>
      <family val="2"/>
      <scheme val="minor"/>
    </font>
    <font>
      <sz val="11"/>
      <color theme="0"/>
      <name val="Calibri"/>
      <family val="2"/>
      <scheme val="minor"/>
    </font>
    <font>
      <b/>
      <sz val="11"/>
      <name val="Calibri"/>
      <family val="2"/>
    </font>
    <font>
      <sz val="11"/>
      <color theme="1"/>
      <name val="Calibri"/>
      <family val="2"/>
    </font>
    <font>
      <b/>
      <u/>
      <sz val="11"/>
      <name val="Calibri"/>
      <family val="2"/>
      <scheme val="minor"/>
    </font>
    <font>
      <sz val="11"/>
      <name val="Calibri"/>
      <family val="2"/>
      <scheme val="minor"/>
    </font>
    <font>
      <b/>
      <u/>
      <sz val="11"/>
      <color theme="1"/>
      <name val="Calibri"/>
      <family val="2"/>
      <scheme val="minor"/>
    </font>
    <font>
      <sz val="11"/>
      <name val="Calibri"/>
      <family val="2"/>
    </font>
    <font>
      <u/>
      <sz val="11"/>
      <color theme="1"/>
      <name val="Calibri"/>
      <family val="2"/>
    </font>
    <font>
      <b/>
      <sz val="11"/>
      <color theme="1"/>
      <name val="Calibri"/>
      <family val="2"/>
    </font>
    <font>
      <sz val="11"/>
      <color theme="0"/>
      <name val="Calibri"/>
      <family val="2"/>
    </font>
    <font>
      <b/>
      <sz val="11"/>
      <color theme="0"/>
      <name val="Calibri"/>
      <family val="2"/>
    </font>
    <font>
      <u/>
      <sz val="11"/>
      <color theme="10"/>
      <name val="Calibri"/>
      <family val="2"/>
    </font>
    <font>
      <b/>
      <u/>
      <sz val="11"/>
      <color theme="0"/>
      <name val="Calibri"/>
      <family val="2"/>
    </font>
    <font>
      <b/>
      <sz val="11"/>
      <name val="Calibri"/>
      <family val="2"/>
      <scheme val="minor"/>
    </font>
    <font>
      <sz val="11"/>
      <color indexed="12"/>
      <name val="Calibri"/>
      <family val="2"/>
      <scheme val="minor"/>
    </font>
    <font>
      <sz val="11"/>
      <color indexed="10"/>
      <name val="Calibri"/>
      <family val="2"/>
      <scheme val="minor"/>
    </font>
    <font>
      <sz val="11"/>
      <color rgb="FF0000FF"/>
      <name val="Calibri"/>
      <family val="2"/>
    </font>
    <font>
      <u/>
      <sz val="11"/>
      <color theme="0"/>
      <name val="Calibri"/>
      <family val="2"/>
    </font>
    <font>
      <sz val="11"/>
      <color theme="0" tint="-0.34998626667073579"/>
      <name val="Calibri"/>
      <family val="2"/>
    </font>
    <font>
      <sz val="11"/>
      <color rgb="FFFF0000"/>
      <name val="Calibri"/>
      <family val="2"/>
    </font>
    <font>
      <sz val="11"/>
      <color theme="0" tint="-0.34998626667073579"/>
      <name val="Calibri"/>
      <family val="2"/>
      <scheme val="minor"/>
    </font>
    <font>
      <u/>
      <sz val="11"/>
      <name val="Calibri"/>
      <family val="2"/>
    </font>
    <font>
      <sz val="11"/>
      <color theme="4"/>
      <name val="Calibri"/>
      <family val="2"/>
    </font>
    <font>
      <b/>
      <sz val="11"/>
      <color rgb="FFFF0000"/>
      <name val="Calibri"/>
      <family val="2"/>
    </font>
    <font>
      <sz val="11"/>
      <color theme="0" tint="-0.499984740745262"/>
      <name val="Calibri"/>
      <family val="2"/>
    </font>
    <font>
      <u/>
      <sz val="11"/>
      <color theme="1"/>
      <name val="Calibri"/>
      <family val="2"/>
      <scheme val="minor"/>
    </font>
    <font>
      <u/>
      <sz val="11"/>
      <color rgb="FFFF0000"/>
      <name val="Calibri"/>
      <family val="2"/>
    </font>
    <font>
      <u/>
      <sz val="11"/>
      <name val="Calibri"/>
      <family val="2"/>
      <scheme val="minor"/>
    </font>
    <font>
      <b/>
      <sz val="11"/>
      <color rgb="FF0000FF"/>
      <name val="Calibri"/>
      <family val="2"/>
    </font>
    <font>
      <sz val="11"/>
      <color rgb="FF0000FF"/>
      <name val="Calibri"/>
      <family val="2"/>
      <scheme val="minor"/>
    </font>
    <font>
      <sz val="10"/>
      <color theme="1"/>
      <name val="Arial"/>
      <family val="2"/>
    </font>
    <font>
      <sz val="10"/>
      <name val="Arial"/>
      <family val="2"/>
    </font>
    <font>
      <sz val="11"/>
      <color theme="1"/>
      <name val="Arial"/>
      <family val="2"/>
    </font>
    <font>
      <sz val="11"/>
      <color rgb="FF000000"/>
      <name val="Calibri"/>
      <family val="2"/>
    </font>
    <font>
      <sz val="8"/>
      <color theme="1"/>
      <name val="Calibri"/>
      <family val="2"/>
    </font>
    <font>
      <sz val="9"/>
      <color theme="1"/>
      <name val="Calibri"/>
      <family val="2"/>
    </font>
    <font>
      <b/>
      <sz val="10"/>
      <color theme="0"/>
      <name val="Calibri"/>
      <family val="2"/>
      <scheme val="minor"/>
    </font>
    <font>
      <b/>
      <sz val="10"/>
      <name val="Calibri"/>
      <family val="2"/>
      <scheme val="minor"/>
    </font>
    <font>
      <u/>
      <sz val="10"/>
      <name val="Calibri"/>
      <family val="2"/>
      <scheme val="minor"/>
    </font>
    <font>
      <sz val="10"/>
      <name val="Calibri"/>
      <family val="2"/>
      <scheme val="minor"/>
    </font>
    <font>
      <sz val="10"/>
      <color theme="1"/>
      <name val="Calibri"/>
      <family val="2"/>
      <scheme val="minor"/>
    </font>
    <font>
      <sz val="10"/>
      <color rgb="FF0000FF"/>
      <name val="Calibri"/>
      <family val="2"/>
      <scheme val="minor"/>
    </font>
    <font>
      <sz val="11"/>
      <color rgb="FF00B050"/>
      <name val="Calibri"/>
      <family val="2"/>
      <scheme val="minor"/>
    </font>
    <font>
      <b/>
      <sz val="11"/>
      <color rgb="FF000000"/>
      <name val="Calibri"/>
      <family val="2"/>
    </font>
    <font>
      <u/>
      <sz val="11"/>
      <color rgb="FF000000"/>
      <name val="Calibri"/>
      <family val="2"/>
    </font>
    <font>
      <sz val="11"/>
      <color rgb="FF000000"/>
      <name val="Calibri"/>
      <family val="2"/>
      <scheme val="minor"/>
    </font>
    <font>
      <sz val="11"/>
      <color theme="4"/>
      <name val="Calibri"/>
      <family val="2"/>
      <scheme val="minor"/>
    </font>
    <font>
      <b/>
      <sz val="11"/>
      <color rgb="FFFF0000"/>
      <name val="Calibri"/>
      <family val="2"/>
      <scheme val="minor"/>
    </font>
    <font>
      <u/>
      <sz val="11"/>
      <color theme="0"/>
      <name val="Calibri"/>
      <family val="2"/>
      <scheme val="minor"/>
    </font>
    <font>
      <sz val="11"/>
      <color rgb="FF000099"/>
      <name val="Calibri"/>
      <family val="2"/>
      <scheme val="minor"/>
    </font>
    <font>
      <b/>
      <i/>
      <sz val="11"/>
      <color theme="1"/>
      <name val="Calibri"/>
      <family val="2"/>
      <scheme val="minor"/>
    </font>
    <font>
      <b/>
      <u/>
      <sz val="11"/>
      <color theme="0"/>
      <name val="Calibri"/>
      <family val="2"/>
      <scheme val="minor"/>
    </font>
    <font>
      <u/>
      <sz val="11"/>
      <color rgb="FF0000FF"/>
      <name val="Calibri"/>
      <family val="2"/>
      <scheme val="minor"/>
    </font>
    <font>
      <u/>
      <sz val="11"/>
      <color rgb="FFFF0000"/>
      <name val="Calibri"/>
      <family val="2"/>
      <scheme val="minor"/>
    </font>
    <font>
      <b/>
      <sz val="11"/>
      <color rgb="FF000000"/>
      <name val="Calibri"/>
      <family val="2"/>
      <scheme val="minor"/>
    </font>
    <font>
      <u/>
      <sz val="11"/>
      <color rgb="FF000000"/>
      <name val="Calibri"/>
      <family val="2"/>
      <scheme val="minor"/>
    </font>
    <font>
      <b/>
      <u/>
      <sz val="10"/>
      <color theme="0"/>
      <name val="Calibri"/>
      <family val="2"/>
      <scheme val="minor"/>
    </font>
    <font>
      <sz val="10"/>
      <color rgb="FF000000"/>
      <name val="Arial"/>
      <family val="2"/>
    </font>
    <font>
      <b/>
      <sz val="11"/>
      <color rgb="FF0000FF"/>
      <name val="Calibri"/>
      <family val="2"/>
      <scheme val="minor"/>
    </font>
    <font>
      <sz val="10"/>
      <color rgb="FF000000"/>
      <name val="Calibri"/>
      <family val="2"/>
      <scheme val="minor"/>
    </font>
    <font>
      <sz val="9"/>
      <name val="Calibri"/>
      <family val="2"/>
    </font>
    <font>
      <sz val="11"/>
      <color rgb="FF00B050"/>
      <name val="Calibri"/>
      <family val="2"/>
    </font>
    <font>
      <u/>
      <sz val="11"/>
      <color rgb="FF0000FF"/>
      <name val="Calibri"/>
      <family val="2"/>
    </font>
    <font>
      <b/>
      <sz val="10"/>
      <color theme="1"/>
      <name val="Calibri"/>
      <family val="2"/>
      <scheme val="minor"/>
    </font>
    <font>
      <u/>
      <sz val="10"/>
      <color theme="1"/>
      <name val="Calibri"/>
      <family val="2"/>
      <scheme val="minor"/>
    </font>
    <font>
      <b/>
      <sz val="10"/>
      <color theme="1"/>
      <name val="Arial"/>
      <family val="2"/>
    </font>
    <font>
      <b/>
      <u/>
      <sz val="11"/>
      <name val="Calibri"/>
      <family val="2"/>
    </font>
    <font>
      <b/>
      <sz val="11"/>
      <color theme="1"/>
      <name val="Arial"/>
      <family val="2"/>
    </font>
    <font>
      <sz val="10"/>
      <color theme="0"/>
      <name val="Arial"/>
      <family val="2"/>
    </font>
    <font>
      <u/>
      <sz val="11"/>
      <color theme="10"/>
      <name val="Calibri"/>
      <family val="2"/>
      <scheme val="minor"/>
    </font>
  </fonts>
  <fills count="27">
    <fill>
      <patternFill patternType="none"/>
    </fill>
    <fill>
      <patternFill patternType="gray125"/>
    </fill>
    <fill>
      <patternFill patternType="solid">
        <fgColor theme="3"/>
        <bgColor indexed="64"/>
      </patternFill>
    </fill>
    <fill>
      <patternFill patternType="solid">
        <fgColor indexed="22"/>
        <bgColor indexed="64"/>
      </patternFill>
    </fill>
    <fill>
      <patternFill patternType="solid">
        <fgColor indexed="10"/>
        <bgColor indexed="64"/>
      </patternFill>
    </fill>
    <fill>
      <patternFill patternType="solid">
        <fgColor rgb="FFFFFF99"/>
        <bgColor indexed="64"/>
      </patternFill>
    </fill>
    <fill>
      <patternFill patternType="solid">
        <fgColor rgb="FF1F497D"/>
        <bgColor indexed="64"/>
      </patternFill>
    </fill>
    <fill>
      <patternFill patternType="solid">
        <fgColor rgb="FFC0C0C0"/>
        <bgColor indexed="64"/>
      </patternFill>
    </fill>
    <fill>
      <patternFill patternType="solid">
        <fgColor indexed="1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FFCC00"/>
        <bgColor indexed="64"/>
      </patternFill>
    </fill>
    <fill>
      <patternFill patternType="solid">
        <fgColor rgb="FFCCFFFF"/>
        <bgColor indexed="64"/>
      </patternFill>
    </fill>
    <fill>
      <patternFill patternType="solid">
        <fgColor rgb="FFA6A6A6"/>
        <bgColor indexed="64"/>
      </patternFill>
    </fill>
    <fill>
      <patternFill patternType="solid">
        <fgColor rgb="FF002060"/>
        <bgColor indexed="64"/>
      </patternFill>
    </fill>
    <fill>
      <patternFill patternType="solid">
        <fgColor rgb="FFD9D9D9"/>
        <bgColor indexed="64"/>
      </patternFill>
    </fill>
    <fill>
      <patternFill patternType="solid">
        <fgColor theme="9" tint="0.59996337778862885"/>
        <bgColor indexed="64"/>
      </patternFill>
    </fill>
    <fill>
      <patternFill patternType="solid">
        <fgColor theme="8" tint="0.79998168889431442"/>
        <bgColor indexed="64"/>
      </patternFill>
    </fill>
    <fill>
      <patternFill patternType="solid">
        <fgColor rgb="FF00B0F0"/>
        <bgColor indexed="64"/>
      </patternFill>
    </fill>
    <fill>
      <patternFill patternType="solid">
        <fgColor theme="8" tint="0.59996337778862885"/>
        <bgColor indexed="64"/>
      </patternFill>
    </fill>
    <fill>
      <patternFill patternType="solid">
        <fgColor theme="0" tint="-0.24994659260841701"/>
        <bgColor indexed="64"/>
      </patternFill>
    </fill>
    <fill>
      <patternFill patternType="solid">
        <fgColor rgb="FFFFC000"/>
        <bgColor indexed="64"/>
      </patternFill>
    </fill>
    <fill>
      <patternFill patternType="solid">
        <fgColor rgb="FFFFFFAF"/>
        <bgColor indexed="64"/>
      </patternFill>
    </fill>
    <fill>
      <patternFill patternType="solid">
        <fgColor rgb="FF2C4D75"/>
        <bgColor indexed="64"/>
      </patternFill>
    </fill>
    <fill>
      <patternFill patternType="solid">
        <fgColor rgb="FFDDDDDD"/>
        <bgColor indexed="64"/>
      </patternFill>
    </fill>
    <fill>
      <patternFill patternType="solid">
        <fgColor theme="0"/>
        <bgColor indexed="64"/>
      </patternFill>
    </fill>
    <fill>
      <patternFill patternType="solid">
        <fgColor theme="8" tint="0.59999389629810485"/>
        <bgColor indexed="64"/>
      </patternFill>
    </fill>
  </fills>
  <borders count="18">
    <border>
      <left/>
      <right/>
      <top/>
      <bottom/>
      <diagonal/>
    </border>
    <border>
      <left style="thin">
        <color indexed="64"/>
      </left>
      <right/>
      <top style="thin">
        <color indexed="64"/>
      </top>
      <bottom style="thin">
        <color indexed="64"/>
      </bottom>
      <diagonal/>
    </border>
    <border>
      <left/>
      <right/>
      <top style="medium">
        <color auto="1"/>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theme="0" tint="-0.34998626667073579"/>
      </top>
      <bottom/>
      <diagonal/>
    </border>
    <border>
      <left/>
      <right/>
      <top/>
      <bottom style="thin">
        <color theme="0" tint="-0.34998626667073579"/>
      </bottom>
      <diagonal/>
    </border>
    <border>
      <left/>
      <right/>
      <top style="thin">
        <color rgb="FF808080"/>
      </top>
      <bottom/>
      <diagonal/>
    </border>
    <border>
      <left/>
      <right/>
      <top/>
      <bottom style="thin">
        <color rgb="FF808080"/>
      </bottom>
      <diagonal/>
    </border>
    <border>
      <left/>
      <right/>
      <top/>
      <bottom style="medium">
        <color auto="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rgb="FF808080"/>
      </top>
      <bottom style="thin">
        <color rgb="FF808080"/>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31">
    <xf numFmtId="171" fontId="0" fillId="0" borderId="0" applyFont="0" applyFill="0" applyBorder="0" applyProtection="0">
      <alignment vertical="top"/>
    </xf>
    <xf numFmtId="172" fontId="7" fillId="0" borderId="0" applyFont="0" applyFill="0" applyBorder="0" applyProtection="0">
      <alignment vertical="top"/>
    </xf>
    <xf numFmtId="0" fontId="8" fillId="0" borderId="0" applyNumberFormat="0" applyFill="0" applyBorder="0" applyAlignment="0" applyProtection="0">
      <alignment vertical="top"/>
      <protection locked="0"/>
    </xf>
    <xf numFmtId="171" fontId="5" fillId="0" borderId="0" applyFont="0" applyFill="0" applyBorder="0" applyProtection="0">
      <alignment vertical="top"/>
    </xf>
    <xf numFmtId="179" fontId="5" fillId="0" borderId="0" applyFont="0" applyFill="0" applyBorder="0" applyProtection="0">
      <alignment vertical="top"/>
    </xf>
    <xf numFmtId="180" fontId="43" fillId="0" borderId="0" applyFont="0" applyFill="0" applyBorder="0" applyProtection="0">
      <alignment vertical="top"/>
    </xf>
    <xf numFmtId="164" fontId="5" fillId="0" borderId="0" applyFont="0" applyFill="0" applyBorder="0" applyAlignment="0" applyProtection="0"/>
    <xf numFmtId="172" fontId="5" fillId="0" borderId="0" applyFont="0" applyFill="0" applyBorder="0" applyProtection="0">
      <alignment vertical="top"/>
    </xf>
    <xf numFmtId="173" fontId="42" fillId="0" borderId="0" applyFont="0" applyFill="0" applyBorder="0" applyProtection="0">
      <alignment vertical="top"/>
    </xf>
    <xf numFmtId="182" fontId="42" fillId="0" borderId="0" applyFont="0" applyFill="0" applyBorder="0" applyProtection="0">
      <alignment vertical="top"/>
    </xf>
    <xf numFmtId="184" fontId="3" fillId="0" borderId="0" applyFont="0" applyFill="0" applyBorder="0" applyProtection="0">
      <alignment vertical="top"/>
    </xf>
    <xf numFmtId="171" fontId="3" fillId="0" borderId="0" applyFont="0" applyFill="0" applyBorder="0" applyProtection="0">
      <alignment vertical="top"/>
    </xf>
    <xf numFmtId="179" fontId="3" fillId="0" borderId="0" applyFont="0" applyFill="0" applyBorder="0" applyProtection="0">
      <alignment vertical="top"/>
    </xf>
    <xf numFmtId="164" fontId="3" fillId="0" borderId="0" applyFont="0" applyFill="0" applyBorder="0" applyAlignment="0" applyProtection="0"/>
    <xf numFmtId="172" fontId="3" fillId="0" borderId="0" applyFont="0" applyFill="0" applyBorder="0" applyProtection="0">
      <alignment vertical="top"/>
    </xf>
    <xf numFmtId="182" fontId="16" fillId="0" borderId="0" applyFont="0" applyFill="0" applyBorder="0" applyProtection="0">
      <alignment vertical="top"/>
    </xf>
    <xf numFmtId="172" fontId="2" fillId="0" borderId="0" applyFont="0" applyFill="0" applyBorder="0" applyProtection="0">
      <alignment vertical="top"/>
    </xf>
    <xf numFmtId="0" fontId="2" fillId="0" borderId="0"/>
    <xf numFmtId="179" fontId="42" fillId="0" borderId="0" applyFont="0" applyFill="0" applyBorder="0" applyProtection="0">
      <alignment vertical="top"/>
    </xf>
    <xf numFmtId="180" fontId="42" fillId="0" borderId="0" applyFont="0" applyFill="0" applyBorder="0" applyProtection="0">
      <alignment vertical="top"/>
    </xf>
    <xf numFmtId="172" fontId="2" fillId="0" borderId="0" applyFont="0" applyFill="0" applyBorder="0" applyProtection="0">
      <alignment vertical="top"/>
    </xf>
    <xf numFmtId="171" fontId="2" fillId="0" borderId="0" applyFont="0" applyFill="0" applyBorder="0" applyProtection="0">
      <alignment vertical="top"/>
    </xf>
    <xf numFmtId="179" fontId="2" fillId="0" borderId="0" applyFont="0" applyFill="0" applyBorder="0" applyProtection="0">
      <alignment vertical="top"/>
    </xf>
    <xf numFmtId="180" fontId="43" fillId="0" borderId="0" applyFont="0" applyFill="0" applyBorder="0" applyProtection="0">
      <alignment vertical="top"/>
    </xf>
    <xf numFmtId="164" fontId="2" fillId="0" borderId="0" applyFont="0" applyFill="0" applyBorder="0" applyAlignment="0" applyProtection="0"/>
    <xf numFmtId="172" fontId="2" fillId="0" borderId="0" applyFont="0" applyFill="0" applyBorder="0" applyProtection="0">
      <alignment vertical="top"/>
    </xf>
    <xf numFmtId="184" fontId="2" fillId="0" borderId="0" applyFont="0" applyFill="0" applyBorder="0" applyProtection="0">
      <alignment vertical="top"/>
    </xf>
    <xf numFmtId="171" fontId="2" fillId="0" borderId="0" applyFont="0" applyFill="0" applyBorder="0" applyProtection="0">
      <alignment vertical="top"/>
    </xf>
    <xf numFmtId="179" fontId="2" fillId="0" borderId="0" applyFont="0" applyFill="0" applyBorder="0" applyProtection="0">
      <alignment vertical="top"/>
    </xf>
    <xf numFmtId="164" fontId="2" fillId="0" borderId="0" applyFont="0" applyFill="0" applyBorder="0" applyAlignment="0" applyProtection="0"/>
    <xf numFmtId="172" fontId="2" fillId="0" borderId="0" applyFont="0" applyFill="0" applyBorder="0" applyProtection="0">
      <alignment vertical="top"/>
    </xf>
  </cellStyleXfs>
  <cellXfs count="1137">
    <xf numFmtId="171" fontId="0" fillId="0" borderId="0" xfId="0">
      <alignment vertical="top"/>
    </xf>
    <xf numFmtId="171" fontId="9" fillId="0" borderId="0" xfId="0" applyFont="1">
      <alignment vertical="top"/>
    </xf>
    <xf numFmtId="171" fontId="10" fillId="0" borderId="0" xfId="0" applyFont="1">
      <alignment vertical="top"/>
    </xf>
    <xf numFmtId="171" fontId="11" fillId="6" borderId="0" xfId="0" applyFont="1" applyFill="1" applyBorder="1">
      <alignment vertical="top"/>
    </xf>
    <xf numFmtId="171" fontId="14" fillId="0" borderId="0" xfId="0" applyFont="1">
      <alignment vertical="top"/>
    </xf>
    <xf numFmtId="166" fontId="16" fillId="0" borderId="0" xfId="0" applyNumberFormat="1" applyFont="1" applyBorder="1" applyAlignment="1">
      <alignment vertical="center"/>
    </xf>
    <xf numFmtId="166" fontId="17" fillId="0" borderId="0" xfId="0" applyNumberFormat="1" applyFont="1" applyBorder="1" applyAlignment="1">
      <alignment vertical="center"/>
    </xf>
    <xf numFmtId="171" fontId="14" fillId="0" borderId="0" xfId="0" applyFont="1" applyBorder="1">
      <alignment vertical="top"/>
    </xf>
    <xf numFmtId="166" fontId="14" fillId="0" borderId="2" xfId="0" applyNumberFormat="1" applyFont="1" applyBorder="1" applyAlignment="1">
      <alignment vertical="center"/>
    </xf>
    <xf numFmtId="166" fontId="18" fillId="0" borderId="2" xfId="0" applyNumberFormat="1" applyFont="1" applyFill="1" applyBorder="1" applyAlignment="1">
      <alignment horizontal="left" vertical="center"/>
    </xf>
    <xf numFmtId="170" fontId="18" fillId="0" borderId="0" xfId="0" applyNumberFormat="1" applyFont="1" applyFill="1" applyBorder="1" applyAlignment="1">
      <alignment horizontal="left" vertical="center"/>
    </xf>
    <xf numFmtId="166" fontId="18" fillId="0" borderId="0" xfId="0" applyNumberFormat="1" applyFont="1" applyFill="1" applyBorder="1" applyAlignment="1">
      <alignment vertical="center"/>
    </xf>
    <xf numFmtId="166" fontId="18" fillId="0" borderId="0" xfId="0" applyNumberFormat="1" applyFont="1" applyFill="1" applyBorder="1" applyAlignment="1">
      <alignment horizontal="left" vertical="center"/>
    </xf>
    <xf numFmtId="166" fontId="18" fillId="0" borderId="5" xfId="0" applyNumberFormat="1" applyFont="1" applyBorder="1" applyAlignment="1">
      <alignment horizontal="left" vertical="center"/>
    </xf>
    <xf numFmtId="166" fontId="22" fillId="2" borderId="0" xfId="0" applyNumberFormat="1" applyFont="1" applyFill="1" applyBorder="1" applyAlignment="1">
      <alignment vertical="center"/>
    </xf>
    <xf numFmtId="171" fontId="16" fillId="8" borderId="13" xfId="0" applyFont="1" applyFill="1" applyBorder="1" applyAlignment="1">
      <alignment horizontal="center" vertical="center"/>
    </xf>
    <xf numFmtId="171" fontId="11" fillId="6" borderId="0" xfId="0" applyFont="1" applyFill="1" applyBorder="1" applyAlignment="1">
      <alignment horizontal="left" vertical="center"/>
    </xf>
    <xf numFmtId="171" fontId="11" fillId="6" borderId="0" xfId="0" applyFont="1" applyFill="1" applyBorder="1" applyAlignment="1">
      <alignment horizontal="centerContinuous" vertical="top"/>
    </xf>
    <xf numFmtId="171" fontId="25" fillId="0" borderId="0" xfId="0" applyFont="1" applyFill="1" applyBorder="1">
      <alignment vertical="top"/>
    </xf>
    <xf numFmtId="171" fontId="25" fillId="0" borderId="0" xfId="0" applyFont="1">
      <alignment vertical="top"/>
    </xf>
    <xf numFmtId="171" fontId="6" fillId="0" borderId="0" xfId="0" applyFont="1">
      <alignment vertical="top"/>
    </xf>
    <xf numFmtId="171" fontId="25" fillId="0" borderId="0" xfId="0" applyFont="1" applyBorder="1" applyAlignment="1"/>
    <xf numFmtId="171" fontId="16" fillId="0" borderId="0" xfId="0" applyFont="1" applyFill="1" applyBorder="1">
      <alignment vertical="top"/>
    </xf>
    <xf numFmtId="171" fontId="16" fillId="13" borderId="0" xfId="0" applyFont="1" applyFill="1" applyBorder="1" applyAlignment="1">
      <alignment horizontal="left" vertical="top"/>
    </xf>
    <xf numFmtId="171" fontId="16" fillId="12" borderId="0" xfId="0" applyFont="1" applyFill="1" applyBorder="1" applyAlignment="1">
      <alignment horizontal="left" vertical="top"/>
    </xf>
    <xf numFmtId="171" fontId="26" fillId="0" borderId="0" xfId="0" applyFont="1" applyBorder="1">
      <alignment vertical="top"/>
    </xf>
    <xf numFmtId="171" fontId="27" fillId="0" borderId="0" xfId="0" applyFont="1" applyBorder="1">
      <alignment vertical="top"/>
    </xf>
    <xf numFmtId="171" fontId="16" fillId="0" borderId="0" xfId="0" applyFont="1" applyBorder="1">
      <alignment vertical="top"/>
    </xf>
    <xf numFmtId="171" fontId="28" fillId="10" borderId="0" xfId="0" applyFont="1" applyFill="1">
      <alignment vertical="top"/>
    </xf>
    <xf numFmtId="171" fontId="16" fillId="8" borderId="0" xfId="0" applyFont="1" applyFill="1" applyBorder="1">
      <alignment vertical="top"/>
    </xf>
    <xf numFmtId="171" fontId="16" fillId="4" borderId="0" xfId="0" applyFont="1" applyFill="1" applyBorder="1">
      <alignment vertical="top"/>
    </xf>
    <xf numFmtId="171" fontId="16" fillId="11" borderId="0" xfId="0" applyFont="1" applyFill="1" applyBorder="1">
      <alignment vertical="top"/>
    </xf>
    <xf numFmtId="171" fontId="25" fillId="0" borderId="0" xfId="0" applyFont="1" applyFill="1">
      <alignment vertical="top"/>
    </xf>
    <xf numFmtId="171" fontId="21" fillId="14" borderId="0" xfId="0" applyFont="1" applyFill="1">
      <alignment vertical="top"/>
    </xf>
    <xf numFmtId="171" fontId="28" fillId="0" borderId="0" xfId="0" applyFont="1">
      <alignment vertical="top"/>
    </xf>
    <xf numFmtId="171" fontId="14" fillId="6" borderId="0" xfId="0" applyFont="1" applyFill="1">
      <alignment vertical="top"/>
    </xf>
    <xf numFmtId="171" fontId="21" fillId="6" borderId="0" xfId="0" applyFont="1" applyFill="1">
      <alignment vertical="top"/>
    </xf>
    <xf numFmtId="171" fontId="21" fillId="6" borderId="0" xfId="0" applyFont="1" applyFill="1" applyAlignment="1">
      <alignment horizontal="right" vertical="top"/>
    </xf>
    <xf numFmtId="171" fontId="14" fillId="0" borderId="0" xfId="0" applyFont="1" applyAlignment="1">
      <alignment horizontal="right" vertical="top"/>
    </xf>
    <xf numFmtId="171" fontId="18" fillId="0" borderId="0" xfId="0" applyFont="1" applyFill="1">
      <alignment vertical="top"/>
    </xf>
    <xf numFmtId="178" fontId="14" fillId="0" borderId="0" xfId="1" applyNumberFormat="1" applyFont="1">
      <alignment vertical="top"/>
    </xf>
    <xf numFmtId="171" fontId="14" fillId="0" borderId="0" xfId="0" applyFont="1" applyFill="1">
      <alignment vertical="top"/>
    </xf>
    <xf numFmtId="171" fontId="19" fillId="0" borderId="0" xfId="0" applyFont="1">
      <alignment vertical="top"/>
    </xf>
    <xf numFmtId="171" fontId="14" fillId="0" borderId="0" xfId="0" applyFont="1" applyFill="1" applyBorder="1" applyAlignment="1">
      <alignment horizontal="left" vertical="center"/>
    </xf>
    <xf numFmtId="171" fontId="14" fillId="0" borderId="0" xfId="0" applyFont="1" applyBorder="1" applyAlignment="1">
      <alignment vertical="center"/>
    </xf>
    <xf numFmtId="171" fontId="14" fillId="0" borderId="0" xfId="0" applyFont="1" applyFill="1" applyBorder="1">
      <alignment vertical="top"/>
    </xf>
    <xf numFmtId="171" fontId="14" fillId="0" borderId="0" xfId="0" applyFont="1" applyFill="1" applyBorder="1" applyAlignment="1">
      <alignment vertical="center"/>
    </xf>
    <xf numFmtId="178" fontId="14" fillId="0" borderId="0" xfId="1" applyNumberFormat="1" applyFont="1" applyFill="1">
      <alignment vertical="top"/>
    </xf>
    <xf numFmtId="171" fontId="30" fillId="0" borderId="0" xfId="0" applyFont="1">
      <alignment vertical="top"/>
    </xf>
    <xf numFmtId="171" fontId="30" fillId="0" borderId="0" xfId="0" applyFont="1" applyFill="1">
      <alignment vertical="top"/>
    </xf>
    <xf numFmtId="172" fontId="14" fillId="0" borderId="0" xfId="1" applyFont="1">
      <alignment vertical="top"/>
    </xf>
    <xf numFmtId="178" fontId="14" fillId="9" borderId="0" xfId="1" applyNumberFormat="1" applyFont="1" applyFill="1">
      <alignment vertical="top"/>
    </xf>
    <xf numFmtId="171" fontId="14" fillId="0" borderId="0" xfId="0" applyFont="1" applyFill="1" applyAlignment="1">
      <alignment horizontal="left" vertical="top"/>
    </xf>
    <xf numFmtId="171" fontId="18" fillId="5" borderId="0" xfId="0" applyFont="1" applyFill="1">
      <alignment vertical="top"/>
    </xf>
    <xf numFmtId="171" fontId="14" fillId="5" borderId="0" xfId="0" applyFont="1" applyFill="1">
      <alignment vertical="top"/>
    </xf>
    <xf numFmtId="178" fontId="14" fillId="0" borderId="0" xfId="1" applyNumberFormat="1" applyFont="1" applyFill="1" applyBorder="1">
      <alignment vertical="top"/>
    </xf>
    <xf numFmtId="0" fontId="22" fillId="2" borderId="0" xfId="0" applyNumberFormat="1" applyFont="1" applyFill="1" applyBorder="1" applyAlignment="1">
      <alignment vertical="center"/>
    </xf>
    <xf numFmtId="171" fontId="16" fillId="7" borderId="0" xfId="0" applyFont="1" applyFill="1">
      <alignment vertical="top"/>
    </xf>
    <xf numFmtId="171" fontId="25" fillId="7" borderId="0" xfId="0" applyFont="1" applyFill="1">
      <alignment vertical="top"/>
    </xf>
    <xf numFmtId="175" fontId="16" fillId="7" borderId="0" xfId="0" applyNumberFormat="1" applyFont="1" applyFill="1" applyAlignment="1">
      <alignment horizontal="right" vertical="top"/>
    </xf>
    <xf numFmtId="171" fontId="18" fillId="0" borderId="0" xfId="0" applyFont="1" applyFill="1" applyBorder="1" applyAlignment="1">
      <alignment vertical="center"/>
    </xf>
    <xf numFmtId="171" fontId="18" fillId="8" borderId="0" xfId="0" applyFont="1" applyFill="1">
      <alignment vertical="top"/>
    </xf>
    <xf numFmtId="171" fontId="16" fillId="8" borderId="0" xfId="0" applyFont="1" applyFill="1" applyAlignment="1">
      <alignment horizontal="right" vertical="top"/>
    </xf>
    <xf numFmtId="171" fontId="18" fillId="0" borderId="0" xfId="0" applyFont="1" applyFill="1" applyBorder="1" applyAlignment="1">
      <alignment horizontal="left" vertical="center"/>
    </xf>
    <xf numFmtId="172" fontId="28" fillId="0" borderId="0" xfId="1" applyFont="1">
      <alignment vertical="top"/>
    </xf>
    <xf numFmtId="176" fontId="14" fillId="0" borderId="0" xfId="1" applyNumberFormat="1" applyFont="1">
      <alignment vertical="top"/>
    </xf>
    <xf numFmtId="171" fontId="31" fillId="0" borderId="0" xfId="0" applyFont="1">
      <alignment vertical="top"/>
    </xf>
    <xf numFmtId="172" fontId="14" fillId="5" borderId="0" xfId="1" applyFont="1" applyFill="1" applyBorder="1">
      <alignment vertical="top"/>
    </xf>
    <xf numFmtId="171" fontId="14" fillId="9" borderId="0" xfId="0" applyFont="1" applyFill="1" applyAlignment="1">
      <alignment horizontal="right" vertical="top"/>
    </xf>
    <xf numFmtId="171" fontId="14" fillId="9" borderId="0" xfId="0" applyFont="1" applyFill="1">
      <alignment vertical="top"/>
    </xf>
    <xf numFmtId="174" fontId="32" fillId="0" borderId="0" xfId="0" applyNumberFormat="1" applyFont="1" applyFill="1">
      <alignment vertical="top"/>
    </xf>
    <xf numFmtId="171" fontId="33" fillId="0" borderId="0" xfId="0" applyFont="1" applyFill="1" applyAlignment="1">
      <alignment vertical="center"/>
    </xf>
    <xf numFmtId="171" fontId="18" fillId="0" borderId="0" xfId="0" applyFont="1" applyFill="1" applyAlignment="1">
      <alignment vertical="center"/>
    </xf>
    <xf numFmtId="171" fontId="34" fillId="0" borderId="0" xfId="0" applyFont="1" applyFill="1" applyAlignment="1">
      <alignment vertical="center"/>
    </xf>
    <xf numFmtId="171" fontId="20" fillId="0" borderId="0" xfId="0" applyFont="1" applyFill="1" applyAlignment="1">
      <alignment vertical="center"/>
    </xf>
    <xf numFmtId="171" fontId="19" fillId="0" borderId="0" xfId="0" applyFont="1" applyFill="1" applyAlignment="1">
      <alignment vertical="center"/>
    </xf>
    <xf numFmtId="171" fontId="14" fillId="0" borderId="0" xfId="0" applyFont="1" applyFill="1" applyAlignment="1">
      <alignment vertical="center"/>
    </xf>
    <xf numFmtId="171" fontId="14" fillId="0" borderId="0" xfId="0" applyFont="1" applyFill="1" applyAlignment="1">
      <alignment horizontal="left" vertical="center"/>
    </xf>
    <xf numFmtId="171" fontId="14" fillId="0" borderId="0" xfId="0" applyFont="1" applyFill="1" applyAlignment="1">
      <alignment horizontal="center" vertical="center"/>
    </xf>
    <xf numFmtId="171" fontId="18" fillId="8" borderId="0" xfId="0" applyFont="1" applyFill="1" applyBorder="1" applyAlignment="1">
      <alignment horizontal="center" vertical="top"/>
    </xf>
    <xf numFmtId="3" fontId="34" fillId="0" borderId="0" xfId="0" applyNumberFormat="1" applyFont="1" applyFill="1" applyBorder="1" applyAlignment="1">
      <alignment horizontal="right" vertical="center"/>
    </xf>
    <xf numFmtId="0" fontId="35" fillId="0" borderId="0" xfId="0" applyNumberFormat="1" applyFont="1" applyFill="1" applyBorder="1" applyAlignment="1">
      <alignment vertical="center"/>
    </xf>
    <xf numFmtId="3" fontId="14" fillId="0" borderId="0" xfId="0" applyNumberFormat="1" applyFont="1" applyFill="1" applyBorder="1" applyAlignment="1">
      <alignment horizontal="right" vertical="center"/>
    </xf>
    <xf numFmtId="0" fontId="14" fillId="0" borderId="0" xfId="0" applyNumberFormat="1" applyFont="1" applyFill="1" applyAlignment="1">
      <alignment vertical="center"/>
    </xf>
    <xf numFmtId="166" fontId="14" fillId="0" borderId="0" xfId="0" applyNumberFormat="1" applyFont="1" applyFill="1" applyAlignment="1">
      <alignment horizontal="center" vertical="center"/>
    </xf>
    <xf numFmtId="166" fontId="14" fillId="0" borderId="0" xfId="0" applyNumberFormat="1" applyFont="1" applyFill="1" applyBorder="1" applyAlignment="1">
      <alignment vertical="center"/>
    </xf>
    <xf numFmtId="171" fontId="22" fillId="6" borderId="0" xfId="0" applyFont="1" applyFill="1" applyAlignment="1">
      <alignment vertical="center"/>
    </xf>
    <xf numFmtId="171" fontId="29" fillId="6" borderId="0" xfId="0" applyFont="1" applyFill="1" applyAlignment="1">
      <alignment vertical="center"/>
    </xf>
    <xf numFmtId="171" fontId="22" fillId="6" borderId="0" xfId="0" applyFont="1" applyFill="1">
      <alignment vertical="top"/>
    </xf>
    <xf numFmtId="171" fontId="14" fillId="0" borderId="0" xfId="0" applyFont="1" applyFill="1" applyBorder="1" applyAlignment="1">
      <alignment horizontal="center" vertical="center"/>
    </xf>
    <xf numFmtId="171" fontId="34" fillId="0" borderId="0" xfId="0" applyFont="1" applyAlignment="1">
      <alignment vertical="center"/>
    </xf>
    <xf numFmtId="171" fontId="20" fillId="0" borderId="0" xfId="0" applyFont="1" applyAlignment="1">
      <alignment vertical="center"/>
    </xf>
    <xf numFmtId="171" fontId="19" fillId="0" borderId="0" xfId="0" applyFont="1" applyAlignment="1">
      <alignment vertical="center"/>
    </xf>
    <xf numFmtId="171" fontId="14" fillId="0" borderId="0" xfId="0" applyFont="1" applyAlignment="1">
      <alignment vertical="center"/>
    </xf>
    <xf numFmtId="171" fontId="14" fillId="0" borderId="0" xfId="0" applyFont="1" applyAlignment="1">
      <alignment horizontal="left" vertical="center"/>
    </xf>
    <xf numFmtId="171" fontId="14" fillId="0" borderId="0" xfId="0" applyFont="1" applyAlignment="1">
      <alignment horizontal="right" vertical="center"/>
    </xf>
    <xf numFmtId="171" fontId="19" fillId="0" borderId="0" xfId="0" applyFont="1" applyBorder="1" applyAlignment="1">
      <alignment vertical="center"/>
    </xf>
    <xf numFmtId="3" fontId="18" fillId="5" borderId="0" xfId="0" applyNumberFormat="1" applyFont="1" applyFill="1" applyBorder="1" applyAlignment="1">
      <alignment horizontal="right" vertical="center"/>
    </xf>
    <xf numFmtId="171" fontId="34" fillId="0" borderId="0" xfId="0" applyFont="1" applyBorder="1" applyAlignment="1">
      <alignment vertical="center"/>
    </xf>
    <xf numFmtId="165" fontId="34" fillId="0" borderId="0" xfId="0" applyNumberFormat="1" applyFont="1" applyFill="1" applyBorder="1" applyAlignment="1">
      <alignment vertical="center"/>
    </xf>
    <xf numFmtId="165" fontId="20" fillId="0" borderId="0" xfId="0" applyNumberFormat="1" applyFont="1" applyFill="1" applyBorder="1" applyAlignment="1">
      <alignment vertical="center"/>
    </xf>
    <xf numFmtId="165" fontId="19" fillId="0" borderId="0" xfId="0" applyNumberFormat="1" applyFont="1" applyFill="1" applyBorder="1" applyAlignment="1">
      <alignment horizontal="center" vertical="center"/>
    </xf>
    <xf numFmtId="165" fontId="14" fillId="0" borderId="0" xfId="0" applyNumberFormat="1" applyFont="1" applyFill="1" applyBorder="1" applyAlignment="1">
      <alignment horizontal="center" vertical="center"/>
    </xf>
    <xf numFmtId="165" fontId="14" fillId="0" borderId="0" xfId="0" applyNumberFormat="1" applyFont="1" applyFill="1" applyBorder="1" applyAlignment="1">
      <alignment horizontal="left" vertical="center"/>
    </xf>
    <xf numFmtId="171" fontId="28" fillId="0" borderId="0" xfId="0" applyFont="1" applyFill="1" applyBorder="1" applyAlignment="1">
      <alignment horizontal="left" vertical="center"/>
    </xf>
    <xf numFmtId="171" fontId="28" fillId="0" borderId="0" xfId="0" applyFont="1" applyBorder="1" applyAlignment="1">
      <alignment vertical="center"/>
    </xf>
    <xf numFmtId="171" fontId="28" fillId="0" borderId="0" xfId="0" applyFont="1" applyFill="1" applyAlignment="1">
      <alignment vertical="center"/>
    </xf>
    <xf numFmtId="171" fontId="28" fillId="0" borderId="0" xfId="0" applyFont="1" applyFill="1" applyBorder="1">
      <alignment vertical="top"/>
    </xf>
    <xf numFmtId="172" fontId="28" fillId="0" borderId="0" xfId="1" applyFont="1" applyFill="1" applyBorder="1">
      <alignment vertical="top"/>
    </xf>
    <xf numFmtId="171" fontId="28" fillId="0" borderId="0" xfId="0" applyFont="1" applyFill="1" applyBorder="1" applyAlignment="1">
      <alignment vertical="center"/>
    </xf>
    <xf numFmtId="165" fontId="14" fillId="0" borderId="0" xfId="0" applyNumberFormat="1" applyFont="1" applyFill="1" applyBorder="1" applyAlignment="1">
      <alignment vertical="center"/>
    </xf>
    <xf numFmtId="171" fontId="36" fillId="0" borderId="0" xfId="0" applyFont="1" applyFill="1" applyBorder="1" applyAlignment="1">
      <alignment horizontal="center" vertical="center"/>
    </xf>
    <xf numFmtId="171" fontId="20" fillId="0" borderId="0" xfId="0" applyFont="1" applyFill="1">
      <alignment vertical="top"/>
    </xf>
    <xf numFmtId="171" fontId="19" fillId="0" borderId="0" xfId="0" applyFont="1" applyFill="1">
      <alignment vertical="top"/>
    </xf>
    <xf numFmtId="171" fontId="14" fillId="0" borderId="0" xfId="0" applyFont="1" applyFill="1" applyAlignment="1">
      <alignment horizontal="right" vertical="top"/>
    </xf>
    <xf numFmtId="172" fontId="14" fillId="0" borderId="0" xfId="1" applyFont="1" applyFill="1" applyAlignment="1">
      <alignment horizontal="right" vertical="top"/>
    </xf>
    <xf numFmtId="171" fontId="20" fillId="0" borderId="0" xfId="0" applyFont="1" applyFill="1" applyBorder="1" applyAlignment="1">
      <alignment vertical="center"/>
    </xf>
    <xf numFmtId="171" fontId="19" fillId="0" borderId="0" xfId="0" applyFont="1" applyFill="1" applyBorder="1" applyAlignment="1">
      <alignment horizontal="center" vertical="center"/>
    </xf>
    <xf numFmtId="171" fontId="14" fillId="0" borderId="0" xfId="0" applyFont="1" applyFill="1" applyBorder="1" applyAlignment="1">
      <alignment horizontal="right" vertical="center"/>
    </xf>
    <xf numFmtId="171" fontId="14" fillId="5" borderId="0" xfId="0" applyFont="1" applyFill="1" applyBorder="1" applyAlignment="1">
      <alignment vertical="center"/>
    </xf>
    <xf numFmtId="171" fontId="14" fillId="5" borderId="0" xfId="0" quotePrefix="1" applyFont="1" applyFill="1" applyBorder="1" applyAlignment="1">
      <alignment vertical="center"/>
    </xf>
    <xf numFmtId="171" fontId="18" fillId="0" borderId="0" xfId="0" applyFont="1">
      <alignment vertical="top"/>
    </xf>
    <xf numFmtId="0" fontId="29" fillId="2" borderId="0" xfId="0" applyNumberFormat="1" applyFont="1" applyFill="1" applyBorder="1" applyAlignment="1">
      <alignment vertical="center"/>
    </xf>
    <xf numFmtId="171" fontId="37" fillId="7" borderId="0" xfId="0" applyFont="1" applyFill="1">
      <alignment vertical="top"/>
    </xf>
    <xf numFmtId="171" fontId="18" fillId="7" borderId="0" xfId="0" applyFont="1" applyFill="1">
      <alignment vertical="top"/>
    </xf>
    <xf numFmtId="171" fontId="14" fillId="7" borderId="0" xfId="0" applyFont="1" applyFill="1">
      <alignment vertical="top"/>
    </xf>
    <xf numFmtId="171" fontId="18" fillId="8" borderId="0" xfId="0" applyFont="1" applyFill="1" applyAlignment="1">
      <alignment horizontal="right" vertical="top"/>
    </xf>
    <xf numFmtId="171" fontId="9" fillId="7" borderId="0" xfId="0" applyFont="1" applyFill="1">
      <alignment vertical="top"/>
    </xf>
    <xf numFmtId="171" fontId="16" fillId="8" borderId="0" xfId="0" applyFont="1" applyFill="1" applyBorder="1" applyAlignment="1">
      <alignment horizontal="center" vertical="top"/>
    </xf>
    <xf numFmtId="171" fontId="24" fillId="6" borderId="0" xfId="0" applyFont="1" applyFill="1" applyAlignment="1">
      <alignment vertical="center"/>
    </xf>
    <xf numFmtId="171" fontId="22" fillId="6" borderId="0" xfId="0" applyFont="1" applyFill="1" applyAlignment="1">
      <alignment horizontal="right" vertical="center"/>
    </xf>
    <xf numFmtId="171" fontId="14" fillId="0" borderId="0" xfId="0" applyFont="1" applyFill="1" applyAlignment="1">
      <alignment horizontal="right" vertical="center"/>
    </xf>
    <xf numFmtId="172" fontId="14" fillId="0" borderId="0" xfId="1" applyFont="1" applyBorder="1" applyAlignment="1">
      <alignment vertical="center"/>
    </xf>
    <xf numFmtId="169" fontId="14" fillId="0" borderId="0" xfId="0" applyNumberFormat="1" applyFont="1" applyFill="1" applyBorder="1" applyAlignment="1">
      <alignment horizontal="right" vertical="center"/>
    </xf>
    <xf numFmtId="172" fontId="14" fillId="0" borderId="0" xfId="1" applyFont="1" applyAlignment="1">
      <alignment vertical="center"/>
    </xf>
    <xf numFmtId="166" fontId="14" fillId="0" borderId="0" xfId="0" applyNumberFormat="1" applyFont="1" applyFill="1" applyBorder="1" applyAlignment="1">
      <alignment horizontal="right" vertical="center"/>
    </xf>
    <xf numFmtId="171" fontId="34" fillId="0" borderId="0" xfId="0" applyFont="1">
      <alignment vertical="top"/>
    </xf>
    <xf numFmtId="171" fontId="34" fillId="0" borderId="0" xfId="0" applyFont="1" applyAlignment="1">
      <alignment horizontal="center" vertical="center"/>
    </xf>
    <xf numFmtId="171" fontId="14" fillId="0" borderId="0" xfId="0" applyFont="1" applyAlignment="1">
      <alignment horizontal="center" vertical="center"/>
    </xf>
    <xf numFmtId="171" fontId="19" fillId="0" borderId="0" xfId="0" applyFont="1" applyFill="1" applyAlignment="1">
      <alignment horizontal="center" vertical="center"/>
    </xf>
    <xf numFmtId="171" fontId="20" fillId="0" borderId="0" xfId="0" applyFont="1" applyAlignment="1">
      <alignment horizontal="left" vertical="center"/>
    </xf>
    <xf numFmtId="172" fontId="14" fillId="0" borderId="0" xfId="1" applyFont="1" applyFill="1" applyAlignment="1">
      <alignment vertical="center"/>
    </xf>
    <xf numFmtId="171" fontId="31" fillId="0" borderId="0" xfId="0" applyFont="1" applyFill="1" applyBorder="1">
      <alignment vertical="top"/>
    </xf>
    <xf numFmtId="171" fontId="31" fillId="0" borderId="0" xfId="0" applyFont="1" applyFill="1" applyBorder="1" applyAlignment="1">
      <alignment vertical="center"/>
    </xf>
    <xf numFmtId="171" fontId="34" fillId="0" borderId="0" xfId="0" applyFont="1" applyFill="1" applyBorder="1" applyAlignment="1">
      <alignment vertical="center"/>
    </xf>
    <xf numFmtId="172" fontId="14" fillId="0" borderId="0" xfId="1" applyFont="1" applyFill="1" applyBorder="1" applyAlignment="1">
      <alignment vertical="center"/>
    </xf>
    <xf numFmtId="171" fontId="19" fillId="0" borderId="0" xfId="0" applyFont="1" applyFill="1" applyBorder="1" applyAlignment="1">
      <alignment vertical="center"/>
    </xf>
    <xf numFmtId="0" fontId="22" fillId="2" borderId="1" xfId="0" applyNumberFormat="1" applyFont="1" applyFill="1" applyBorder="1" applyAlignment="1">
      <alignment vertical="center"/>
    </xf>
    <xf numFmtId="0" fontId="24" fillId="2" borderId="1" xfId="0" applyNumberFormat="1" applyFont="1" applyFill="1" applyBorder="1" applyAlignment="1">
      <alignment vertical="center"/>
    </xf>
    <xf numFmtId="0" fontId="22" fillId="2" borderId="1" xfId="0" applyNumberFormat="1" applyFont="1" applyFill="1" applyBorder="1" applyAlignment="1">
      <alignment horizontal="right" vertical="center"/>
    </xf>
    <xf numFmtId="171" fontId="22" fillId="2" borderId="1" xfId="0" applyFont="1" applyFill="1" applyBorder="1">
      <alignment vertical="top"/>
    </xf>
    <xf numFmtId="0" fontId="22" fillId="0" borderId="0" xfId="0" applyNumberFormat="1" applyFont="1" applyFill="1" applyBorder="1" applyAlignment="1">
      <alignment vertical="center"/>
    </xf>
    <xf numFmtId="0" fontId="24" fillId="0" borderId="0" xfId="0" applyNumberFormat="1" applyFont="1" applyFill="1" applyBorder="1" applyAlignment="1">
      <alignment vertical="center"/>
    </xf>
    <xf numFmtId="0" fontId="22" fillId="0" borderId="0" xfId="0" applyNumberFormat="1" applyFont="1" applyFill="1" applyBorder="1" applyAlignment="1">
      <alignment horizontal="right" vertical="center"/>
    </xf>
    <xf numFmtId="171" fontId="22" fillId="0" borderId="0" xfId="0" applyFont="1" applyFill="1" applyBorder="1">
      <alignment vertical="top"/>
    </xf>
    <xf numFmtId="0" fontId="13" fillId="0" borderId="0" xfId="0" applyNumberFormat="1" applyFont="1" applyFill="1" applyBorder="1" applyAlignment="1">
      <alignment vertical="center"/>
    </xf>
    <xf numFmtId="172" fontId="20" fillId="0" borderId="0" xfId="1" applyFont="1" applyAlignment="1">
      <alignment vertical="center"/>
    </xf>
    <xf numFmtId="171" fontId="18" fillId="0" borderId="0" xfId="0" applyFont="1" applyFill="1" applyBorder="1">
      <alignment vertical="top"/>
    </xf>
    <xf numFmtId="171" fontId="31" fillId="0" borderId="0" xfId="0" applyFont="1" applyAlignment="1">
      <alignment vertical="center"/>
    </xf>
    <xf numFmtId="172" fontId="31" fillId="0" borderId="0" xfId="1" applyFont="1" applyAlignment="1">
      <alignment vertical="center"/>
    </xf>
    <xf numFmtId="171" fontId="38" fillId="0" borderId="0" xfId="0" applyFont="1" applyAlignment="1">
      <alignment vertical="center"/>
    </xf>
    <xf numFmtId="171" fontId="31" fillId="0" borderId="0" xfId="0" applyFont="1" applyAlignment="1">
      <alignment horizontal="right" vertical="center"/>
    </xf>
    <xf numFmtId="171" fontId="31" fillId="0" borderId="0" xfId="0" applyFont="1" applyFill="1" applyBorder="1" applyAlignment="1">
      <alignment horizontal="left" vertical="center"/>
    </xf>
    <xf numFmtId="171" fontId="31" fillId="7" borderId="0" xfId="0" applyFont="1" applyFill="1" applyBorder="1" applyAlignment="1">
      <alignment vertical="center"/>
    </xf>
    <xf numFmtId="172" fontId="13" fillId="0" borderId="0" xfId="1" applyFont="1" applyAlignment="1">
      <alignment vertical="center"/>
    </xf>
    <xf numFmtId="172" fontId="31" fillId="0" borderId="0" xfId="1" applyFont="1" applyFill="1" applyAlignment="1">
      <alignment vertical="center"/>
    </xf>
    <xf numFmtId="171" fontId="38" fillId="0" borderId="0" xfId="0" applyFont="1" applyFill="1" applyAlignment="1">
      <alignment vertical="center"/>
    </xf>
    <xf numFmtId="171" fontId="31" fillId="0" borderId="0" xfId="0" applyFont="1" applyFill="1" applyAlignment="1">
      <alignment horizontal="right" vertical="center"/>
    </xf>
    <xf numFmtId="171" fontId="31" fillId="0" borderId="0" xfId="0" applyFont="1" applyFill="1" applyAlignment="1">
      <alignment vertical="center"/>
    </xf>
    <xf numFmtId="171" fontId="22" fillId="6" borderId="0" xfId="0" applyFont="1" applyFill="1" applyBorder="1" applyAlignment="1">
      <alignment vertical="center"/>
    </xf>
    <xf numFmtId="171" fontId="24" fillId="6" borderId="0" xfId="0" applyFont="1" applyFill="1" applyBorder="1" applyAlignment="1">
      <alignment vertical="center"/>
    </xf>
    <xf numFmtId="171" fontId="22" fillId="6" borderId="0" xfId="0" applyFont="1" applyFill="1" applyBorder="1" applyAlignment="1">
      <alignment horizontal="right" vertical="center"/>
    </xf>
    <xf numFmtId="172" fontId="20" fillId="0" borderId="0" xfId="1" applyFont="1" applyFill="1" applyAlignment="1">
      <alignment vertical="center"/>
    </xf>
    <xf numFmtId="171" fontId="31" fillId="0" borderId="0" xfId="0" applyFont="1" applyFill="1">
      <alignment vertical="top"/>
    </xf>
    <xf numFmtId="3" fontId="14" fillId="0" borderId="0" xfId="0" applyNumberFormat="1" applyFont="1" applyFill="1" applyBorder="1" applyAlignment="1">
      <alignment vertical="center"/>
    </xf>
    <xf numFmtId="3" fontId="31" fillId="0" borderId="0" xfId="0" applyNumberFormat="1" applyFont="1" applyFill="1" applyBorder="1" applyAlignment="1">
      <alignment vertical="center"/>
    </xf>
    <xf numFmtId="171" fontId="28" fillId="0" borderId="0" xfId="0" applyFont="1" applyFill="1" applyBorder="1" applyAlignment="1">
      <alignment horizontal="right" vertical="center"/>
    </xf>
    <xf numFmtId="171" fontId="18" fillId="0" borderId="0" xfId="0" applyFont="1" applyAlignment="1">
      <alignment vertical="center"/>
    </xf>
    <xf numFmtId="172" fontId="18" fillId="0" borderId="0" xfId="1" applyFont="1" applyFill="1" applyAlignment="1">
      <alignment vertical="center"/>
    </xf>
    <xf numFmtId="171" fontId="18" fillId="0" borderId="0" xfId="0" applyFont="1" applyFill="1" applyAlignment="1">
      <alignment horizontal="right" vertical="center"/>
    </xf>
    <xf numFmtId="3" fontId="18" fillId="0" borderId="0" xfId="0" applyNumberFormat="1" applyFont="1" applyFill="1" applyBorder="1" applyAlignment="1">
      <alignment vertical="center"/>
    </xf>
    <xf numFmtId="171" fontId="31" fillId="0" borderId="0" xfId="0" applyFont="1" applyFill="1" applyAlignment="1">
      <alignment horizontal="center" vertical="center"/>
    </xf>
    <xf numFmtId="166" fontId="31" fillId="0" borderId="0" xfId="0" applyNumberFormat="1" applyFont="1" applyFill="1" applyBorder="1" applyAlignment="1">
      <alignment horizontal="right" vertical="center"/>
    </xf>
    <xf numFmtId="166" fontId="31" fillId="0" borderId="0" xfId="0" applyNumberFormat="1" applyFont="1" applyFill="1" applyBorder="1" applyAlignment="1">
      <alignment horizontal="left" vertical="center"/>
    </xf>
    <xf numFmtId="166" fontId="31" fillId="0" borderId="0" xfId="0" applyNumberFormat="1" applyFont="1" applyFill="1" applyBorder="1" applyAlignment="1">
      <alignment vertical="center"/>
    </xf>
    <xf numFmtId="167" fontId="31" fillId="0" borderId="0" xfId="0" applyNumberFormat="1" applyFont="1" applyFill="1" applyBorder="1" applyAlignment="1">
      <alignment horizontal="right" vertical="center"/>
    </xf>
    <xf numFmtId="171" fontId="31" fillId="0" borderId="0" xfId="0" applyFont="1" applyFill="1" applyBorder="1" applyAlignment="1">
      <alignment horizontal="left" vertical="center" indent="1"/>
    </xf>
    <xf numFmtId="167" fontId="14" fillId="0" borderId="0" xfId="0" applyNumberFormat="1" applyFont="1" applyFill="1" applyBorder="1" applyAlignment="1">
      <alignment horizontal="right" vertical="center"/>
    </xf>
    <xf numFmtId="172" fontId="31" fillId="0" borderId="0" xfId="1" applyFont="1" applyFill="1" applyBorder="1" applyAlignment="1">
      <alignment vertical="center"/>
    </xf>
    <xf numFmtId="171" fontId="38" fillId="0" borderId="0" xfId="0" applyFont="1" applyFill="1" applyBorder="1" applyAlignment="1">
      <alignment vertical="center"/>
    </xf>
    <xf numFmtId="166" fontId="14" fillId="0" borderId="0" xfId="0" applyNumberFormat="1" applyFont="1" applyFill="1" applyBorder="1" applyAlignment="1">
      <alignment horizontal="left" vertical="center"/>
    </xf>
    <xf numFmtId="166" fontId="14" fillId="0" borderId="0" xfId="0" applyNumberFormat="1" applyFont="1" applyFill="1" applyBorder="1" applyAlignment="1">
      <alignment horizontal="center" vertical="center"/>
    </xf>
    <xf numFmtId="171" fontId="28" fillId="0" borderId="0" xfId="0" applyFont="1" applyFill="1">
      <alignment vertical="top"/>
    </xf>
    <xf numFmtId="174" fontId="16" fillId="0" borderId="0" xfId="0" applyNumberFormat="1" applyFont="1" applyFill="1">
      <alignment vertical="top"/>
    </xf>
    <xf numFmtId="172" fontId="16" fillId="0" borderId="0" xfId="1" applyFont="1" applyFill="1">
      <alignment vertical="top"/>
    </xf>
    <xf numFmtId="171" fontId="31" fillId="0" borderId="0" xfId="0" applyFont="1" applyFill="1" applyBorder="1" applyAlignment="1">
      <alignment horizontal="right" vertical="center"/>
    </xf>
    <xf numFmtId="172" fontId="14" fillId="0" borderId="0" xfId="1" applyFont="1" applyFill="1" applyBorder="1">
      <alignment vertical="top"/>
    </xf>
    <xf numFmtId="171" fontId="20" fillId="0" borderId="0" xfId="0" applyFont="1">
      <alignment vertical="top"/>
    </xf>
    <xf numFmtId="171" fontId="28" fillId="0" borderId="0" xfId="0" applyFont="1" applyAlignment="1">
      <alignment horizontal="right" vertical="top"/>
    </xf>
    <xf numFmtId="0" fontId="24" fillId="2" borderId="0" xfId="0" applyNumberFormat="1" applyFont="1" applyFill="1" applyBorder="1" applyAlignment="1">
      <alignment vertical="center"/>
    </xf>
    <xf numFmtId="0" fontId="22" fillId="2" borderId="0" xfId="0" applyNumberFormat="1" applyFont="1" applyFill="1" applyBorder="1" applyAlignment="1">
      <alignment horizontal="right" vertical="center"/>
    </xf>
    <xf numFmtId="171" fontId="39" fillId="7" borderId="0" xfId="0" applyFont="1" applyFill="1">
      <alignment vertical="top"/>
    </xf>
    <xf numFmtId="171" fontId="39" fillId="0" borderId="0" xfId="0" applyFont="1">
      <alignment vertical="top"/>
    </xf>
    <xf numFmtId="175" fontId="16" fillId="0" borderId="0" xfId="0" applyNumberFormat="1" applyFont="1" applyAlignment="1">
      <alignment horizontal="right" vertical="top"/>
    </xf>
    <xf numFmtId="171" fontId="28" fillId="0" borderId="0" xfId="0" applyFont="1" applyAlignment="1">
      <alignment vertical="center"/>
    </xf>
    <xf numFmtId="172" fontId="40" fillId="0" borderId="0" xfId="1" applyFont="1" applyAlignment="1">
      <alignment vertical="center"/>
    </xf>
    <xf numFmtId="172" fontId="28" fillId="0" borderId="0" xfId="1" applyFont="1" applyAlignment="1">
      <alignment vertical="center"/>
    </xf>
    <xf numFmtId="171" fontId="14" fillId="7" borderId="0" xfId="0" applyFont="1" applyFill="1" applyAlignment="1">
      <alignment vertical="center"/>
    </xf>
    <xf numFmtId="177" fontId="14" fillId="0" borderId="0" xfId="0" applyNumberFormat="1" applyFont="1" applyAlignment="1">
      <alignment vertical="center"/>
    </xf>
    <xf numFmtId="174" fontId="14" fillId="0" borderId="0" xfId="0" applyNumberFormat="1" applyFont="1" applyAlignment="1">
      <alignment vertical="center"/>
    </xf>
    <xf numFmtId="172" fontId="18" fillId="0" borderId="0" xfId="1" applyFont="1" applyAlignment="1">
      <alignment vertical="center"/>
    </xf>
    <xf numFmtId="173" fontId="18" fillId="0" borderId="0" xfId="0" applyNumberFormat="1" applyFont="1" applyFill="1" applyBorder="1" applyAlignment="1">
      <alignment horizontal="left" vertical="center"/>
    </xf>
    <xf numFmtId="165" fontId="14" fillId="5" borderId="0" xfId="0" applyNumberFormat="1" applyFont="1" applyFill="1" applyBorder="1" applyAlignment="1">
      <alignment horizontal="left" vertical="center"/>
    </xf>
    <xf numFmtId="171" fontId="28" fillId="0" borderId="0" xfId="0" applyFont="1" applyFill="1" applyBorder="1" applyAlignment="1">
      <alignment horizontal="center" vertical="center"/>
    </xf>
    <xf numFmtId="166" fontId="28" fillId="0" borderId="0" xfId="0" applyNumberFormat="1" applyFont="1" applyFill="1" applyAlignment="1">
      <alignment vertical="center"/>
    </xf>
    <xf numFmtId="166" fontId="14" fillId="0" borderId="0" xfId="0" applyNumberFormat="1" applyFont="1" applyFill="1" applyAlignment="1">
      <alignment vertical="center"/>
    </xf>
    <xf numFmtId="171" fontId="25" fillId="0" borderId="0" xfId="0" applyFont="1" applyBorder="1" applyAlignment="1">
      <alignment horizontal="right"/>
    </xf>
    <xf numFmtId="171" fontId="39" fillId="0" borderId="0" xfId="0" applyFont="1" applyFill="1">
      <alignment vertical="top"/>
    </xf>
    <xf numFmtId="175" fontId="16" fillId="0" borderId="0" xfId="0" applyNumberFormat="1" applyFont="1" applyFill="1" applyAlignment="1">
      <alignment horizontal="right" vertical="top"/>
    </xf>
    <xf numFmtId="171" fontId="41" fillId="0" borderId="0" xfId="0" applyFont="1" applyFill="1">
      <alignment vertical="top"/>
    </xf>
    <xf numFmtId="171" fontId="6" fillId="0" borderId="0" xfId="0" applyFont="1" applyFill="1">
      <alignment vertical="top"/>
    </xf>
    <xf numFmtId="171" fontId="41" fillId="0" borderId="0" xfId="0" applyFont="1">
      <alignment vertical="top"/>
    </xf>
    <xf numFmtId="171" fontId="41" fillId="0" borderId="0" xfId="0" applyFont="1" applyAlignment="1">
      <alignment horizontal="right" vertical="top"/>
    </xf>
    <xf numFmtId="174" fontId="16" fillId="0" borderId="0" xfId="0" applyNumberFormat="1" applyFont="1">
      <alignment vertical="top"/>
    </xf>
    <xf numFmtId="173" fontId="31" fillId="0" borderId="0" xfId="8" applyFont="1">
      <alignment vertical="top"/>
    </xf>
    <xf numFmtId="173" fontId="34" fillId="0" borderId="0" xfId="8" applyFont="1" applyFill="1">
      <alignment vertical="top"/>
    </xf>
    <xf numFmtId="173" fontId="14" fillId="0" borderId="0" xfId="8" applyFont="1" applyFill="1">
      <alignment vertical="top"/>
    </xf>
    <xf numFmtId="173" fontId="19" fillId="0" borderId="0" xfId="8" applyFont="1" applyFill="1">
      <alignment vertical="top"/>
    </xf>
    <xf numFmtId="173" fontId="14" fillId="0" borderId="0" xfId="8" applyFont="1" applyFill="1" applyBorder="1">
      <alignment vertical="top"/>
    </xf>
    <xf numFmtId="173" fontId="14" fillId="0" borderId="0" xfId="8" applyFont="1">
      <alignment vertical="top"/>
    </xf>
    <xf numFmtId="0" fontId="18" fillId="5" borderId="0" xfId="0" applyNumberFormat="1" applyFont="1" applyFill="1" applyAlignment="1">
      <alignment vertical="center"/>
    </xf>
    <xf numFmtId="0" fontId="28" fillId="0" borderId="0" xfId="0" applyNumberFormat="1" applyFont="1">
      <alignment vertical="top"/>
    </xf>
    <xf numFmtId="171" fontId="22" fillId="0" borderId="0" xfId="0" applyFont="1" applyFill="1" applyAlignment="1">
      <alignment vertical="center"/>
    </xf>
    <xf numFmtId="171" fontId="24" fillId="0" borderId="0" xfId="0" applyFont="1" applyFill="1" applyAlignment="1">
      <alignment vertical="center"/>
    </xf>
    <xf numFmtId="171" fontId="22" fillId="0" borderId="0" xfId="0" applyFont="1" applyFill="1" applyAlignment="1">
      <alignment horizontal="right" vertical="center"/>
    </xf>
    <xf numFmtId="171" fontId="22" fillId="0" borderId="0" xfId="0" applyFont="1" applyFill="1">
      <alignment vertical="top"/>
    </xf>
    <xf numFmtId="0" fontId="14" fillId="0" borderId="0" xfId="0" applyNumberFormat="1" applyFont="1" applyFill="1" applyBorder="1" applyAlignment="1">
      <alignment horizontal="right" vertical="center"/>
    </xf>
    <xf numFmtId="173" fontId="28" fillId="0" borderId="0" xfId="8" applyFont="1">
      <alignment vertical="top"/>
    </xf>
    <xf numFmtId="0" fontId="18" fillId="0" borderId="0" xfId="0" applyNumberFormat="1" applyFont="1" applyFill="1">
      <alignment vertical="top"/>
    </xf>
    <xf numFmtId="166" fontId="14" fillId="7" borderId="0" xfId="0" applyNumberFormat="1" applyFont="1" applyFill="1" applyBorder="1" applyAlignment="1">
      <alignment vertical="center"/>
    </xf>
    <xf numFmtId="166" fontId="18" fillId="7" borderId="3" xfId="0" applyNumberFormat="1" applyFont="1" applyFill="1" applyBorder="1" applyAlignment="1">
      <alignment horizontal="left" vertical="center"/>
    </xf>
    <xf numFmtId="166" fontId="14" fillId="7" borderId="7" xfId="0" applyNumberFormat="1" applyFont="1" applyFill="1" applyBorder="1" applyAlignment="1">
      <alignment vertical="center"/>
    </xf>
    <xf numFmtId="166" fontId="14" fillId="7" borderId="13" xfId="0" applyNumberFormat="1" applyFont="1" applyFill="1" applyBorder="1" applyAlignment="1">
      <alignment vertical="center"/>
    </xf>
    <xf numFmtId="166" fontId="18" fillId="7" borderId="8" xfId="0" applyNumberFormat="1" applyFont="1" applyFill="1" applyBorder="1" applyAlignment="1">
      <alignment horizontal="left" vertical="center"/>
    </xf>
    <xf numFmtId="171" fontId="14" fillId="16" borderId="0" xfId="0" quotePrefix="1" applyFont="1" applyFill="1">
      <alignment vertical="top"/>
    </xf>
    <xf numFmtId="178" fontId="14" fillId="16" borderId="0" xfId="1" applyNumberFormat="1" applyFont="1" applyFill="1">
      <alignment vertical="top"/>
    </xf>
    <xf numFmtId="171" fontId="14" fillId="16" borderId="0" xfId="0" applyFont="1" applyFill="1">
      <alignment vertical="top"/>
    </xf>
    <xf numFmtId="171" fontId="31" fillId="0" borderId="0" xfId="0" applyFont="1" applyBorder="1" applyAlignment="1">
      <alignment vertical="center"/>
    </xf>
    <xf numFmtId="172" fontId="31" fillId="0" borderId="0" xfId="1" applyFont="1" applyBorder="1" applyAlignment="1">
      <alignment vertical="center"/>
    </xf>
    <xf numFmtId="171" fontId="38" fillId="0" borderId="0" xfId="0" applyFont="1" applyBorder="1" applyAlignment="1">
      <alignment vertical="center"/>
    </xf>
    <xf numFmtId="169" fontId="31" fillId="0" borderId="0" xfId="0" applyNumberFormat="1" applyFont="1" applyFill="1" applyBorder="1" applyAlignment="1">
      <alignment horizontal="right" vertical="center"/>
    </xf>
    <xf numFmtId="176" fontId="31" fillId="0" borderId="0" xfId="1" applyNumberFormat="1" applyFont="1">
      <alignment vertical="top"/>
    </xf>
    <xf numFmtId="171" fontId="16" fillId="18" borderId="0" xfId="0" applyFont="1" applyFill="1" applyBorder="1" applyAlignment="1">
      <alignment horizontal="left" vertical="top"/>
    </xf>
    <xf numFmtId="171" fontId="16" fillId="0" borderId="0" xfId="0" applyFont="1" applyBorder="1" applyAlignment="1"/>
    <xf numFmtId="171" fontId="11" fillId="6" borderId="0" xfId="0" applyFont="1" applyFill="1" applyBorder="1" applyAlignment="1">
      <alignment horizontal="left" vertical="top"/>
    </xf>
    <xf numFmtId="171" fontId="14" fillId="0" borderId="0" xfId="0" quotePrefix="1" applyFont="1" applyFill="1" applyBorder="1">
      <alignment vertical="top"/>
    </xf>
    <xf numFmtId="166" fontId="23" fillId="0" borderId="0" xfId="2" applyNumberFormat="1" applyFont="1" applyFill="1" applyBorder="1" applyAlignment="1" applyProtection="1">
      <alignment horizontal="left" vertical="center"/>
    </xf>
    <xf numFmtId="171" fontId="14" fillId="5" borderId="0" xfId="0" applyFont="1" applyFill="1" applyAlignment="1">
      <alignment vertical="center"/>
    </xf>
    <xf numFmtId="171" fontId="16" fillId="0" borderId="0" xfId="0" applyFont="1">
      <alignment vertical="top"/>
    </xf>
    <xf numFmtId="171" fontId="16" fillId="0" borderId="0" xfId="0" applyFont="1" applyAlignment="1">
      <alignment horizontal="left" vertical="top"/>
    </xf>
    <xf numFmtId="171" fontId="16" fillId="0" borderId="0" xfId="0" applyFont="1" applyFill="1">
      <alignment vertical="top"/>
    </xf>
    <xf numFmtId="0" fontId="31" fillId="0" borderId="0" xfId="0" applyNumberFormat="1" applyFont="1" applyFill="1" applyBorder="1" applyAlignment="1">
      <alignment vertical="center"/>
    </xf>
    <xf numFmtId="0" fontId="38" fillId="0" borderId="0" xfId="0" applyNumberFormat="1" applyFont="1" applyFill="1" applyBorder="1" applyAlignment="1">
      <alignment vertical="center"/>
    </xf>
    <xf numFmtId="0" fontId="31" fillId="0" borderId="0" xfId="0" applyNumberFormat="1" applyFont="1" applyFill="1" applyBorder="1" applyAlignment="1">
      <alignment horizontal="right" vertical="center"/>
    </xf>
    <xf numFmtId="171" fontId="29" fillId="6" borderId="0" xfId="0" applyFont="1" applyFill="1" applyAlignment="1">
      <alignment horizontal="centerContinuous" vertical="top"/>
    </xf>
    <xf numFmtId="166" fontId="28" fillId="0" borderId="6" xfId="0" applyNumberFormat="1" applyFont="1" applyBorder="1" applyAlignment="1">
      <alignment vertical="center"/>
    </xf>
    <xf numFmtId="166" fontId="28" fillId="0" borderId="3" xfId="0" applyNumberFormat="1" applyFont="1" applyBorder="1" applyAlignment="1">
      <alignment vertical="center"/>
    </xf>
    <xf numFmtId="0" fontId="18" fillId="0" borderId="0" xfId="0" applyNumberFormat="1" applyFont="1" applyFill="1" applyAlignment="1">
      <alignment vertical="center"/>
    </xf>
    <xf numFmtId="171" fontId="14" fillId="20" borderId="0" xfId="0" applyFont="1" applyFill="1">
      <alignment vertical="top"/>
    </xf>
    <xf numFmtId="171" fontId="47" fillId="0" borderId="0" xfId="0" applyFont="1">
      <alignment vertical="top"/>
    </xf>
    <xf numFmtId="171" fontId="14" fillId="21" borderId="0" xfId="0" applyFont="1" applyFill="1">
      <alignment vertical="top"/>
    </xf>
    <xf numFmtId="171" fontId="14" fillId="18" borderId="0" xfId="0" applyFont="1" applyFill="1">
      <alignment vertical="top"/>
    </xf>
    <xf numFmtId="166" fontId="14" fillId="0" borderId="2" xfId="0" applyNumberFormat="1" applyFont="1" applyFill="1" applyBorder="1" applyAlignment="1">
      <alignment vertical="center"/>
    </xf>
    <xf numFmtId="166" fontId="14" fillId="0" borderId="6" xfId="0" applyNumberFormat="1" applyFont="1" applyFill="1" applyBorder="1" applyAlignment="1">
      <alignment horizontal="left" vertical="center" indent="1"/>
    </xf>
    <xf numFmtId="171" fontId="12" fillId="6" borderId="0" xfId="0" applyFont="1" applyFill="1" applyBorder="1">
      <alignment vertical="top"/>
    </xf>
    <xf numFmtId="0" fontId="14" fillId="0" borderId="0" xfId="0" applyNumberFormat="1" applyFont="1">
      <alignment vertical="top"/>
    </xf>
    <xf numFmtId="171" fontId="48" fillId="6" borderId="0" xfId="0" applyFont="1" applyFill="1">
      <alignment vertical="top"/>
    </xf>
    <xf numFmtId="0" fontId="13" fillId="0" borderId="0" xfId="0" applyNumberFormat="1" applyFont="1" applyFill="1" applyAlignment="1">
      <alignment vertical="center"/>
    </xf>
    <xf numFmtId="171" fontId="49" fillId="20" borderId="0" xfId="0" applyFont="1" applyFill="1">
      <alignment vertical="top"/>
    </xf>
    <xf numFmtId="171" fontId="50" fillId="20" borderId="0" xfId="0" applyFont="1" applyFill="1">
      <alignment vertical="top"/>
    </xf>
    <xf numFmtId="175" fontId="51" fillId="20" borderId="0" xfId="0" applyNumberFormat="1" applyFont="1" applyFill="1" applyAlignment="1">
      <alignment horizontal="right" vertical="top"/>
    </xf>
    <xf numFmtId="171" fontId="52" fillId="20" borderId="0" xfId="0" applyFont="1" applyFill="1">
      <alignment vertical="top"/>
    </xf>
    <xf numFmtId="171" fontId="51" fillId="8" borderId="0" xfId="0" applyFont="1" applyFill="1">
      <alignment vertical="top"/>
    </xf>
    <xf numFmtId="171" fontId="51" fillId="0" borderId="0" xfId="0" applyFont="1">
      <alignment vertical="top"/>
    </xf>
    <xf numFmtId="171" fontId="53" fillId="20" borderId="0" xfId="0" applyFont="1" applyFill="1" applyAlignment="1"/>
    <xf numFmtId="171" fontId="52" fillId="0" borderId="0" xfId="0" applyFont="1">
      <alignment vertical="top"/>
    </xf>
    <xf numFmtId="172" fontId="53" fillId="20" borderId="0" xfId="1" applyFont="1" applyFill="1">
      <alignment vertical="top"/>
    </xf>
    <xf numFmtId="171" fontId="49" fillId="0" borderId="0" xfId="0" applyFont="1">
      <alignment vertical="top"/>
    </xf>
    <xf numFmtId="172" fontId="51" fillId="0" borderId="0" xfId="1" applyFont="1">
      <alignment vertical="top"/>
    </xf>
    <xf numFmtId="171" fontId="50" fillId="0" borderId="0" xfId="0" applyFont="1">
      <alignment vertical="top"/>
    </xf>
    <xf numFmtId="175" fontId="51" fillId="0" borderId="0" xfId="0" applyNumberFormat="1" applyFont="1" applyAlignment="1">
      <alignment horizontal="right" vertical="top"/>
    </xf>
    <xf numFmtId="171" fontId="53" fillId="0" borderId="0" xfId="0" applyFont="1">
      <alignment vertical="top"/>
    </xf>
    <xf numFmtId="180" fontId="51" fillId="0" borderId="0" xfId="5" applyFont="1">
      <alignment vertical="top"/>
    </xf>
    <xf numFmtId="180" fontId="51" fillId="12" borderId="0" xfId="5" applyFont="1" applyFill="1">
      <alignment vertical="top"/>
    </xf>
    <xf numFmtId="181" fontId="51" fillId="0" borderId="0" xfId="5" applyNumberFormat="1" applyFont="1">
      <alignment vertical="top"/>
    </xf>
    <xf numFmtId="181" fontId="51" fillId="12" borderId="0" xfId="5" applyNumberFormat="1" applyFont="1" applyFill="1">
      <alignment vertical="top"/>
    </xf>
    <xf numFmtId="171" fontId="51" fillId="12" borderId="0" xfId="0" applyFont="1" applyFill="1">
      <alignment vertical="top"/>
    </xf>
    <xf numFmtId="171" fontId="51" fillId="5" borderId="0" xfId="0" applyFont="1" applyFill="1" applyAlignment="1">
      <alignment vertical="top" wrapText="1"/>
    </xf>
    <xf numFmtId="171" fontId="16" fillId="0" borderId="0" xfId="0" applyFont="1" applyFill="1" applyBorder="1" applyAlignment="1">
      <alignment horizontal="center" vertical="top"/>
    </xf>
    <xf numFmtId="0" fontId="25" fillId="0" borderId="0" xfId="0" applyNumberFormat="1" applyFont="1" applyFill="1" applyBorder="1">
      <alignment vertical="top"/>
    </xf>
    <xf numFmtId="0" fontId="33" fillId="0" borderId="0" xfId="0" applyNumberFormat="1" applyFont="1" applyFill="1" applyAlignment="1">
      <alignment vertical="center"/>
    </xf>
    <xf numFmtId="171" fontId="54" fillId="0" borderId="0" xfId="0" applyFont="1" applyBorder="1">
      <alignment vertical="top"/>
    </xf>
    <xf numFmtId="171" fontId="45" fillId="0" borderId="0" xfId="0" applyFont="1" applyFill="1" applyBorder="1" applyAlignment="1">
      <alignment horizontal="right" vertical="top"/>
    </xf>
    <xf numFmtId="171" fontId="45" fillId="0" borderId="0" xfId="0" applyFont="1" applyFill="1" applyBorder="1">
      <alignment vertical="top"/>
    </xf>
    <xf numFmtId="171" fontId="45" fillId="0" borderId="0" xfId="0" applyFont="1">
      <alignment vertical="top"/>
    </xf>
    <xf numFmtId="171" fontId="45" fillId="0" borderId="0" xfId="0" applyFont="1" applyAlignment="1">
      <alignment vertical="center"/>
    </xf>
    <xf numFmtId="171" fontId="45" fillId="0" borderId="0" xfId="0" applyFont="1" applyFill="1" applyBorder="1" applyAlignment="1">
      <alignment vertical="center"/>
    </xf>
    <xf numFmtId="171" fontId="45" fillId="0" borderId="0" xfId="0" applyFont="1" applyFill="1" applyAlignment="1">
      <alignment vertical="center"/>
    </xf>
    <xf numFmtId="172" fontId="55" fillId="0" borderId="0" xfId="1" applyFont="1" applyFill="1" applyAlignment="1">
      <alignment vertical="center"/>
    </xf>
    <xf numFmtId="171" fontId="56" fillId="0" borderId="0" xfId="0" applyFont="1" applyFill="1" applyAlignment="1">
      <alignment vertical="center"/>
    </xf>
    <xf numFmtId="171" fontId="14" fillId="0" borderId="0" xfId="0" quotePrefix="1" applyFont="1" applyFill="1" applyAlignment="1">
      <alignment vertical="center"/>
    </xf>
    <xf numFmtId="171" fontId="45" fillId="0" borderId="0" xfId="0" applyFont="1" applyFill="1" applyBorder="1" applyAlignment="1">
      <alignment horizontal="left" vertical="center"/>
    </xf>
    <xf numFmtId="182" fontId="14" fillId="0" borderId="0" xfId="9" applyFont="1" applyFill="1" applyBorder="1">
      <alignment vertical="top"/>
    </xf>
    <xf numFmtId="177" fontId="14" fillId="0" borderId="0" xfId="0" applyNumberFormat="1" applyFont="1" applyFill="1" applyBorder="1">
      <alignment vertical="top"/>
    </xf>
    <xf numFmtId="182" fontId="28" fillId="0" borderId="0" xfId="9" applyFont="1" applyFill="1">
      <alignment vertical="top"/>
    </xf>
    <xf numFmtId="182" fontId="14" fillId="0" borderId="0" xfId="9" applyFont="1">
      <alignment vertical="top"/>
    </xf>
    <xf numFmtId="166" fontId="28" fillId="17" borderId="0" xfId="0" quotePrefix="1" applyNumberFormat="1" applyFont="1" applyFill="1" applyBorder="1" applyAlignment="1">
      <alignment vertical="center"/>
    </xf>
    <xf numFmtId="172" fontId="14" fillId="5" borderId="0" xfId="1" applyFont="1" applyFill="1">
      <alignment vertical="top"/>
    </xf>
    <xf numFmtId="178" fontId="14" fillId="5" borderId="0" xfId="1" applyNumberFormat="1" applyFont="1" applyFill="1">
      <alignment vertical="top"/>
    </xf>
    <xf numFmtId="171" fontId="45" fillId="0" borderId="0" xfId="0" applyFont="1" applyFill="1" applyAlignment="1">
      <alignment horizontal="right" vertical="center"/>
    </xf>
    <xf numFmtId="171" fontId="14" fillId="19" borderId="0" xfId="0" applyFont="1" applyFill="1">
      <alignment vertical="top"/>
    </xf>
    <xf numFmtId="178" fontId="14" fillId="19" borderId="0" xfId="1" applyNumberFormat="1" applyFont="1" applyFill="1">
      <alignment vertical="top"/>
    </xf>
    <xf numFmtId="182" fontId="18" fillId="0" borderId="0" xfId="9" applyFont="1" applyFill="1" applyBorder="1">
      <alignment vertical="top"/>
    </xf>
    <xf numFmtId="171" fontId="37" fillId="0" borderId="0" xfId="0" applyFont="1" applyAlignment="1">
      <alignment vertical="center"/>
    </xf>
    <xf numFmtId="171" fontId="4" fillId="0" borderId="0" xfId="0" applyFont="1">
      <alignment vertical="top"/>
    </xf>
    <xf numFmtId="171" fontId="58" fillId="0" borderId="0" xfId="0" applyFont="1" applyAlignment="1">
      <alignment vertical="center"/>
    </xf>
    <xf numFmtId="3" fontId="58" fillId="0" borderId="0" xfId="0" applyNumberFormat="1" applyFont="1" applyFill="1" applyBorder="1" applyAlignment="1">
      <alignment horizontal="right" vertical="center"/>
    </xf>
    <xf numFmtId="0" fontId="59" fillId="0" borderId="0" xfId="0" applyNumberFormat="1" applyFont="1" applyFill="1" applyBorder="1" applyAlignment="1">
      <alignment vertical="center"/>
    </xf>
    <xf numFmtId="3" fontId="37" fillId="0" borderId="0" xfId="0" applyNumberFormat="1" applyFont="1" applyFill="1" applyBorder="1" applyAlignment="1">
      <alignment horizontal="right" vertical="center"/>
    </xf>
    <xf numFmtId="171" fontId="11" fillId="6" borderId="0" xfId="0" applyFont="1" applyFill="1" applyAlignment="1">
      <alignment vertical="center"/>
    </xf>
    <xf numFmtId="171" fontId="60" fillId="6" borderId="0" xfId="0" applyFont="1" applyFill="1" applyAlignment="1">
      <alignment vertical="center"/>
    </xf>
    <xf numFmtId="171" fontId="11" fillId="6" borderId="0" xfId="0" applyFont="1" applyFill="1">
      <alignment vertical="top"/>
    </xf>
    <xf numFmtId="171" fontId="9" fillId="0" borderId="0" xfId="0" applyFont="1" applyFill="1" applyAlignment="1">
      <alignment vertical="center"/>
    </xf>
    <xf numFmtId="171" fontId="37" fillId="0" borderId="0" xfId="0" applyFont="1" applyFill="1" applyAlignment="1">
      <alignment vertical="center"/>
    </xf>
    <xf numFmtId="171" fontId="4" fillId="0" borderId="0" xfId="0" applyFont="1" applyFill="1">
      <alignment vertical="top"/>
    </xf>
    <xf numFmtId="171" fontId="4" fillId="0" borderId="0" xfId="0" applyFont="1" applyFill="1" applyBorder="1">
      <alignment vertical="top"/>
    </xf>
    <xf numFmtId="171" fontId="4" fillId="0" borderId="0" xfId="0" applyFont="1" applyBorder="1">
      <alignment vertical="top"/>
    </xf>
    <xf numFmtId="171" fontId="41" fillId="0" borderId="0" xfId="0" applyFont="1" applyBorder="1">
      <alignment vertical="top"/>
    </xf>
    <xf numFmtId="1" fontId="16" fillId="0" borderId="0" xfId="0" applyNumberFormat="1" applyFont="1" applyFill="1" applyBorder="1" applyAlignment="1">
      <alignment horizontal="right" vertical="center"/>
    </xf>
    <xf numFmtId="171" fontId="16" fillId="7" borderId="0" xfId="0" applyFont="1" applyFill="1" applyAlignment="1">
      <alignment vertical="center"/>
    </xf>
    <xf numFmtId="171" fontId="37" fillId="7" borderId="0" xfId="0" applyFont="1" applyFill="1" applyAlignment="1">
      <alignment vertical="center"/>
    </xf>
    <xf numFmtId="171" fontId="4" fillId="7" borderId="0" xfId="0" applyFont="1" applyFill="1">
      <alignment vertical="top"/>
    </xf>
    <xf numFmtId="171" fontId="37" fillId="0" borderId="0" xfId="0" applyFont="1" applyBorder="1" applyAlignment="1">
      <alignment vertical="center"/>
    </xf>
    <xf numFmtId="171" fontId="4" fillId="0" borderId="9" xfId="0" applyFont="1" applyBorder="1">
      <alignment vertical="top"/>
    </xf>
    <xf numFmtId="171" fontId="4" fillId="0" borderId="0" xfId="0" applyFont="1" applyAlignment="1">
      <alignment horizontal="right" vertical="top"/>
    </xf>
    <xf numFmtId="172" fontId="16" fillId="0" borderId="0" xfId="1" applyFont="1" applyFill="1" applyBorder="1" applyAlignment="1">
      <alignment horizontal="center" vertical="top"/>
    </xf>
    <xf numFmtId="166" fontId="16" fillId="0" borderId="0" xfId="0" applyNumberFormat="1" applyFont="1" applyFill="1" applyBorder="1" applyAlignment="1">
      <alignment horizontal="left" vertical="center"/>
    </xf>
    <xf numFmtId="171" fontId="58" fillId="0" borderId="0" xfId="0" applyFont="1" applyFill="1" applyAlignment="1">
      <alignment vertical="center"/>
    </xf>
    <xf numFmtId="171" fontId="58" fillId="0" borderId="0" xfId="0" applyFont="1" applyBorder="1" applyAlignment="1">
      <alignment vertical="center"/>
    </xf>
    <xf numFmtId="171" fontId="62" fillId="0" borderId="0" xfId="0" applyFont="1" applyFill="1" applyBorder="1">
      <alignment vertical="top"/>
    </xf>
    <xf numFmtId="171" fontId="62" fillId="0" borderId="0" xfId="0" applyFont="1" applyFill="1" applyBorder="1" applyAlignment="1">
      <alignment vertical="center"/>
    </xf>
    <xf numFmtId="171" fontId="11" fillId="6" borderId="0" xfId="0" applyFont="1" applyFill="1" applyBorder="1" applyAlignment="1">
      <alignment vertical="center"/>
    </xf>
    <xf numFmtId="171" fontId="63" fillId="6" borderId="0" xfId="0" applyFont="1" applyFill="1" applyBorder="1" applyAlignment="1">
      <alignment vertical="center"/>
    </xf>
    <xf numFmtId="171" fontId="11" fillId="6" borderId="0" xfId="0" applyFont="1" applyFill="1" applyBorder="1" applyAlignment="1">
      <alignment horizontal="right" vertical="center"/>
    </xf>
    <xf numFmtId="171" fontId="11" fillId="0" borderId="0" xfId="0" applyFont="1" applyFill="1" applyBorder="1" applyAlignment="1">
      <alignment vertical="center"/>
    </xf>
    <xf numFmtId="171" fontId="63" fillId="0" borderId="0" xfId="0" applyFont="1" applyFill="1" applyBorder="1" applyAlignment="1">
      <alignment vertical="center"/>
    </xf>
    <xf numFmtId="171" fontId="11" fillId="0" borderId="0" xfId="0" applyFont="1" applyFill="1" applyBorder="1" applyAlignment="1">
      <alignment horizontal="right" vertical="center"/>
    </xf>
    <xf numFmtId="171" fontId="11" fillId="0" borderId="0" xfId="0" applyFont="1" applyFill="1" applyBorder="1">
      <alignment vertical="top"/>
    </xf>
    <xf numFmtId="171" fontId="16" fillId="0" borderId="0" xfId="0" applyFont="1" applyFill="1" applyBorder="1" applyAlignment="1">
      <alignment vertical="center"/>
    </xf>
    <xf numFmtId="171" fontId="25" fillId="0" borderId="0" xfId="0" applyFont="1" applyFill="1" applyBorder="1" applyAlignment="1">
      <alignment vertical="center"/>
    </xf>
    <xf numFmtId="171" fontId="39" fillId="0" borderId="0" xfId="0" applyFont="1" applyFill="1" applyBorder="1" applyAlignment="1">
      <alignment vertical="center"/>
    </xf>
    <xf numFmtId="171" fontId="16" fillId="0" borderId="0" xfId="0" applyFont="1" applyFill="1" applyBorder="1" applyAlignment="1">
      <alignment horizontal="right" vertical="center"/>
    </xf>
    <xf numFmtId="171" fontId="41" fillId="0" borderId="0" xfId="0" applyFont="1" applyAlignment="1">
      <alignment vertical="center"/>
    </xf>
    <xf numFmtId="171" fontId="64" fillId="0" borderId="0" xfId="0" applyFont="1" applyFill="1" applyAlignment="1">
      <alignment vertical="center"/>
    </xf>
    <xf numFmtId="171" fontId="41" fillId="0" borderId="0" xfId="0" applyFont="1" applyFill="1" applyBorder="1" applyAlignment="1">
      <alignment horizontal="right" vertical="center"/>
    </xf>
    <xf numFmtId="167" fontId="41" fillId="0" borderId="0" xfId="0" applyNumberFormat="1" applyFont="1" applyFill="1" applyBorder="1" applyAlignment="1">
      <alignment horizontal="right" vertical="center"/>
    </xf>
    <xf numFmtId="171" fontId="41" fillId="0" borderId="0" xfId="0" applyFont="1" applyFill="1" applyBorder="1">
      <alignment vertical="top"/>
    </xf>
    <xf numFmtId="171" fontId="54" fillId="0" borderId="0" xfId="0" applyFont="1" applyFill="1">
      <alignment vertical="top"/>
    </xf>
    <xf numFmtId="172" fontId="54" fillId="0" borderId="0" xfId="1" applyFont="1" applyFill="1">
      <alignment vertical="top"/>
    </xf>
    <xf numFmtId="171" fontId="41" fillId="0" borderId="0" xfId="0" applyFont="1" applyAlignment="1">
      <alignment vertical="center" wrapText="1"/>
    </xf>
    <xf numFmtId="172" fontId="41" fillId="0" borderId="0" xfId="1" applyFont="1" applyFill="1">
      <alignment vertical="top"/>
    </xf>
    <xf numFmtId="171" fontId="41" fillId="0" borderId="0" xfId="0" applyFont="1" applyFill="1" applyAlignment="1">
      <alignment vertical="center"/>
    </xf>
    <xf numFmtId="171" fontId="37" fillId="0" borderId="0" xfId="0" applyFont="1" applyFill="1">
      <alignment vertical="top"/>
    </xf>
    <xf numFmtId="171" fontId="4" fillId="0" borderId="11" xfId="0" applyFont="1" applyFill="1" applyBorder="1">
      <alignment vertical="top"/>
    </xf>
    <xf numFmtId="171" fontId="37" fillId="0" borderId="11" xfId="0" applyFont="1" applyFill="1" applyBorder="1">
      <alignment vertical="top"/>
    </xf>
    <xf numFmtId="171" fontId="9" fillId="0" borderId="0" xfId="0" applyFont="1" applyFill="1" applyBorder="1">
      <alignment vertical="top"/>
    </xf>
    <xf numFmtId="171" fontId="37" fillId="0" borderId="0" xfId="0" applyFont="1" applyFill="1" applyBorder="1">
      <alignment vertical="top"/>
    </xf>
    <xf numFmtId="171" fontId="39" fillId="0" borderId="0" xfId="0" applyFont="1" applyFill="1" applyBorder="1">
      <alignment vertical="top"/>
    </xf>
    <xf numFmtId="175" fontId="16" fillId="0" borderId="0" xfId="0" applyNumberFormat="1" applyFont="1" applyFill="1" applyBorder="1" applyAlignment="1">
      <alignment horizontal="right" vertical="top"/>
    </xf>
    <xf numFmtId="171" fontId="4" fillId="0" borderId="12" xfId="0" applyFont="1" applyFill="1" applyBorder="1">
      <alignment vertical="top"/>
    </xf>
    <xf numFmtId="171" fontId="37" fillId="0" borderId="12" xfId="0" applyFont="1" applyFill="1" applyBorder="1">
      <alignment vertical="top"/>
    </xf>
    <xf numFmtId="171" fontId="37" fillId="0" borderId="0" xfId="0" applyFont="1">
      <alignment vertical="top"/>
    </xf>
    <xf numFmtId="171" fontId="10" fillId="0" borderId="0" xfId="0" applyFont="1" applyAlignment="1">
      <alignment vertical="center"/>
    </xf>
    <xf numFmtId="171" fontId="54" fillId="0" borderId="0" xfId="0" applyFont="1" applyFill="1" applyBorder="1">
      <alignment vertical="top"/>
    </xf>
    <xf numFmtId="171" fontId="54" fillId="0" borderId="0" xfId="0" applyFont="1" applyFill="1" applyBorder="1" applyAlignment="1">
      <alignment horizontal="right" vertical="center"/>
    </xf>
    <xf numFmtId="171" fontId="54" fillId="0" borderId="0" xfId="0" applyFont="1" applyFill="1" applyBorder="1" applyAlignment="1">
      <alignment vertical="center"/>
    </xf>
    <xf numFmtId="172" fontId="54" fillId="0" borderId="0" xfId="1" applyFont="1" applyFill="1" applyBorder="1">
      <alignment vertical="top"/>
    </xf>
    <xf numFmtId="171" fontId="15" fillId="0" borderId="0" xfId="0" applyFont="1" applyFill="1" applyBorder="1" applyAlignment="1">
      <alignment vertical="center"/>
    </xf>
    <xf numFmtId="171" fontId="25" fillId="0" borderId="0" xfId="0" applyFont="1" applyFill="1" applyBorder="1" applyAlignment="1">
      <alignment horizontal="right" vertical="center"/>
    </xf>
    <xf numFmtId="171" fontId="64" fillId="0" borderId="0" xfId="0" applyFont="1" applyFill="1" applyBorder="1">
      <alignment vertical="top"/>
    </xf>
    <xf numFmtId="171" fontId="41" fillId="0" borderId="0" xfId="0" applyFont="1" applyFill="1" applyAlignment="1">
      <alignment horizontal="right" vertical="center"/>
    </xf>
    <xf numFmtId="171" fontId="16" fillId="0" borderId="0" xfId="0" applyFont="1" applyFill="1" applyAlignment="1">
      <alignment vertical="center"/>
    </xf>
    <xf numFmtId="171" fontId="39" fillId="0" borderId="0" xfId="0" applyFont="1" applyFill="1" applyAlignment="1">
      <alignment vertical="center"/>
    </xf>
    <xf numFmtId="167" fontId="16" fillId="0" borderId="0" xfId="0" applyNumberFormat="1" applyFont="1" applyFill="1" applyBorder="1" applyAlignment="1">
      <alignment horizontal="right" vertical="center"/>
    </xf>
    <xf numFmtId="172" fontId="16" fillId="0" borderId="0" xfId="1" applyFont="1" applyFill="1" applyBorder="1">
      <alignment vertical="top"/>
    </xf>
    <xf numFmtId="9" fontId="16" fillId="0" borderId="0" xfId="0" applyNumberFormat="1" applyFont="1" applyFill="1" applyBorder="1" applyAlignment="1">
      <alignment vertical="center"/>
    </xf>
    <xf numFmtId="166" fontId="16" fillId="0" borderId="0" xfId="0" applyNumberFormat="1" applyFont="1" applyFill="1" applyBorder="1" applyAlignment="1">
      <alignment vertical="center"/>
    </xf>
    <xf numFmtId="171" fontId="58" fillId="0" borderId="0" xfId="0" applyFont="1" applyFill="1">
      <alignment vertical="top"/>
    </xf>
    <xf numFmtId="171" fontId="16" fillId="0" borderId="0" xfId="0" applyFont="1" applyFill="1" applyBorder="1" applyAlignment="1">
      <alignment horizontal="right" vertical="top"/>
    </xf>
    <xf numFmtId="172" fontId="41" fillId="0" borderId="0" xfId="1" applyFont="1" applyFill="1" applyBorder="1">
      <alignment vertical="top"/>
    </xf>
    <xf numFmtId="171" fontId="16" fillId="0" borderId="11" xfId="0" applyFont="1" applyFill="1" applyBorder="1">
      <alignment vertical="top"/>
    </xf>
    <xf numFmtId="171" fontId="39" fillId="0" borderId="11" xfId="0" applyFont="1" applyFill="1" applyBorder="1">
      <alignment vertical="top"/>
    </xf>
    <xf numFmtId="171" fontId="16" fillId="0" borderId="11" xfId="0" applyFont="1" applyFill="1" applyBorder="1" applyAlignment="1">
      <alignment horizontal="right" vertical="top"/>
    </xf>
    <xf numFmtId="171" fontId="16" fillId="0" borderId="12" xfId="0" applyFont="1" applyFill="1" applyBorder="1">
      <alignment vertical="top"/>
    </xf>
    <xf numFmtId="171" fontId="39" fillId="0" borderId="12" xfId="0" applyFont="1" applyFill="1" applyBorder="1">
      <alignment vertical="top"/>
    </xf>
    <xf numFmtId="171" fontId="16" fillId="0" borderId="12" xfId="0" applyFont="1" applyFill="1" applyBorder="1" applyAlignment="1">
      <alignment horizontal="right" vertical="top"/>
    </xf>
    <xf numFmtId="171" fontId="16" fillId="7" borderId="12" xfId="0" applyFont="1" applyFill="1" applyBorder="1">
      <alignment vertical="top"/>
    </xf>
    <xf numFmtId="171" fontId="9" fillId="0" borderId="0" xfId="0" applyFont="1" applyFill="1" applyBorder="1" applyAlignment="1">
      <alignment vertical="center"/>
    </xf>
    <xf numFmtId="166" fontId="10" fillId="0" borderId="0" xfId="0" applyNumberFormat="1" applyFont="1" applyFill="1" applyBorder="1" applyAlignment="1">
      <alignment vertical="center"/>
    </xf>
    <xf numFmtId="167" fontId="39" fillId="0" borderId="0" xfId="0" applyNumberFormat="1" applyFont="1" applyFill="1" applyBorder="1" applyAlignment="1">
      <alignment vertical="center"/>
    </xf>
    <xf numFmtId="171" fontId="16" fillId="0" borderId="0" xfId="0" applyFont="1" applyAlignment="1">
      <alignment horizontal="right" vertical="center"/>
    </xf>
    <xf numFmtId="171" fontId="64" fillId="0" borderId="0" xfId="0" applyFont="1" applyFill="1">
      <alignment vertical="top"/>
    </xf>
    <xf numFmtId="166" fontId="54" fillId="0" borderId="0" xfId="0" applyNumberFormat="1" applyFont="1" applyFill="1" applyBorder="1">
      <alignment vertical="top"/>
    </xf>
    <xf numFmtId="171" fontId="54" fillId="0" borderId="0" xfId="0" applyFont="1" applyFill="1" applyBorder="1" applyAlignment="1">
      <alignment horizontal="right" vertical="top"/>
    </xf>
    <xf numFmtId="171" fontId="16" fillId="8" borderId="0" xfId="0" applyFont="1" applyFill="1">
      <alignment vertical="top"/>
    </xf>
    <xf numFmtId="171" fontId="17" fillId="0" borderId="0" xfId="0" applyFont="1" applyFill="1" applyAlignment="1">
      <alignment vertical="center"/>
    </xf>
    <xf numFmtId="167" fontId="37" fillId="0" borderId="0" xfId="0" applyNumberFormat="1" applyFont="1" applyFill="1" applyBorder="1" applyAlignment="1">
      <alignment horizontal="right" vertical="center"/>
    </xf>
    <xf numFmtId="171" fontId="58" fillId="0" borderId="11" xfId="0" applyFont="1" applyFill="1" applyBorder="1">
      <alignment vertical="top"/>
    </xf>
    <xf numFmtId="171" fontId="58" fillId="0" borderId="0" xfId="0" applyFont="1" applyFill="1" applyBorder="1">
      <alignment vertical="top"/>
    </xf>
    <xf numFmtId="171" fontId="58" fillId="0" borderId="12" xfId="0" applyFont="1" applyBorder="1">
      <alignment vertical="top"/>
    </xf>
    <xf numFmtId="171" fontId="37" fillId="0" borderId="12" xfId="0" applyFont="1" applyBorder="1">
      <alignment vertical="top"/>
    </xf>
    <xf numFmtId="171" fontId="58" fillId="0" borderId="11" xfId="0" applyFont="1" applyFill="1" applyBorder="1" applyAlignment="1">
      <alignment vertical="center"/>
    </xf>
    <xf numFmtId="171" fontId="37" fillId="0" borderId="11" xfId="0" applyFont="1" applyFill="1" applyBorder="1" applyAlignment="1">
      <alignment vertical="center"/>
    </xf>
    <xf numFmtId="171" fontId="58" fillId="0" borderId="0" xfId="0" applyFont="1" applyFill="1" applyBorder="1" applyAlignment="1">
      <alignment vertical="center"/>
    </xf>
    <xf numFmtId="171" fontId="37" fillId="0" borderId="0" xfId="0" applyFont="1" applyFill="1" applyBorder="1" applyAlignment="1">
      <alignment vertical="center"/>
    </xf>
    <xf numFmtId="171" fontId="58" fillId="0" borderId="12" xfId="0" applyFont="1" applyFill="1" applyBorder="1" applyAlignment="1">
      <alignment vertical="center"/>
    </xf>
    <xf numFmtId="171" fontId="37" fillId="0" borderId="12" xfId="0" applyFont="1" applyFill="1" applyBorder="1" applyAlignment="1">
      <alignment vertical="center"/>
    </xf>
    <xf numFmtId="166" fontId="9" fillId="0" borderId="0" xfId="0" applyNumberFormat="1" applyFont="1" applyFill="1" applyBorder="1" applyAlignment="1">
      <alignment vertical="center"/>
    </xf>
    <xf numFmtId="172" fontId="54" fillId="0" borderId="0" xfId="0" applyNumberFormat="1" applyFont="1" applyFill="1" applyBorder="1">
      <alignment vertical="top"/>
    </xf>
    <xf numFmtId="171" fontId="57" fillId="0" borderId="0" xfId="0" applyFont="1" applyFill="1">
      <alignment vertical="top"/>
    </xf>
    <xf numFmtId="171" fontId="67" fillId="0" borderId="0" xfId="0" applyFont="1" applyFill="1">
      <alignment vertical="top"/>
    </xf>
    <xf numFmtId="171" fontId="57" fillId="0" borderId="0" xfId="0" applyFont="1" applyFill="1" applyBorder="1" applyAlignment="1">
      <alignment horizontal="right" vertical="top"/>
    </xf>
    <xf numFmtId="171" fontId="57" fillId="0" borderId="0" xfId="0" applyFont="1" applyFill="1" applyBorder="1">
      <alignment vertical="top"/>
    </xf>
    <xf numFmtId="172" fontId="57" fillId="0" borderId="0" xfId="0" applyNumberFormat="1" applyFont="1" applyFill="1" applyBorder="1">
      <alignment vertical="top"/>
    </xf>
    <xf numFmtId="171" fontId="57" fillId="0" borderId="0" xfId="0" applyFont="1">
      <alignment vertical="top"/>
    </xf>
    <xf numFmtId="171" fontId="9" fillId="0" borderId="0" xfId="0" applyFont="1" applyFill="1" applyBorder="1" applyAlignment="1">
      <alignment horizontal="right" vertical="top"/>
    </xf>
    <xf numFmtId="171" fontId="64" fillId="0" borderId="0" xfId="0" applyFont="1">
      <alignment vertical="top"/>
    </xf>
    <xf numFmtId="171" fontId="54" fillId="0" borderId="0" xfId="0" applyFont="1" applyFill="1" applyAlignment="1">
      <alignment horizontal="right" vertical="top"/>
    </xf>
    <xf numFmtId="172" fontId="57" fillId="0" borderId="0" xfId="1" applyFont="1" applyFill="1" applyBorder="1">
      <alignment vertical="top"/>
    </xf>
    <xf numFmtId="172" fontId="54" fillId="0" borderId="0" xfId="1" applyFont="1" applyFill="1" applyBorder="1" applyAlignment="1">
      <alignment horizontal="right" vertical="top"/>
    </xf>
    <xf numFmtId="172" fontId="54" fillId="0" borderId="0" xfId="0" applyNumberFormat="1" applyFont="1" applyFill="1">
      <alignment vertical="top"/>
    </xf>
    <xf numFmtId="171" fontId="57" fillId="0" borderId="0" xfId="0" applyFont="1" applyAlignment="1">
      <alignment vertical="center"/>
    </xf>
    <xf numFmtId="171" fontId="67" fillId="0" borderId="0" xfId="0" applyFont="1" applyAlignment="1">
      <alignment vertical="center"/>
    </xf>
    <xf numFmtId="167" fontId="57" fillId="0" borderId="0" xfId="0" applyNumberFormat="1" applyFont="1" applyFill="1" applyBorder="1" applyAlignment="1">
      <alignment horizontal="right" vertical="center"/>
    </xf>
    <xf numFmtId="171" fontId="57" fillId="0" borderId="0" xfId="0" applyFont="1" applyFill="1" applyBorder="1" applyAlignment="1">
      <alignment vertical="center"/>
    </xf>
    <xf numFmtId="166" fontId="57" fillId="0" borderId="0" xfId="0" applyNumberFormat="1" applyFont="1" applyFill="1" applyBorder="1" applyAlignment="1">
      <alignment horizontal="left" vertical="center"/>
    </xf>
    <xf numFmtId="9" fontId="57" fillId="0" borderId="0" xfId="0" applyNumberFormat="1" applyFont="1" applyFill="1" applyBorder="1" applyAlignment="1">
      <alignment vertical="center"/>
    </xf>
    <xf numFmtId="166" fontId="57" fillId="0" borderId="0" xfId="0" applyNumberFormat="1" applyFont="1" applyFill="1" applyBorder="1" applyAlignment="1">
      <alignment vertical="center"/>
    </xf>
    <xf numFmtId="172" fontId="41" fillId="0" borderId="0" xfId="1" applyFont="1">
      <alignment vertical="top"/>
    </xf>
    <xf numFmtId="172" fontId="57" fillId="0" borderId="0" xfId="0" applyNumberFormat="1" applyFont="1" applyFill="1">
      <alignment vertical="top"/>
    </xf>
    <xf numFmtId="166" fontId="57" fillId="0" borderId="0" xfId="0" applyNumberFormat="1" applyFont="1" applyFill="1" applyBorder="1">
      <alignment vertical="top"/>
    </xf>
    <xf numFmtId="171" fontId="57" fillId="0" borderId="0" xfId="0" applyFont="1" applyFill="1" applyAlignment="1">
      <alignment vertical="center"/>
    </xf>
    <xf numFmtId="171" fontId="67" fillId="0" borderId="0" xfId="0" applyFont="1" applyFill="1" applyAlignment="1">
      <alignment vertical="center"/>
    </xf>
    <xf numFmtId="171" fontId="57" fillId="0" borderId="11" xfId="0" applyFont="1" applyBorder="1">
      <alignment vertical="top"/>
    </xf>
    <xf numFmtId="171" fontId="57" fillId="0" borderId="0" xfId="0" applyFont="1" applyBorder="1" applyAlignment="1">
      <alignment vertical="center"/>
    </xf>
    <xf numFmtId="171" fontId="67" fillId="0" borderId="0" xfId="0" applyFont="1" applyBorder="1" applyAlignment="1">
      <alignment vertical="center"/>
    </xf>
    <xf numFmtId="171" fontId="57" fillId="0" borderId="0" xfId="0" applyFont="1" applyBorder="1">
      <alignment vertical="top"/>
    </xf>
    <xf numFmtId="171" fontId="57" fillId="0" borderId="12" xfId="0" applyFont="1" applyBorder="1" applyAlignment="1">
      <alignment vertical="center"/>
    </xf>
    <xf numFmtId="171" fontId="67" fillId="0" borderId="12" xfId="0" applyFont="1" applyBorder="1" applyAlignment="1">
      <alignment vertical="center"/>
    </xf>
    <xf numFmtId="167" fontId="57" fillId="0" borderId="12" xfId="0" applyNumberFormat="1" applyFont="1" applyFill="1" applyBorder="1" applyAlignment="1">
      <alignment horizontal="right" vertical="center"/>
    </xf>
    <xf numFmtId="171" fontId="57" fillId="0" borderId="12" xfId="0" applyFont="1" applyFill="1" applyBorder="1">
      <alignment vertical="top"/>
    </xf>
    <xf numFmtId="171" fontId="57" fillId="15" borderId="12" xfId="0" applyFont="1" applyFill="1" applyBorder="1">
      <alignment vertical="top"/>
    </xf>
    <xf numFmtId="171" fontId="57" fillId="0" borderId="12" xfId="0" applyFont="1" applyBorder="1">
      <alignment vertical="top"/>
    </xf>
    <xf numFmtId="0" fontId="11" fillId="2" borderId="0" xfId="0" applyNumberFormat="1" applyFont="1" applyFill="1" applyBorder="1" applyAlignment="1">
      <alignment vertical="center"/>
    </xf>
    <xf numFmtId="0" fontId="63" fillId="2" borderId="0" xfId="0" applyNumberFormat="1" applyFont="1" applyFill="1" applyBorder="1" applyAlignment="1">
      <alignment vertical="center"/>
    </xf>
    <xf numFmtId="0" fontId="11" fillId="2" borderId="0" xfId="0" applyNumberFormat="1" applyFont="1" applyFill="1" applyBorder="1" applyAlignment="1">
      <alignment horizontal="right" vertical="center"/>
    </xf>
    <xf numFmtId="171" fontId="65" fillId="0" borderId="0" xfId="0" applyFont="1" applyAlignment="1">
      <alignment vertical="center"/>
    </xf>
    <xf numFmtId="171" fontId="10" fillId="0" borderId="0" xfId="0" applyFont="1" applyAlignment="1">
      <alignment horizontal="right" vertical="center"/>
    </xf>
    <xf numFmtId="171" fontId="16" fillId="0" borderId="0" xfId="0" applyFont="1" applyAlignment="1">
      <alignment vertical="center"/>
    </xf>
    <xf numFmtId="171" fontId="64" fillId="0" borderId="0" xfId="0" applyFont="1" applyAlignment="1">
      <alignment vertical="center"/>
    </xf>
    <xf numFmtId="171" fontId="41" fillId="0" borderId="0" xfId="0" applyFont="1" applyAlignment="1">
      <alignment horizontal="right" vertical="center"/>
    </xf>
    <xf numFmtId="171" fontId="58" fillId="0" borderId="0" xfId="0" applyFont="1">
      <alignment vertical="top"/>
    </xf>
    <xf numFmtId="171" fontId="37" fillId="0" borderId="0" xfId="0" applyFont="1" applyFill="1" applyBorder="1" applyAlignment="1">
      <alignment horizontal="center" vertical="center"/>
    </xf>
    <xf numFmtId="171" fontId="16" fillId="0" borderId="0" xfId="0" applyFont="1" applyFill="1" applyBorder="1" applyAlignment="1">
      <alignment horizontal="left" vertical="center"/>
    </xf>
    <xf numFmtId="171" fontId="44" fillId="0" borderId="0" xfId="0" applyFont="1">
      <alignment vertical="top"/>
    </xf>
    <xf numFmtId="0" fontId="25" fillId="0" borderId="0" xfId="0" applyNumberFormat="1" applyFont="1" applyFill="1" applyAlignment="1">
      <alignment vertical="center"/>
    </xf>
    <xf numFmtId="0" fontId="16" fillId="0" borderId="0" xfId="0" applyNumberFormat="1" applyFont="1" applyFill="1" applyAlignment="1">
      <alignment vertical="center"/>
    </xf>
    <xf numFmtId="0" fontId="4" fillId="0" borderId="0" xfId="0" applyNumberFormat="1" applyFont="1">
      <alignment vertical="top"/>
    </xf>
    <xf numFmtId="172" fontId="4" fillId="0" borderId="0" xfId="1" applyFont="1">
      <alignment vertical="top"/>
    </xf>
    <xf numFmtId="172" fontId="9" fillId="0" borderId="0" xfId="1" applyFont="1">
      <alignment vertical="top"/>
    </xf>
    <xf numFmtId="183" fontId="18" fillId="22" borderId="0" xfId="8" applyNumberFormat="1" applyFont="1" applyFill="1">
      <alignment vertical="top"/>
    </xf>
    <xf numFmtId="171" fontId="14" fillId="22" borderId="0" xfId="0" applyFont="1" applyFill="1">
      <alignment vertical="top"/>
    </xf>
    <xf numFmtId="0" fontId="28" fillId="0" borderId="0" xfId="0" applyNumberFormat="1" applyFont="1" applyFill="1" applyAlignment="1">
      <alignment vertical="center"/>
    </xf>
    <xf numFmtId="171" fontId="14" fillId="0" borderId="0" xfId="0" quotePrefix="1" applyFont="1" applyFill="1">
      <alignment vertical="top"/>
    </xf>
    <xf numFmtId="0" fontId="28" fillId="0" borderId="0" xfId="0" applyNumberFormat="1" applyFont="1" applyFill="1">
      <alignment vertical="top"/>
    </xf>
    <xf numFmtId="168" fontId="14" fillId="16" borderId="0" xfId="1" applyNumberFormat="1" applyFont="1" applyFill="1">
      <alignment vertical="top"/>
    </xf>
    <xf numFmtId="168" fontId="14" fillId="22" borderId="0" xfId="1" applyNumberFormat="1" applyFont="1" applyFill="1">
      <alignment vertical="top"/>
    </xf>
    <xf numFmtId="171" fontId="14" fillId="22" borderId="0" xfId="0" applyFont="1" applyFill="1" applyAlignment="1">
      <alignment horizontal="right" vertical="top"/>
    </xf>
    <xf numFmtId="171" fontId="18" fillId="22" borderId="0" xfId="0" applyFont="1" applyFill="1" applyAlignment="1">
      <alignment horizontal="right" vertical="top"/>
    </xf>
    <xf numFmtId="1" fontId="16" fillId="22" borderId="14" xfId="0" applyNumberFormat="1" applyFont="1" applyFill="1" applyBorder="1" applyAlignment="1">
      <alignment horizontal="right" vertical="top" wrapText="1"/>
    </xf>
    <xf numFmtId="172" fontId="16" fillId="22" borderId="0" xfId="1" applyFont="1" applyFill="1" applyBorder="1" applyAlignment="1">
      <alignment horizontal="right" vertical="center"/>
    </xf>
    <xf numFmtId="1" fontId="16" fillId="22" borderId="0" xfId="0" applyNumberFormat="1" applyFont="1" applyFill="1" applyBorder="1" applyAlignment="1">
      <alignment horizontal="right" vertical="center"/>
    </xf>
    <xf numFmtId="9" fontId="16" fillId="22" borderId="0" xfId="0" applyNumberFormat="1" applyFont="1" applyFill="1" applyBorder="1" applyAlignment="1">
      <alignment horizontal="right" vertical="center"/>
    </xf>
    <xf numFmtId="0" fontId="16" fillId="22" borderId="0" xfId="0" applyNumberFormat="1" applyFont="1" applyFill="1" applyBorder="1" applyAlignment="1">
      <alignment horizontal="right" vertical="center"/>
    </xf>
    <xf numFmtId="3" fontId="16" fillId="22" borderId="0" xfId="0" applyNumberFormat="1" applyFont="1" applyFill="1" applyBorder="1" applyAlignment="1">
      <alignment horizontal="right" vertical="center"/>
    </xf>
    <xf numFmtId="168" fontId="16" fillId="0" borderId="0" xfId="1" applyNumberFormat="1" applyFont="1" applyFill="1" applyBorder="1" applyAlignment="1">
      <alignment horizontal="right" vertical="center"/>
    </xf>
    <xf numFmtId="171" fontId="31" fillId="15" borderId="0" xfId="0" applyFont="1" applyFill="1">
      <alignment vertical="top"/>
    </xf>
    <xf numFmtId="171" fontId="14" fillId="19" borderId="0" xfId="0" applyFont="1" applyFill="1" applyBorder="1">
      <alignment vertical="top"/>
    </xf>
    <xf numFmtId="171" fontId="37" fillId="0" borderId="0" xfId="0" applyFont="1" applyBorder="1">
      <alignment vertical="top"/>
    </xf>
    <xf numFmtId="171" fontId="14" fillId="0" borderId="7" xfId="0" applyFont="1" applyBorder="1">
      <alignment vertical="top"/>
    </xf>
    <xf numFmtId="171" fontId="21" fillId="0" borderId="0" xfId="0" applyFont="1" applyFill="1">
      <alignment vertical="top"/>
    </xf>
    <xf numFmtId="172" fontId="28" fillId="0" borderId="0" xfId="1" applyFont="1" applyFill="1" applyBorder="1" applyAlignment="1">
      <alignment horizontal="right" vertical="top"/>
    </xf>
    <xf numFmtId="173" fontId="14" fillId="22" borderId="0" xfId="8" applyFont="1" applyFill="1" applyBorder="1">
      <alignment vertical="top"/>
    </xf>
    <xf numFmtId="173" fontId="28" fillId="0" borderId="0" xfId="8" applyFont="1" applyFill="1" applyBorder="1">
      <alignment vertical="top"/>
    </xf>
    <xf numFmtId="171" fontId="58" fillId="0" borderId="9" xfId="0" applyFont="1" applyBorder="1" applyAlignment="1">
      <alignment vertical="center"/>
    </xf>
    <xf numFmtId="171" fontId="37" fillId="0" borderId="9" xfId="0" applyFont="1" applyBorder="1" applyAlignment="1">
      <alignment vertical="center"/>
    </xf>
    <xf numFmtId="1" fontId="16" fillId="22" borderId="9" xfId="0" applyNumberFormat="1" applyFont="1" applyFill="1" applyBorder="1" applyAlignment="1">
      <alignment horizontal="right" vertical="center"/>
    </xf>
    <xf numFmtId="172" fontId="66" fillId="0" borderId="0" xfId="1" applyFont="1" applyFill="1" applyAlignment="1">
      <alignment horizontal="left" vertical="center"/>
    </xf>
    <xf numFmtId="171" fontId="66" fillId="0" borderId="0" xfId="0" applyFont="1" applyFill="1" applyAlignment="1">
      <alignment horizontal="left" vertical="top"/>
    </xf>
    <xf numFmtId="172" fontId="66" fillId="0" borderId="0" xfId="1" applyFont="1" applyAlignment="1">
      <alignment horizontal="left" vertical="center"/>
    </xf>
    <xf numFmtId="172" fontId="66" fillId="0" borderId="0" xfId="1" applyFont="1" applyBorder="1" applyAlignment="1">
      <alignment horizontal="left" vertical="center"/>
    </xf>
    <xf numFmtId="172" fontId="66" fillId="0" borderId="12" xfId="1" applyFont="1" applyBorder="1" applyAlignment="1">
      <alignment horizontal="left" vertical="center"/>
    </xf>
    <xf numFmtId="171" fontId="51" fillId="8" borderId="0" xfId="0" applyFont="1" applyFill="1" applyBorder="1" applyAlignment="1">
      <alignment horizontal="center" vertical="top"/>
    </xf>
    <xf numFmtId="171" fontId="51" fillId="8" borderId="13" xfId="0" applyFont="1" applyFill="1" applyBorder="1" applyAlignment="1">
      <alignment horizontal="center" vertical="top"/>
    </xf>
    <xf numFmtId="171" fontId="51" fillId="8" borderId="0" xfId="0" applyFont="1" applyFill="1" applyAlignment="1">
      <alignment horizontal="center" vertical="top"/>
    </xf>
    <xf numFmtId="171" fontId="48" fillId="6" borderId="0" xfId="0" applyFont="1" applyFill="1" applyAlignment="1">
      <alignment horizontal="center" vertical="top"/>
    </xf>
    <xf numFmtId="171" fontId="14" fillId="23" borderId="0" xfId="0" applyFont="1" applyFill="1">
      <alignment vertical="top"/>
    </xf>
    <xf numFmtId="171" fontId="21" fillId="23" borderId="0" xfId="0" applyFont="1" applyFill="1">
      <alignment vertical="top"/>
    </xf>
    <xf numFmtId="171" fontId="58" fillId="0" borderId="0" xfId="0" applyFont="1" applyBorder="1">
      <alignment vertical="top"/>
    </xf>
    <xf numFmtId="172" fontId="58" fillId="0" borderId="0" xfId="1" applyFont="1" applyFill="1">
      <alignment vertical="top"/>
    </xf>
    <xf numFmtId="172" fontId="37" fillId="0" borderId="0" xfId="1" applyFont="1" applyFill="1">
      <alignment vertical="top"/>
    </xf>
    <xf numFmtId="172" fontId="35" fillId="0" borderId="0" xfId="1" applyFont="1" applyFill="1" applyAlignment="1">
      <alignment vertical="center"/>
    </xf>
    <xf numFmtId="177" fontId="31" fillId="0" borderId="0" xfId="0" applyNumberFormat="1" applyFont="1" applyFill="1" applyBorder="1">
      <alignment vertical="top"/>
    </xf>
    <xf numFmtId="172" fontId="57" fillId="0" borderId="0" xfId="1" applyFont="1" applyFill="1">
      <alignment vertical="top"/>
    </xf>
    <xf numFmtId="172" fontId="66" fillId="0" borderId="0" xfId="1" applyFont="1" applyFill="1">
      <alignment vertical="top"/>
    </xf>
    <xf numFmtId="172" fontId="67" fillId="0" borderId="0" xfId="1" applyFont="1" applyFill="1">
      <alignment vertical="top"/>
    </xf>
    <xf numFmtId="172" fontId="57" fillId="0" borderId="0" xfId="1" applyFont="1">
      <alignment vertical="top"/>
    </xf>
    <xf numFmtId="178" fontId="14" fillId="17" borderId="0" xfId="1" applyNumberFormat="1" applyFont="1" applyFill="1">
      <alignment vertical="top"/>
    </xf>
    <xf numFmtId="171" fontId="14" fillId="16" borderId="0" xfId="0" applyFont="1" applyFill="1" applyAlignment="1">
      <alignment horizontal="right" vertical="top"/>
    </xf>
    <xf numFmtId="171" fontId="16" fillId="22" borderId="0" xfId="0" applyFont="1" applyFill="1" applyBorder="1" applyAlignment="1">
      <alignment horizontal="right" vertical="top"/>
    </xf>
    <xf numFmtId="172" fontId="54" fillId="0" borderId="0" xfId="0" applyNumberFormat="1" applyFont="1" applyFill="1" applyBorder="1" applyAlignment="1">
      <alignment horizontal="right" vertical="top"/>
    </xf>
    <xf numFmtId="182" fontId="31" fillId="0" borderId="0" xfId="9" applyFont="1" applyFill="1" applyBorder="1">
      <alignment vertical="top"/>
    </xf>
    <xf numFmtId="182" fontId="38" fillId="0" borderId="0" xfId="9" applyFont="1" applyFill="1" applyBorder="1">
      <alignment vertical="top"/>
    </xf>
    <xf numFmtId="182" fontId="31" fillId="0" borderId="0" xfId="9" applyFont="1">
      <alignment vertical="top"/>
    </xf>
    <xf numFmtId="182" fontId="34" fillId="0" borderId="0" xfId="9" applyFont="1">
      <alignment vertical="top"/>
    </xf>
    <xf numFmtId="182" fontId="20" fillId="0" borderId="0" xfId="9" applyFont="1">
      <alignment vertical="top"/>
    </xf>
    <xf numFmtId="182" fontId="19" fillId="0" borderId="0" xfId="9" applyFont="1">
      <alignment vertical="top"/>
    </xf>
    <xf numFmtId="182" fontId="18" fillId="0" borderId="0" xfId="9" applyFont="1" applyFill="1">
      <alignment vertical="top"/>
    </xf>
    <xf numFmtId="182" fontId="34" fillId="0" borderId="0" xfId="9" applyFont="1" applyFill="1">
      <alignment vertical="top"/>
    </xf>
    <xf numFmtId="182" fontId="14" fillId="7" borderId="0" xfId="9" applyFont="1" applyFill="1" applyBorder="1">
      <alignment vertical="top"/>
    </xf>
    <xf numFmtId="171" fontId="34" fillId="0" borderId="15" xfId="0" applyFont="1" applyFill="1" applyBorder="1" applyAlignment="1">
      <alignment vertical="center"/>
    </xf>
    <xf numFmtId="172" fontId="14" fillId="0" borderId="15" xfId="1" applyFont="1" applyFill="1" applyBorder="1" applyAlignment="1">
      <alignment vertical="center"/>
    </xf>
    <xf numFmtId="171" fontId="19" fillId="0" borderId="15" xfId="0" applyFont="1" applyFill="1" applyBorder="1" applyAlignment="1">
      <alignment vertical="center"/>
    </xf>
    <xf numFmtId="171" fontId="14" fillId="0" borderId="15" xfId="0" applyFont="1" applyFill="1" applyBorder="1" applyAlignment="1">
      <alignment horizontal="right" vertical="center"/>
    </xf>
    <xf numFmtId="171" fontId="14" fillId="0" borderId="15" xfId="0" applyFont="1" applyFill="1" applyBorder="1">
      <alignment vertical="top"/>
    </xf>
    <xf numFmtId="171" fontId="14" fillId="0" borderId="15" xfId="0" applyFont="1" applyFill="1" applyBorder="1" applyAlignment="1">
      <alignment vertical="center"/>
    </xf>
    <xf numFmtId="171" fontId="14" fillId="0" borderId="15" xfId="0" applyFont="1" applyBorder="1">
      <alignment vertical="top"/>
    </xf>
    <xf numFmtId="178" fontId="14" fillId="22" borderId="0" xfId="1" applyNumberFormat="1" applyFont="1" applyFill="1" applyBorder="1" applyAlignment="1">
      <alignment horizontal="right" vertical="top"/>
    </xf>
    <xf numFmtId="178" fontId="18" fillId="22" borderId="0" xfId="1" applyNumberFormat="1" applyFont="1" applyFill="1" applyBorder="1">
      <alignment vertical="top"/>
    </xf>
    <xf numFmtId="182" fontId="54" fillId="0" borderId="0" xfId="9" applyFont="1" applyFill="1">
      <alignment vertical="top"/>
    </xf>
    <xf numFmtId="182" fontId="54" fillId="0" borderId="0" xfId="9" applyFont="1" applyFill="1" applyAlignment="1">
      <alignment horizontal="right" vertical="top"/>
    </xf>
    <xf numFmtId="182" fontId="16" fillId="22" borderId="0" xfId="9" applyFont="1" applyFill="1" applyBorder="1" applyAlignment="1">
      <alignment horizontal="right" vertical="top"/>
    </xf>
    <xf numFmtId="182" fontId="41" fillId="0" borderId="0" xfId="9" applyFont="1" applyFill="1" applyAlignment="1">
      <alignment horizontal="right" vertical="top"/>
    </xf>
    <xf numFmtId="171" fontId="58" fillId="0" borderId="15" xfId="0" applyFont="1" applyBorder="1" applyAlignment="1">
      <alignment vertical="center"/>
    </xf>
    <xf numFmtId="171" fontId="37" fillId="0" borderId="15" xfId="0" applyFont="1" applyFill="1" applyBorder="1" applyAlignment="1">
      <alignment vertical="center"/>
    </xf>
    <xf numFmtId="171" fontId="9" fillId="0" borderId="15" xfId="0" applyFont="1" applyFill="1" applyBorder="1" applyAlignment="1">
      <alignment vertical="center"/>
    </xf>
    <xf numFmtId="171" fontId="4" fillId="0" borderId="15" xfId="0" applyFont="1" applyBorder="1">
      <alignment vertical="top"/>
    </xf>
    <xf numFmtId="171" fontId="10" fillId="0" borderId="15" xfId="0" applyFont="1" applyBorder="1" applyAlignment="1">
      <alignment vertical="center"/>
    </xf>
    <xf numFmtId="171" fontId="65" fillId="0" borderId="15" xfId="0" applyFont="1" applyFill="1" applyBorder="1" applyAlignment="1">
      <alignment vertical="center"/>
    </xf>
    <xf numFmtId="171" fontId="10" fillId="0" borderId="15" xfId="0" applyFont="1" applyFill="1" applyBorder="1" applyAlignment="1">
      <alignment horizontal="right" vertical="center"/>
    </xf>
    <xf numFmtId="171" fontId="10" fillId="0" borderId="15" xfId="0" applyFont="1" applyFill="1" applyBorder="1">
      <alignment vertical="top"/>
    </xf>
    <xf numFmtId="171" fontId="59" fillId="0" borderId="15" xfId="0" applyFont="1" applyFill="1" applyBorder="1" applyAlignment="1">
      <alignment vertical="center"/>
    </xf>
    <xf numFmtId="171" fontId="10" fillId="0" borderId="15" xfId="0" applyFont="1" applyFill="1" applyBorder="1" applyAlignment="1">
      <alignment vertical="center"/>
    </xf>
    <xf numFmtId="171" fontId="10" fillId="0" borderId="15" xfId="0" applyFont="1" applyBorder="1" applyAlignment="1">
      <alignment horizontal="right" vertical="center"/>
    </xf>
    <xf numFmtId="182" fontId="58" fillId="0" borderId="0" xfId="9" applyFont="1">
      <alignment vertical="top"/>
    </xf>
    <xf numFmtId="182" fontId="37" fillId="0" borderId="0" xfId="9" applyFont="1" applyFill="1">
      <alignment vertical="top"/>
    </xf>
    <xf numFmtId="182" fontId="16" fillId="0" borderId="0" xfId="9" applyFont="1" applyFill="1" applyBorder="1">
      <alignment vertical="top"/>
    </xf>
    <xf numFmtId="182" fontId="4" fillId="0" borderId="0" xfId="9" applyFont="1">
      <alignment vertical="top"/>
    </xf>
    <xf numFmtId="182" fontId="58" fillId="0" borderId="0" xfId="9" applyFont="1" applyFill="1">
      <alignment vertical="top"/>
    </xf>
    <xf numFmtId="171" fontId="58" fillId="0" borderId="15" xfId="0" applyFont="1" applyFill="1" applyBorder="1" applyAlignment="1">
      <alignment vertical="center"/>
    </xf>
    <xf numFmtId="172" fontId="14" fillId="0" borderId="0" xfId="1" applyFont="1" applyFill="1">
      <alignment vertical="top"/>
    </xf>
    <xf numFmtId="182" fontId="58" fillId="0" borderId="0" xfId="9" applyFont="1" applyBorder="1">
      <alignment vertical="top"/>
    </xf>
    <xf numFmtId="182" fontId="37" fillId="0" borderId="0" xfId="9" applyFont="1" applyBorder="1">
      <alignment vertical="top"/>
    </xf>
    <xf numFmtId="182" fontId="4" fillId="0" borderId="0" xfId="9" applyFont="1" applyBorder="1">
      <alignment vertical="top"/>
    </xf>
    <xf numFmtId="171" fontId="34" fillId="0" borderId="0" xfId="0" applyFont="1" applyFill="1">
      <alignment vertical="top"/>
    </xf>
    <xf numFmtId="171" fontId="14" fillId="0" borderId="0" xfId="0" applyFont="1" applyFill="1" applyBorder="1" applyAlignment="1">
      <alignment horizontal="right" vertical="top"/>
    </xf>
    <xf numFmtId="171" fontId="16" fillId="0" borderId="15" xfId="0" applyFont="1" applyFill="1" applyBorder="1">
      <alignment vertical="top"/>
    </xf>
    <xf numFmtId="171" fontId="39" fillId="0" borderId="15" xfId="0" applyFont="1" applyFill="1" applyBorder="1">
      <alignment vertical="top"/>
    </xf>
    <xf numFmtId="167" fontId="18" fillId="0" borderId="0" xfId="0" applyNumberFormat="1" applyFont="1" applyFill="1" applyBorder="1" applyAlignment="1">
      <alignment horizontal="right" vertical="center"/>
    </xf>
    <xf numFmtId="9" fontId="18" fillId="0" borderId="0" xfId="0" applyNumberFormat="1" applyFont="1" applyFill="1" applyBorder="1" applyAlignment="1">
      <alignment vertical="center"/>
    </xf>
    <xf numFmtId="9" fontId="14" fillId="0" borderId="0" xfId="0" applyNumberFormat="1" applyFont="1" applyFill="1" applyBorder="1" applyAlignment="1">
      <alignment vertical="center"/>
    </xf>
    <xf numFmtId="182" fontId="54" fillId="0" borderId="0" xfId="9" applyFont="1" applyFill="1" applyBorder="1">
      <alignment vertical="top"/>
    </xf>
    <xf numFmtId="171" fontId="58" fillId="0" borderId="15" xfId="0" applyFont="1" applyFill="1" applyBorder="1">
      <alignment vertical="top"/>
    </xf>
    <xf numFmtId="171" fontId="37" fillId="0" borderId="15" xfId="0" applyFont="1" applyFill="1" applyBorder="1">
      <alignment vertical="top"/>
    </xf>
    <xf numFmtId="171" fontId="37" fillId="0" borderId="15" xfId="0" applyFont="1" applyBorder="1">
      <alignment vertical="top"/>
    </xf>
    <xf numFmtId="171" fontId="14" fillId="24" borderId="0" xfId="0" applyFont="1" applyFill="1">
      <alignment vertical="top"/>
    </xf>
    <xf numFmtId="171" fontId="58" fillId="24" borderId="0" xfId="0" applyFont="1" applyFill="1">
      <alignment vertical="top"/>
    </xf>
    <xf numFmtId="171" fontId="37" fillId="24" borderId="0" xfId="0" applyFont="1" applyFill="1">
      <alignment vertical="top"/>
    </xf>
    <xf numFmtId="171" fontId="9" fillId="24" borderId="0" xfId="0" applyFont="1" applyFill="1" applyBorder="1" applyAlignment="1">
      <alignment horizontal="right" vertical="top"/>
    </xf>
    <xf numFmtId="171" fontId="4" fillId="24" borderId="0" xfId="0" applyFont="1" applyFill="1">
      <alignment vertical="top"/>
    </xf>
    <xf numFmtId="171" fontId="66" fillId="0" borderId="11" xfId="0" applyFont="1" applyBorder="1">
      <alignment vertical="top"/>
    </xf>
    <xf numFmtId="171" fontId="67" fillId="0" borderId="11" xfId="0" applyFont="1" applyBorder="1">
      <alignment vertical="top"/>
    </xf>
    <xf numFmtId="171" fontId="57" fillId="0" borderId="11" xfId="0" applyFont="1" applyFill="1" applyBorder="1">
      <alignment vertical="top"/>
    </xf>
    <xf numFmtId="171" fontId="57" fillId="0" borderId="11" xfId="0" applyFont="1" applyFill="1" applyBorder="1" applyAlignment="1">
      <alignment horizontal="right" vertical="top"/>
    </xf>
    <xf numFmtId="182" fontId="57" fillId="0" borderId="0" xfId="9" applyFont="1" applyFill="1" applyBorder="1" applyAlignment="1">
      <alignment horizontal="right" vertical="top"/>
    </xf>
    <xf numFmtId="171" fontId="65" fillId="0" borderId="15" xfId="0" applyFont="1" applyFill="1" applyBorder="1">
      <alignment vertical="top"/>
    </xf>
    <xf numFmtId="171" fontId="10" fillId="0" borderId="15" xfId="0" applyFont="1" applyFill="1" applyBorder="1" applyAlignment="1">
      <alignment horizontal="right" vertical="top"/>
    </xf>
    <xf numFmtId="171" fontId="10" fillId="0" borderId="15" xfId="0" applyFont="1" applyBorder="1">
      <alignment vertical="top"/>
    </xf>
    <xf numFmtId="172" fontId="18" fillId="5" borderId="0" xfId="1" applyFont="1" applyFill="1" applyBorder="1">
      <alignment vertical="top"/>
    </xf>
    <xf numFmtId="174" fontId="14" fillId="0" borderId="0" xfId="0" applyNumberFormat="1" applyFont="1">
      <alignment vertical="top"/>
    </xf>
    <xf numFmtId="167" fontId="61" fillId="7" borderId="0"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171" fontId="41" fillId="0" borderId="0" xfId="0" applyFont="1" applyFill="1" applyAlignment="1">
      <alignment horizontal="right" vertical="top"/>
    </xf>
    <xf numFmtId="171" fontId="12" fillId="14" borderId="0" xfId="0" applyFont="1" applyFill="1">
      <alignment vertical="top"/>
    </xf>
    <xf numFmtId="171" fontId="16" fillId="0" borderId="0" xfId="0" applyFont="1" applyFill="1" applyBorder="1" applyAlignment="1">
      <alignment horizontal="left" vertical="top"/>
    </xf>
    <xf numFmtId="171" fontId="16" fillId="5" borderId="0" xfId="0" applyFont="1" applyFill="1" applyBorder="1">
      <alignment vertical="top"/>
    </xf>
    <xf numFmtId="171" fontId="16" fillId="7" borderId="0" xfId="0" applyFont="1" applyFill="1" applyBorder="1">
      <alignment vertical="top"/>
    </xf>
    <xf numFmtId="171" fontId="16" fillId="3" borderId="0" xfId="0" applyFont="1" applyFill="1" applyBorder="1">
      <alignment vertical="top"/>
    </xf>
    <xf numFmtId="171" fontId="25" fillId="0" borderId="0" xfId="0" applyFont="1" applyBorder="1">
      <alignment vertical="top"/>
    </xf>
    <xf numFmtId="171" fontId="6" fillId="0" borderId="0" xfId="0" applyFont="1" applyBorder="1">
      <alignment vertical="top"/>
    </xf>
    <xf numFmtId="176" fontId="37" fillId="0" borderId="0" xfId="0" applyNumberFormat="1" applyFont="1" applyBorder="1" applyAlignment="1">
      <alignment vertical="center"/>
    </xf>
    <xf numFmtId="176" fontId="4" fillId="0" borderId="0" xfId="0" applyNumberFormat="1" applyFont="1">
      <alignment vertical="top"/>
    </xf>
    <xf numFmtId="176" fontId="16" fillId="0" borderId="0" xfId="0" applyNumberFormat="1" applyFont="1" applyFill="1" applyBorder="1" applyAlignment="1">
      <alignment horizontal="left" vertical="center"/>
    </xf>
    <xf numFmtId="178" fontId="58" fillId="0" borderId="9" xfId="0" applyNumberFormat="1" applyFont="1" applyBorder="1" applyAlignment="1">
      <alignment vertical="center"/>
    </xf>
    <xf numFmtId="178" fontId="37" fillId="0" borderId="9" xfId="0" applyNumberFormat="1" applyFont="1" applyBorder="1" applyAlignment="1">
      <alignment vertical="center"/>
    </xf>
    <xf numFmtId="178" fontId="4" fillId="0" borderId="9" xfId="0" applyNumberFormat="1" applyFont="1" applyBorder="1">
      <alignment vertical="top"/>
    </xf>
    <xf numFmtId="178" fontId="16" fillId="0" borderId="9" xfId="0" applyNumberFormat="1" applyFont="1" applyFill="1" applyBorder="1" applyAlignment="1">
      <alignment horizontal="left" vertical="center"/>
    </xf>
    <xf numFmtId="178" fontId="58" fillId="0" borderId="0" xfId="0" applyNumberFormat="1" applyFont="1" applyAlignment="1">
      <alignment vertical="center"/>
    </xf>
    <xf numFmtId="178" fontId="37" fillId="0" borderId="0" xfId="0" applyNumberFormat="1" applyFont="1" applyBorder="1" applyAlignment="1">
      <alignment vertical="center"/>
    </xf>
    <xf numFmtId="178" fontId="4" fillId="0" borderId="0" xfId="0" applyNumberFormat="1" applyFont="1">
      <alignment vertical="top"/>
    </xf>
    <xf numFmtId="178" fontId="16" fillId="0" borderId="0" xfId="0" applyNumberFormat="1" applyFont="1" applyFill="1" applyBorder="1" applyAlignment="1">
      <alignment horizontal="left" vertical="center"/>
    </xf>
    <xf numFmtId="178" fontId="4" fillId="0" borderId="0" xfId="0" applyNumberFormat="1" applyFont="1" applyBorder="1">
      <alignment vertical="top"/>
    </xf>
    <xf numFmtId="176" fontId="58" fillId="0" borderId="9" xfId="1" applyNumberFormat="1" applyFont="1" applyBorder="1">
      <alignment vertical="top"/>
    </xf>
    <xf numFmtId="176" fontId="37" fillId="0" borderId="9" xfId="1" applyNumberFormat="1" applyFont="1" applyBorder="1">
      <alignment vertical="top"/>
    </xf>
    <xf numFmtId="176" fontId="4" fillId="0" borderId="9" xfId="1" applyNumberFormat="1" applyFont="1" applyBorder="1">
      <alignment vertical="top"/>
    </xf>
    <xf numFmtId="176" fontId="16" fillId="0" borderId="9" xfId="1" applyNumberFormat="1" applyFont="1" applyFill="1" applyBorder="1">
      <alignment vertical="top"/>
    </xf>
    <xf numFmtId="178" fontId="58" fillId="0" borderId="0" xfId="1" applyNumberFormat="1" applyFont="1">
      <alignment vertical="top"/>
    </xf>
    <xf numFmtId="178" fontId="37" fillId="0" borderId="0" xfId="1" applyNumberFormat="1" applyFont="1" applyBorder="1">
      <alignment vertical="top"/>
    </xf>
    <xf numFmtId="178" fontId="16" fillId="0" borderId="0" xfId="1" applyNumberFormat="1" applyFont="1" applyFill="1" applyBorder="1">
      <alignment vertical="top"/>
    </xf>
    <xf numFmtId="178" fontId="4" fillId="0" borderId="0" xfId="1" applyNumberFormat="1" applyFont="1">
      <alignment vertical="top"/>
    </xf>
    <xf numFmtId="178" fontId="58" fillId="0" borderId="9" xfId="1" applyNumberFormat="1" applyFont="1" applyBorder="1">
      <alignment vertical="top"/>
    </xf>
    <xf numFmtId="178" fontId="37" fillId="0" borderId="9" xfId="1" applyNumberFormat="1" applyFont="1" applyBorder="1">
      <alignment vertical="top"/>
    </xf>
    <xf numFmtId="178" fontId="4" fillId="0" borderId="9" xfId="1" applyNumberFormat="1" applyFont="1" applyBorder="1">
      <alignment vertical="top"/>
    </xf>
    <xf numFmtId="178" fontId="16" fillId="0" borderId="9" xfId="1" applyNumberFormat="1" applyFont="1" applyFill="1" applyBorder="1">
      <alignment vertical="top"/>
    </xf>
    <xf numFmtId="176" fontId="58" fillId="0" borderId="0" xfId="0" applyNumberFormat="1" applyFont="1" applyFill="1" applyAlignment="1">
      <alignment vertical="center"/>
    </xf>
    <xf numFmtId="176" fontId="16" fillId="22" borderId="0" xfId="0" applyNumberFormat="1" applyFont="1" applyFill="1" applyBorder="1" applyAlignment="1">
      <alignment horizontal="right" vertical="center"/>
    </xf>
    <xf numFmtId="178" fontId="16" fillId="22" borderId="0" xfId="0" applyNumberFormat="1" applyFont="1" applyFill="1" applyBorder="1" applyAlignment="1">
      <alignment horizontal="right" vertical="center"/>
    </xf>
    <xf numFmtId="178" fontId="58" fillId="0" borderId="0" xfId="0" applyNumberFormat="1" applyFont="1" applyFill="1" applyBorder="1" applyAlignment="1">
      <alignment vertical="center"/>
    </xf>
    <xf numFmtId="171" fontId="28" fillId="17" borderId="0" xfId="0" applyFont="1" applyFill="1" applyAlignment="1">
      <alignment horizontal="left" vertical="top"/>
    </xf>
    <xf numFmtId="171" fontId="28" fillId="17" borderId="0" xfId="0" applyFont="1" applyFill="1" applyAlignment="1">
      <alignment horizontal="right" vertical="top"/>
    </xf>
    <xf numFmtId="171" fontId="45" fillId="17" borderId="0" xfId="0" applyFont="1" applyFill="1" applyAlignment="1">
      <alignment horizontal="right" vertical="top"/>
    </xf>
    <xf numFmtId="182" fontId="41" fillId="0" borderId="0" xfId="9" applyFont="1" applyFill="1" applyBorder="1">
      <alignment vertical="top"/>
    </xf>
    <xf numFmtId="173" fontId="41" fillId="0" borderId="0" xfId="8" applyFont="1" applyFill="1" applyBorder="1">
      <alignment vertical="top"/>
    </xf>
    <xf numFmtId="171" fontId="66" fillId="0" borderId="0" xfId="0" applyFont="1" applyFill="1" applyAlignment="1">
      <alignment horizontal="left" vertical="center"/>
    </xf>
    <xf numFmtId="9" fontId="54" fillId="0" borderId="0" xfId="0" applyNumberFormat="1" applyFont="1" applyFill="1" applyBorder="1" applyAlignment="1">
      <alignment horizontal="right" vertical="top"/>
    </xf>
    <xf numFmtId="171" fontId="41" fillId="0" borderId="0" xfId="0" applyFont="1" applyFill="1" applyBorder="1" applyAlignment="1">
      <alignment horizontal="right" vertical="top"/>
    </xf>
    <xf numFmtId="171" fontId="16" fillId="0" borderId="9" xfId="0" applyFont="1" applyFill="1" applyBorder="1" applyAlignment="1">
      <alignment horizontal="right" vertical="top"/>
    </xf>
    <xf numFmtId="172" fontId="16" fillId="0" borderId="0" xfId="1" applyFont="1" applyFill="1" applyBorder="1" applyAlignment="1">
      <alignment horizontal="right" vertical="top"/>
    </xf>
    <xf numFmtId="182" fontId="16" fillId="0" borderId="0" xfId="9" applyFont="1" applyFill="1" applyBorder="1" applyAlignment="1">
      <alignment horizontal="right" vertical="top"/>
    </xf>
    <xf numFmtId="178" fontId="16" fillId="0" borderId="0" xfId="1" applyNumberFormat="1" applyFont="1" applyFill="1" applyBorder="1" applyAlignment="1">
      <alignment horizontal="right" vertical="top"/>
    </xf>
    <xf numFmtId="178" fontId="16" fillId="0" borderId="9" xfId="1" applyNumberFormat="1" applyFont="1" applyFill="1" applyBorder="1" applyAlignment="1">
      <alignment horizontal="right" vertical="top"/>
    </xf>
    <xf numFmtId="176" fontId="16" fillId="0" borderId="9" xfId="1" applyNumberFormat="1" applyFont="1" applyFill="1" applyBorder="1" applyAlignment="1">
      <alignment horizontal="right" vertical="top"/>
    </xf>
    <xf numFmtId="172" fontId="16" fillId="0" borderId="0" xfId="1" applyFont="1" applyFill="1" applyBorder="1" applyAlignment="1">
      <alignment horizontal="right" vertical="center"/>
    </xf>
    <xf numFmtId="176" fontId="16" fillId="0" borderId="0" xfId="1" applyNumberFormat="1" applyFont="1" applyFill="1" applyBorder="1" applyAlignment="1">
      <alignment horizontal="right" vertical="center"/>
    </xf>
    <xf numFmtId="178" fontId="16" fillId="0" borderId="0" xfId="1" applyNumberFormat="1" applyFont="1" applyFill="1" applyBorder="1" applyAlignment="1">
      <alignment horizontal="right" vertical="center"/>
    </xf>
    <xf numFmtId="171" fontId="9" fillId="0" borderId="0" xfId="0" applyFont="1" applyFill="1" applyBorder="1" applyAlignment="1">
      <alignment horizontal="right" vertical="center"/>
    </xf>
    <xf numFmtId="182" fontId="54" fillId="0" borderId="0" xfId="9" applyFont="1" applyFill="1" applyBorder="1" applyAlignment="1">
      <alignment horizontal="right" vertical="top"/>
    </xf>
    <xf numFmtId="171" fontId="41" fillId="0" borderId="0" xfId="0" applyFont="1" applyBorder="1" applyAlignment="1">
      <alignment horizontal="right" vertical="top"/>
    </xf>
    <xf numFmtId="172" fontId="45" fillId="0" borderId="0" xfId="1" applyFont="1" applyFill="1" applyAlignment="1">
      <alignment vertical="center"/>
    </xf>
    <xf numFmtId="3" fontId="45" fillId="0" borderId="0" xfId="0" applyNumberFormat="1" applyFont="1" applyFill="1" applyBorder="1" applyAlignment="1">
      <alignment vertical="center"/>
    </xf>
    <xf numFmtId="171" fontId="14" fillId="16" borderId="0" xfId="0" quotePrefix="1" applyFont="1" applyFill="1" applyAlignment="1">
      <alignment horizontal="left" vertical="top" wrapText="1"/>
    </xf>
    <xf numFmtId="171" fontId="14" fillId="5" borderId="0" xfId="0" applyFont="1" applyFill="1" applyAlignment="1">
      <alignment horizontal="left" vertical="top" wrapText="1"/>
    </xf>
    <xf numFmtId="171" fontId="48" fillId="0" borderId="0" xfId="0" applyFont="1" applyFill="1" applyAlignment="1">
      <alignment horizontal="right" vertical="top"/>
    </xf>
    <xf numFmtId="171" fontId="48" fillId="0" borderId="0" xfId="0" applyFont="1" applyFill="1">
      <alignment vertical="top"/>
    </xf>
    <xf numFmtId="171" fontId="68" fillId="0" borderId="0" xfId="0" applyFont="1" applyFill="1">
      <alignment vertical="top"/>
    </xf>
    <xf numFmtId="171" fontId="14" fillId="0" borderId="0" xfId="0" applyFont="1" applyAlignment="1"/>
    <xf numFmtId="178" fontId="16" fillId="22" borderId="0" xfId="1" applyNumberFormat="1" applyFont="1" applyFill="1" applyBorder="1" applyAlignment="1">
      <alignment horizontal="right" vertical="top"/>
    </xf>
    <xf numFmtId="178" fontId="16" fillId="22" borderId="9" xfId="1" applyNumberFormat="1" applyFont="1" applyFill="1" applyBorder="1" applyAlignment="1">
      <alignment horizontal="right" vertical="top"/>
    </xf>
    <xf numFmtId="176" fontId="16" fillId="22" borderId="9" xfId="1" applyNumberFormat="1" applyFont="1" applyFill="1" applyBorder="1" applyAlignment="1">
      <alignment horizontal="right" vertical="top"/>
    </xf>
    <xf numFmtId="176" fontId="16" fillId="22" borderId="0" xfId="1" applyNumberFormat="1" applyFont="1" applyFill="1" applyBorder="1" applyAlignment="1">
      <alignment horizontal="right" vertical="top"/>
    </xf>
    <xf numFmtId="171" fontId="69" fillId="0" borderId="0" xfId="0" applyFont="1">
      <alignment vertical="top"/>
    </xf>
    <xf numFmtId="171" fontId="66" fillId="0" borderId="0" xfId="0" applyFont="1" applyAlignment="1">
      <alignment horizontal="left" vertical="center"/>
    </xf>
    <xf numFmtId="0" fontId="66" fillId="0" borderId="0" xfId="0" applyNumberFormat="1" applyFont="1" applyFill="1" applyBorder="1" applyAlignment="1">
      <alignment horizontal="left" vertical="center"/>
    </xf>
    <xf numFmtId="171" fontId="66" fillId="6" borderId="0" xfId="0" applyFont="1" applyFill="1" applyAlignment="1">
      <alignment horizontal="left" vertical="center"/>
    </xf>
    <xf numFmtId="171" fontId="66" fillId="0" borderId="0" xfId="0" applyFont="1" applyFill="1" applyBorder="1" applyAlignment="1">
      <alignment horizontal="left" vertical="center"/>
    </xf>
    <xf numFmtId="171" fontId="66" fillId="7" borderId="0" xfId="0" applyFont="1" applyFill="1" applyAlignment="1">
      <alignment horizontal="left" vertical="center"/>
    </xf>
    <xf numFmtId="171" fontId="66" fillId="0" borderId="0" xfId="0" applyFont="1" applyBorder="1" applyAlignment="1">
      <alignment horizontal="left" vertical="center"/>
    </xf>
    <xf numFmtId="171" fontId="66" fillId="0" borderId="9" xfId="0" applyFont="1" applyBorder="1" applyAlignment="1">
      <alignment horizontal="left" vertical="center"/>
    </xf>
    <xf numFmtId="171" fontId="66" fillId="0" borderId="0" xfId="0" applyFont="1" applyBorder="1">
      <alignment vertical="top"/>
    </xf>
    <xf numFmtId="182" fontId="66" fillId="0" borderId="0" xfId="9" applyFont="1" applyBorder="1">
      <alignment vertical="top"/>
    </xf>
    <xf numFmtId="178" fontId="66" fillId="0" borderId="0" xfId="0" applyNumberFormat="1" applyFont="1" applyBorder="1" applyAlignment="1">
      <alignment horizontal="left" vertical="center"/>
    </xf>
    <xf numFmtId="178" fontId="66" fillId="0" borderId="9" xfId="0" applyNumberFormat="1" applyFont="1" applyBorder="1" applyAlignment="1">
      <alignment horizontal="left" vertical="center"/>
    </xf>
    <xf numFmtId="176" fontId="66" fillId="0" borderId="9" xfId="1" applyNumberFormat="1" applyFont="1" applyBorder="1" applyAlignment="1">
      <alignment horizontal="left" vertical="top"/>
    </xf>
    <xf numFmtId="178" fontId="66" fillId="0" borderId="0" xfId="1" applyNumberFormat="1" applyFont="1" applyBorder="1" applyAlignment="1">
      <alignment horizontal="left" vertical="top"/>
    </xf>
    <xf numFmtId="178" fontId="66" fillId="0" borderId="9" xfId="1" applyNumberFormat="1" applyFont="1" applyBorder="1" applyAlignment="1">
      <alignment horizontal="left" vertical="top"/>
    </xf>
    <xf numFmtId="176" fontId="66" fillId="0" borderId="0" xfId="0" applyNumberFormat="1" applyFont="1" applyBorder="1" applyAlignment="1">
      <alignment horizontal="left" vertical="center"/>
    </xf>
    <xf numFmtId="171" fontId="66" fillId="6" borderId="0" xfId="0" applyFont="1" applyFill="1" applyBorder="1" applyAlignment="1">
      <alignment horizontal="left" vertical="center"/>
    </xf>
    <xf numFmtId="171" fontId="66" fillId="0" borderId="11" xfId="0" applyFont="1" applyFill="1" applyBorder="1" applyAlignment="1">
      <alignment horizontal="left" vertical="top"/>
    </xf>
    <xf numFmtId="171" fontId="66" fillId="0" borderId="0" xfId="0" applyFont="1" applyFill="1" applyBorder="1" applyAlignment="1">
      <alignment horizontal="left" vertical="top"/>
    </xf>
    <xf numFmtId="171" fontId="66" fillId="0" borderId="12" xfId="0" applyFont="1" applyFill="1" applyBorder="1" applyAlignment="1">
      <alignment horizontal="left" vertical="top"/>
    </xf>
    <xf numFmtId="171" fontId="66" fillId="0" borderId="0" xfId="0" applyFont="1" applyAlignment="1">
      <alignment horizontal="left" vertical="top"/>
    </xf>
    <xf numFmtId="171" fontId="55" fillId="0" borderId="0" xfId="0" applyFont="1">
      <alignment vertical="top"/>
    </xf>
    <xf numFmtId="171" fontId="66" fillId="0" borderId="15" xfId="0" applyFont="1" applyFill="1" applyBorder="1" applyAlignment="1">
      <alignment horizontal="left" vertical="center"/>
    </xf>
    <xf numFmtId="182" fontId="66" fillId="0" borderId="0" xfId="9" applyFont="1" applyFill="1">
      <alignment vertical="top"/>
    </xf>
    <xf numFmtId="171" fontId="66" fillId="0" borderId="0" xfId="0" applyFont="1" applyFill="1">
      <alignment vertical="top"/>
    </xf>
    <xf numFmtId="171" fontId="55" fillId="0" borderId="0" xfId="0" applyFont="1" applyFill="1">
      <alignment vertical="top"/>
    </xf>
    <xf numFmtId="171" fontId="66" fillId="0" borderId="15" xfId="0" applyFont="1" applyFill="1" applyBorder="1" applyAlignment="1">
      <alignment horizontal="left" vertical="top"/>
    </xf>
    <xf numFmtId="172" fontId="66" fillId="0" borderId="15" xfId="1" applyFont="1" applyFill="1" applyBorder="1" applyAlignment="1">
      <alignment horizontal="left" vertical="center"/>
    </xf>
    <xf numFmtId="171" fontId="66" fillId="0" borderId="15" xfId="0" applyFont="1" applyFill="1" applyBorder="1">
      <alignment vertical="top"/>
    </xf>
    <xf numFmtId="171" fontId="66" fillId="0" borderId="12" xfId="0" applyFont="1" applyBorder="1" applyAlignment="1">
      <alignment horizontal="left" vertical="top"/>
    </xf>
    <xf numFmtId="172" fontId="66" fillId="0" borderId="11" xfId="1" applyFont="1" applyFill="1" applyBorder="1" applyAlignment="1">
      <alignment horizontal="left" vertical="center"/>
    </xf>
    <xf numFmtId="172" fontId="66" fillId="0" borderId="0" xfId="1" applyFont="1" applyFill="1" applyBorder="1" applyAlignment="1">
      <alignment horizontal="left" vertical="center"/>
    </xf>
    <xf numFmtId="172" fontId="66" fillId="0" borderId="12" xfId="1" applyFont="1" applyFill="1" applyBorder="1" applyAlignment="1">
      <alignment horizontal="left" vertical="center"/>
    </xf>
    <xf numFmtId="171" fontId="66" fillId="24" borderId="0" xfId="0" applyFont="1" applyFill="1" applyAlignment="1">
      <alignment horizontal="left" vertical="top"/>
    </xf>
    <xf numFmtId="171" fontId="66" fillId="0" borderId="15" xfId="0" applyFont="1" applyBorder="1" applyAlignment="1">
      <alignment horizontal="left" vertical="top"/>
    </xf>
    <xf numFmtId="0" fontId="66" fillId="2" borderId="0" xfId="0" applyNumberFormat="1" applyFont="1" applyFill="1" applyBorder="1" applyAlignment="1">
      <alignment horizontal="left" vertical="center"/>
    </xf>
    <xf numFmtId="171" fontId="66" fillId="7" borderId="0" xfId="0" applyFont="1" applyFill="1" applyAlignment="1">
      <alignment horizontal="left" vertical="top"/>
    </xf>
    <xf numFmtId="172" fontId="66" fillId="0" borderId="0" xfId="1" applyFont="1">
      <alignment vertical="top"/>
    </xf>
    <xf numFmtId="172" fontId="37" fillId="0" borderId="0" xfId="1" applyFont="1">
      <alignment vertical="top"/>
    </xf>
    <xf numFmtId="172" fontId="57" fillId="0" borderId="15" xfId="1" applyFont="1" applyFill="1" applyBorder="1">
      <alignment vertical="top"/>
    </xf>
    <xf numFmtId="172" fontId="66" fillId="0" borderId="15" xfId="1" applyFont="1" applyFill="1" applyBorder="1">
      <alignment vertical="top"/>
    </xf>
    <xf numFmtId="172" fontId="67" fillId="0" borderId="15" xfId="1" applyFont="1" applyFill="1" applyBorder="1">
      <alignment vertical="top"/>
    </xf>
    <xf numFmtId="172" fontId="57" fillId="0" borderId="15" xfId="1" applyFont="1" applyBorder="1">
      <alignment vertical="top"/>
    </xf>
    <xf numFmtId="171" fontId="2" fillId="0" borderId="0" xfId="0" applyFont="1" applyFill="1" applyBorder="1">
      <alignment vertical="top"/>
    </xf>
    <xf numFmtId="171" fontId="70" fillId="0" borderId="0" xfId="0" applyFont="1" applyFill="1">
      <alignment vertical="top"/>
    </xf>
    <xf numFmtId="172" fontId="16" fillId="0" borderId="9" xfId="1" applyFont="1" applyFill="1" applyBorder="1" applyAlignment="1">
      <alignment horizontal="right" vertical="top"/>
    </xf>
    <xf numFmtId="172" fontId="16" fillId="22" borderId="9" xfId="1" applyFont="1" applyFill="1" applyBorder="1" applyAlignment="1">
      <alignment horizontal="right" vertical="center"/>
    </xf>
    <xf numFmtId="3" fontId="28" fillId="0" borderId="0" xfId="0" applyNumberFormat="1" applyFont="1" applyFill="1" applyBorder="1" applyAlignment="1">
      <alignment horizontal="left" vertical="center"/>
    </xf>
    <xf numFmtId="171" fontId="14" fillId="5" borderId="0" xfId="0" applyFont="1" applyFill="1" applyAlignment="1">
      <alignment horizontal="left" vertical="center"/>
    </xf>
    <xf numFmtId="171" fontId="34" fillId="0" borderId="0" xfId="0" applyFont="1" applyBorder="1">
      <alignment vertical="top"/>
    </xf>
    <xf numFmtId="171" fontId="20" fillId="0" borderId="0" xfId="0" applyFont="1" applyBorder="1" applyAlignment="1">
      <alignment horizontal="left" vertical="top"/>
    </xf>
    <xf numFmtId="171" fontId="19" fillId="0" borderId="0" xfId="0" applyFont="1" applyBorder="1" applyAlignment="1">
      <alignment horizontal="left" vertical="top"/>
    </xf>
    <xf numFmtId="172" fontId="18" fillId="0" borderId="0" xfId="1" applyFont="1" applyFill="1" applyBorder="1" applyAlignment="1">
      <alignment horizontal="right" vertical="top"/>
    </xf>
    <xf numFmtId="171" fontId="18" fillId="22" borderId="0" xfId="0" applyFont="1" applyFill="1" applyBorder="1">
      <alignment vertical="top"/>
    </xf>
    <xf numFmtId="172" fontId="34" fillId="0" borderId="0" xfId="1" applyFont="1" applyBorder="1">
      <alignment vertical="top"/>
    </xf>
    <xf numFmtId="172" fontId="20" fillId="0" borderId="0" xfId="1" applyFont="1" applyBorder="1">
      <alignment vertical="top"/>
    </xf>
    <xf numFmtId="172" fontId="19" fillId="0" borderId="0" xfId="1" applyFont="1" applyBorder="1">
      <alignment vertical="top"/>
    </xf>
    <xf numFmtId="172" fontId="14" fillId="0" borderId="0" xfId="1" applyFont="1" applyBorder="1">
      <alignment vertical="top"/>
    </xf>
    <xf numFmtId="172" fontId="18" fillId="0" borderId="0" xfId="1" applyFont="1" applyFill="1" applyBorder="1">
      <alignment vertical="top"/>
    </xf>
    <xf numFmtId="172" fontId="57" fillId="0" borderId="0" xfId="1" applyFont="1" applyBorder="1">
      <alignment vertical="top"/>
    </xf>
    <xf numFmtId="172" fontId="18" fillId="22" borderId="0" xfId="1" applyFont="1" applyFill="1" applyBorder="1">
      <alignment vertical="top"/>
    </xf>
    <xf numFmtId="182" fontId="34" fillId="0" borderId="0" xfId="9" applyFont="1" applyBorder="1">
      <alignment vertical="top"/>
    </xf>
    <xf numFmtId="182" fontId="20" fillId="0" borderId="0" xfId="9" applyFont="1" applyBorder="1">
      <alignment vertical="top"/>
    </xf>
    <xf numFmtId="182" fontId="19" fillId="0" borderId="0" xfId="9" applyFont="1" applyBorder="1">
      <alignment vertical="top"/>
    </xf>
    <xf numFmtId="182" fontId="14" fillId="0" borderId="0" xfId="9" applyFont="1" applyBorder="1">
      <alignment vertical="top"/>
    </xf>
    <xf numFmtId="182" fontId="57" fillId="0" borderId="0" xfId="9" applyFont="1" applyBorder="1">
      <alignment vertical="top"/>
    </xf>
    <xf numFmtId="182" fontId="18" fillId="22" borderId="0" xfId="9" applyFont="1" applyFill="1" applyBorder="1">
      <alignment vertical="top"/>
    </xf>
    <xf numFmtId="182" fontId="41" fillId="0" borderId="0" xfId="9" applyFont="1">
      <alignment vertical="top"/>
    </xf>
    <xf numFmtId="182" fontId="70" fillId="0" borderId="0" xfId="9" applyFont="1">
      <alignment vertical="top"/>
    </xf>
    <xf numFmtId="182" fontId="64" fillId="0" borderId="0" xfId="9" applyFont="1">
      <alignment vertical="top"/>
    </xf>
    <xf numFmtId="182" fontId="41" fillId="0" borderId="0" xfId="9" applyFont="1" applyBorder="1">
      <alignment vertical="top"/>
    </xf>
    <xf numFmtId="182" fontId="9" fillId="0" borderId="0" xfId="9" applyFont="1">
      <alignment vertical="top"/>
    </xf>
    <xf numFmtId="182" fontId="37" fillId="0" borderId="0" xfId="9" applyFont="1">
      <alignment vertical="top"/>
    </xf>
    <xf numFmtId="182" fontId="54" fillId="0" borderId="0" xfId="9" applyFont="1">
      <alignment vertical="top"/>
    </xf>
    <xf numFmtId="182" fontId="57" fillId="0" borderId="0" xfId="9" applyFont="1">
      <alignment vertical="top"/>
    </xf>
    <xf numFmtId="182" fontId="66" fillId="0" borderId="0" xfId="9" applyFont="1">
      <alignment vertical="top"/>
    </xf>
    <xf numFmtId="182" fontId="67" fillId="0" borderId="0" xfId="9" applyFont="1">
      <alignment vertical="top"/>
    </xf>
    <xf numFmtId="182" fontId="57" fillId="0" borderId="0" xfId="9" applyFont="1" applyAlignment="1">
      <alignment horizontal="right" vertical="top"/>
    </xf>
    <xf numFmtId="171" fontId="9" fillId="0" borderId="0" xfId="0" applyFont="1" applyFill="1">
      <alignment vertical="top"/>
    </xf>
    <xf numFmtId="173" fontId="41" fillId="0" borderId="0" xfId="8" applyFont="1">
      <alignment vertical="top"/>
    </xf>
    <xf numFmtId="173" fontId="70" fillId="0" borderId="0" xfId="8" applyFont="1">
      <alignment vertical="top"/>
    </xf>
    <xf numFmtId="173" fontId="64" fillId="0" borderId="0" xfId="8" applyFont="1">
      <alignment vertical="top"/>
    </xf>
    <xf numFmtId="173" fontId="41" fillId="0" borderId="0" xfId="8" applyFont="1" applyBorder="1">
      <alignment vertical="top"/>
    </xf>
    <xf numFmtId="173" fontId="41" fillId="0" borderId="0" xfId="8" applyFont="1" applyAlignment="1">
      <alignment horizontal="right" vertical="top"/>
    </xf>
    <xf numFmtId="173" fontId="57" fillId="0" borderId="0" xfId="8" applyFont="1">
      <alignment vertical="top"/>
    </xf>
    <xf numFmtId="173" fontId="66" fillId="0" borderId="0" xfId="8" applyFont="1">
      <alignment vertical="top"/>
    </xf>
    <xf numFmtId="173" fontId="67" fillId="0" borderId="0" xfId="8" applyFont="1">
      <alignment vertical="top"/>
    </xf>
    <xf numFmtId="173" fontId="57" fillId="0" borderId="0" xfId="8" applyFont="1" applyBorder="1">
      <alignment vertical="top"/>
    </xf>
    <xf numFmtId="173" fontId="9" fillId="0" borderId="0" xfId="8" applyFont="1">
      <alignment vertical="top"/>
    </xf>
    <xf numFmtId="173" fontId="37" fillId="0" borderId="0" xfId="8" applyFont="1">
      <alignment vertical="top"/>
    </xf>
    <xf numFmtId="173" fontId="2" fillId="0" borderId="0" xfId="8" applyFont="1" applyBorder="1">
      <alignment vertical="top"/>
    </xf>
    <xf numFmtId="173" fontId="9" fillId="0" borderId="0" xfId="8" applyFont="1" applyFill="1">
      <alignment vertical="top"/>
    </xf>
    <xf numFmtId="173" fontId="37" fillId="0" borderId="0" xfId="8" applyFont="1" applyFill="1">
      <alignment vertical="top"/>
    </xf>
    <xf numFmtId="173" fontId="2" fillId="0" borderId="0" xfId="8" applyFont="1" applyFill="1" applyBorder="1">
      <alignment vertical="top"/>
    </xf>
    <xf numFmtId="171" fontId="2" fillId="0" borderId="0" xfId="0" applyFont="1">
      <alignment vertical="top"/>
    </xf>
    <xf numFmtId="171" fontId="2" fillId="0" borderId="0" xfId="0" applyFont="1" applyBorder="1">
      <alignment vertical="top"/>
    </xf>
    <xf numFmtId="171" fontId="54" fillId="0" borderId="0" xfId="0" applyFont="1">
      <alignment vertical="top"/>
    </xf>
    <xf numFmtId="172" fontId="2" fillId="0" borderId="0" xfId="1" applyFont="1">
      <alignment vertical="top"/>
    </xf>
    <xf numFmtId="172" fontId="54" fillId="0" borderId="0" xfId="1" applyFont="1">
      <alignment vertical="top"/>
    </xf>
    <xf numFmtId="172" fontId="2" fillId="0" borderId="0" xfId="1" applyFont="1" applyBorder="1">
      <alignment vertical="top"/>
    </xf>
    <xf numFmtId="171" fontId="57" fillId="0" borderId="0" xfId="0" applyFont="1" applyFill="1" applyAlignment="1">
      <alignment horizontal="right" vertical="top"/>
    </xf>
    <xf numFmtId="177" fontId="9" fillId="0" borderId="0" xfId="8" applyNumberFormat="1" applyFont="1">
      <alignment vertical="top"/>
    </xf>
    <xf numFmtId="177" fontId="37" fillId="0" borderId="0" xfId="8" applyNumberFormat="1" applyFont="1">
      <alignment vertical="top"/>
    </xf>
    <xf numFmtId="177" fontId="2" fillId="0" borderId="0" xfId="8" applyNumberFormat="1" applyFont="1" applyBorder="1">
      <alignment vertical="top"/>
    </xf>
    <xf numFmtId="171" fontId="2" fillId="0" borderId="15" xfId="0" applyFont="1" applyBorder="1">
      <alignment vertical="top"/>
    </xf>
    <xf numFmtId="171" fontId="9" fillId="0" borderId="15" xfId="0" applyFont="1" applyBorder="1">
      <alignment vertical="top"/>
    </xf>
    <xf numFmtId="173" fontId="31" fillId="0" borderId="0" xfId="8" applyFont="1" applyFill="1">
      <alignment vertical="top"/>
    </xf>
    <xf numFmtId="173" fontId="38" fillId="0" borderId="0" xfId="8" applyFont="1" applyFill="1">
      <alignment vertical="top"/>
    </xf>
    <xf numFmtId="173" fontId="31" fillId="0" borderId="0" xfId="8" applyFont="1" applyFill="1" applyBorder="1">
      <alignment vertical="top"/>
    </xf>
    <xf numFmtId="173" fontId="31" fillId="7" borderId="0" xfId="8" applyFont="1" applyFill="1" applyBorder="1">
      <alignment vertical="top"/>
    </xf>
    <xf numFmtId="172" fontId="16" fillId="0" borderId="0" xfId="1" applyFont="1">
      <alignment vertical="top"/>
    </xf>
    <xf numFmtId="182" fontId="52" fillId="0" borderId="0" xfId="9" applyFont="1">
      <alignment vertical="top"/>
    </xf>
    <xf numFmtId="171" fontId="72" fillId="0" borderId="0" xfId="0" applyFont="1">
      <alignment vertical="top"/>
    </xf>
    <xf numFmtId="172" fontId="13" fillId="0" borderId="0" xfId="1" applyFont="1" applyFill="1" applyAlignment="1">
      <alignment vertical="center"/>
    </xf>
    <xf numFmtId="171" fontId="18" fillId="0" borderId="0" xfId="0" applyFont="1" applyFill="1" applyAlignment="1">
      <alignment horizontal="center" vertical="center"/>
    </xf>
    <xf numFmtId="166" fontId="18" fillId="0" borderId="0" xfId="0" applyNumberFormat="1" applyFont="1" applyFill="1" applyBorder="1" applyAlignment="1">
      <alignment horizontal="right" vertical="center"/>
    </xf>
    <xf numFmtId="172" fontId="18" fillId="0" borderId="0" xfId="1" applyFont="1" applyFill="1" applyBorder="1" applyAlignment="1">
      <alignment vertical="center"/>
    </xf>
    <xf numFmtId="171" fontId="33" fillId="0" borderId="0" xfId="0" applyFont="1" applyFill="1" applyBorder="1" applyAlignment="1">
      <alignment vertical="center"/>
    </xf>
    <xf numFmtId="171" fontId="14" fillId="15" borderId="0" xfId="0" applyFont="1" applyFill="1">
      <alignment vertical="top"/>
    </xf>
    <xf numFmtId="171" fontId="14" fillId="22" borderId="0" xfId="0" applyFont="1" applyFill="1" applyAlignment="1">
      <alignment vertical="center"/>
    </xf>
    <xf numFmtId="171" fontId="18" fillId="0" borderId="15" xfId="0" applyFont="1" applyFill="1" applyBorder="1" applyAlignment="1">
      <alignment vertical="center"/>
    </xf>
    <xf numFmtId="172" fontId="18" fillId="0" borderId="15" xfId="1" applyFont="1" applyFill="1" applyBorder="1" applyAlignment="1">
      <alignment vertical="center"/>
    </xf>
    <xf numFmtId="171" fontId="33" fillId="0" borderId="15" xfId="0" applyFont="1" applyFill="1" applyBorder="1" applyAlignment="1">
      <alignment vertical="center"/>
    </xf>
    <xf numFmtId="171" fontId="18" fillId="0" borderId="15" xfId="0" applyFont="1" applyFill="1" applyBorder="1" applyAlignment="1">
      <alignment horizontal="right" vertical="center"/>
    </xf>
    <xf numFmtId="171" fontId="18" fillId="0" borderId="15" xfId="0" applyFont="1" applyFill="1" applyBorder="1">
      <alignment vertical="top"/>
    </xf>
    <xf numFmtId="171" fontId="18" fillId="0" borderId="15" xfId="0" applyFont="1" applyBorder="1">
      <alignment vertical="top"/>
    </xf>
    <xf numFmtId="171" fontId="18" fillId="0" borderId="0" xfId="0" applyFont="1" applyBorder="1" applyAlignment="1">
      <alignment vertical="center"/>
    </xf>
    <xf numFmtId="172" fontId="18" fillId="0" borderId="0" xfId="1" applyFont="1" applyBorder="1" applyAlignment="1">
      <alignment vertical="center"/>
    </xf>
    <xf numFmtId="171" fontId="33" fillId="0" borderId="0" xfId="0" applyFont="1" applyBorder="1" applyAlignment="1">
      <alignment vertical="center"/>
    </xf>
    <xf numFmtId="169" fontId="18" fillId="0" borderId="0" xfId="0" applyNumberFormat="1" applyFont="1" applyFill="1" applyBorder="1" applyAlignment="1">
      <alignment horizontal="right" vertical="center"/>
    </xf>
    <xf numFmtId="0" fontId="72" fillId="0" borderId="0" xfId="0" applyNumberFormat="1" applyFont="1">
      <alignment vertical="top"/>
    </xf>
    <xf numFmtId="182" fontId="10" fillId="0" borderId="0" xfId="9" applyFont="1" applyFill="1" applyBorder="1">
      <alignment vertical="top"/>
    </xf>
    <xf numFmtId="182" fontId="18" fillId="0" borderId="0" xfId="0" applyNumberFormat="1" applyFont="1">
      <alignment vertical="top"/>
    </xf>
    <xf numFmtId="168" fontId="16" fillId="22" borderId="0" xfId="1" applyNumberFormat="1" applyFont="1" applyFill="1" applyBorder="1" applyAlignment="1">
      <alignment horizontal="right" vertical="center"/>
    </xf>
    <xf numFmtId="171" fontId="34" fillId="0" borderId="10" xfId="0" applyFont="1" applyBorder="1" applyAlignment="1">
      <alignment vertical="center"/>
    </xf>
    <xf numFmtId="171" fontId="20" fillId="0" borderId="10" xfId="0" applyFont="1" applyBorder="1" applyAlignment="1">
      <alignment horizontal="left" vertical="center"/>
    </xf>
    <xf numFmtId="171" fontId="19" fillId="0" borderId="10" xfId="0" applyFont="1" applyBorder="1" applyAlignment="1">
      <alignment horizontal="left" vertical="center"/>
    </xf>
    <xf numFmtId="171" fontId="14" fillId="0" borderId="10" xfId="0" applyFont="1" applyBorder="1" applyAlignment="1">
      <alignment vertical="center"/>
    </xf>
    <xf numFmtId="171" fontId="14" fillId="0" borderId="10" xfId="0" applyFont="1" applyBorder="1">
      <alignment vertical="top"/>
    </xf>
    <xf numFmtId="171" fontId="20" fillId="0" borderId="10" xfId="0" applyFont="1" applyFill="1" applyBorder="1" applyAlignment="1">
      <alignment horizontal="right" vertical="center"/>
    </xf>
    <xf numFmtId="171" fontId="14" fillId="0" borderId="10" xfId="0" applyFont="1" applyFill="1" applyBorder="1" applyAlignment="1">
      <alignment horizontal="left" vertical="center"/>
    </xf>
    <xf numFmtId="171" fontId="14" fillId="0" borderId="10" xfId="0" applyFont="1" applyBorder="1" applyAlignment="1">
      <alignment horizontal="right" vertical="center"/>
    </xf>
    <xf numFmtId="171" fontId="20" fillId="0" borderId="0" xfId="0" applyFont="1" applyBorder="1" applyAlignment="1">
      <alignment horizontal="left" vertical="center"/>
    </xf>
    <xf numFmtId="171" fontId="19" fillId="0" borderId="0" xfId="0" applyFont="1" applyBorder="1" applyAlignment="1">
      <alignment horizontal="left" vertical="center"/>
    </xf>
    <xf numFmtId="172" fontId="18" fillId="22" borderId="0" xfId="1" applyFont="1" applyFill="1" applyBorder="1" applyAlignment="1">
      <alignment horizontal="right" vertical="top"/>
    </xf>
    <xf numFmtId="171" fontId="20" fillId="0" borderId="0" xfId="0" applyFont="1" applyFill="1" applyBorder="1" applyAlignment="1">
      <alignment horizontal="left" vertical="center"/>
    </xf>
    <xf numFmtId="171" fontId="56" fillId="0" borderId="0" xfId="0" applyFont="1" applyFill="1" applyBorder="1" applyAlignment="1">
      <alignment horizontal="left" vertical="center"/>
    </xf>
    <xf numFmtId="171" fontId="45" fillId="0" borderId="0" xfId="0" applyFont="1" applyFill="1" applyAlignment="1">
      <alignment horizontal="right" vertical="top"/>
    </xf>
    <xf numFmtId="171" fontId="45" fillId="22" borderId="0" xfId="0" applyFont="1" applyFill="1" applyAlignment="1">
      <alignment horizontal="right" vertical="top"/>
    </xf>
    <xf numFmtId="171" fontId="20" fillId="6" borderId="0" xfId="0" applyFont="1" applyFill="1" applyBorder="1" applyAlignment="1">
      <alignment horizontal="left" vertical="center"/>
    </xf>
    <xf numFmtId="171" fontId="24" fillId="6" borderId="0" xfId="0" applyFont="1" applyFill="1" applyBorder="1" applyAlignment="1">
      <alignment horizontal="left" vertical="center"/>
    </xf>
    <xf numFmtId="171" fontId="20" fillId="0" borderId="0" xfId="0" applyFont="1" applyAlignment="1">
      <alignment horizontal="left" vertical="top"/>
    </xf>
    <xf numFmtId="171" fontId="19" fillId="0" borderId="0" xfId="0" applyFont="1" applyAlignment="1">
      <alignment horizontal="left" vertical="top"/>
    </xf>
    <xf numFmtId="182" fontId="28" fillId="0" borderId="0" xfId="9" applyFont="1">
      <alignment vertical="top"/>
    </xf>
    <xf numFmtId="171" fontId="73" fillId="0" borderId="0" xfId="0" applyFont="1" applyFill="1" applyBorder="1">
      <alignment vertical="top"/>
    </xf>
    <xf numFmtId="171" fontId="56" fillId="0" borderId="0" xfId="0" applyFont="1" applyAlignment="1">
      <alignment horizontal="left" vertical="top"/>
    </xf>
    <xf numFmtId="171" fontId="45" fillId="0" borderId="0" xfId="0" applyFont="1" applyAlignment="1">
      <alignment horizontal="right" vertical="top"/>
    </xf>
    <xf numFmtId="182" fontId="45" fillId="0" borderId="0" xfId="9" applyFont="1">
      <alignment vertical="top"/>
    </xf>
    <xf numFmtId="171" fontId="20" fillId="0" borderId="0" xfId="0" applyFont="1" applyFill="1" applyAlignment="1">
      <alignment horizontal="left" vertical="center"/>
    </xf>
    <xf numFmtId="171" fontId="74" fillId="0" borderId="0" xfId="0" applyFont="1" applyFill="1" applyAlignment="1">
      <alignment horizontal="left" vertical="center"/>
    </xf>
    <xf numFmtId="171" fontId="28" fillId="0" borderId="0" xfId="0" applyFont="1" applyFill="1" applyAlignment="1">
      <alignment horizontal="right" vertical="center"/>
    </xf>
    <xf numFmtId="172" fontId="73" fillId="0" borderId="0" xfId="1" applyFont="1" applyFill="1" applyBorder="1">
      <alignment vertical="top"/>
    </xf>
    <xf numFmtId="172" fontId="45" fillId="0" borderId="0" xfId="1" applyFont="1" applyFill="1" applyBorder="1">
      <alignment vertical="top"/>
    </xf>
    <xf numFmtId="171" fontId="45" fillId="0" borderId="15" xfId="0" applyFont="1" applyFill="1" applyBorder="1" applyAlignment="1">
      <alignment vertical="center"/>
    </xf>
    <xf numFmtId="171" fontId="20" fillId="0" borderId="15" xfId="0" applyFont="1" applyBorder="1" applyAlignment="1">
      <alignment horizontal="left" vertical="top"/>
    </xf>
    <xf numFmtId="171" fontId="56" fillId="0" borderId="15" xfId="0" applyFont="1" applyBorder="1" applyAlignment="1">
      <alignment horizontal="left" vertical="top"/>
    </xf>
    <xf numFmtId="171" fontId="45" fillId="0" borderId="15" xfId="0" applyFont="1" applyBorder="1" applyAlignment="1">
      <alignment horizontal="right" vertical="top"/>
    </xf>
    <xf numFmtId="172" fontId="45" fillId="0" borderId="15" xfId="1" applyFont="1" applyFill="1" applyBorder="1">
      <alignment vertical="top"/>
    </xf>
    <xf numFmtId="171" fontId="45" fillId="0" borderId="15" xfId="0" applyFont="1" applyBorder="1">
      <alignment vertical="top"/>
    </xf>
    <xf numFmtId="171" fontId="75" fillId="0" borderId="0" xfId="0" applyFont="1">
      <alignment vertical="top"/>
    </xf>
    <xf numFmtId="171" fontId="76" fillId="0" borderId="0" xfId="0" applyFont="1">
      <alignment vertical="top"/>
    </xf>
    <xf numFmtId="171" fontId="0" fillId="0" borderId="0" xfId="0" applyAlignment="1">
      <alignment horizontal="right" vertical="top"/>
    </xf>
    <xf numFmtId="171" fontId="37" fillId="0" borderId="0" xfId="0" applyFont="1" applyAlignment="1">
      <alignment horizontal="left" vertical="top"/>
    </xf>
    <xf numFmtId="167" fontId="61" fillId="0" borderId="10" xfId="0" applyNumberFormat="1" applyFont="1" applyFill="1" applyBorder="1" applyAlignment="1">
      <alignment horizontal="center" vertical="center"/>
    </xf>
    <xf numFmtId="171" fontId="21" fillId="6" borderId="0" xfId="0" applyFont="1" applyFill="1" applyAlignment="1">
      <alignment vertical="top" wrapText="1"/>
    </xf>
    <xf numFmtId="0" fontId="18" fillId="0" borderId="0" xfId="0" applyNumberFormat="1" applyFont="1" applyFill="1" applyBorder="1" applyAlignment="1">
      <alignment vertical="center"/>
    </xf>
    <xf numFmtId="0" fontId="14" fillId="0" borderId="0" xfId="0" applyNumberFormat="1" applyFont="1" applyBorder="1">
      <alignment vertical="top"/>
    </xf>
    <xf numFmtId="171" fontId="57" fillId="5" borderId="0" xfId="0" applyFont="1" applyFill="1" applyBorder="1" applyAlignment="1">
      <alignment horizontal="right" vertical="center"/>
    </xf>
    <xf numFmtId="171" fontId="57" fillId="5" borderId="0" xfId="8" applyNumberFormat="1" applyFont="1" applyFill="1" applyAlignment="1">
      <alignment horizontal="right" vertical="top"/>
    </xf>
    <xf numFmtId="171" fontId="45" fillId="5" borderId="0" xfId="9" applyNumberFormat="1" applyFont="1" applyFill="1" applyBorder="1" applyAlignment="1">
      <alignment horizontal="right" vertical="top"/>
    </xf>
    <xf numFmtId="171" fontId="57" fillId="5" borderId="0" xfId="0" applyFont="1" applyFill="1" applyBorder="1" applyAlignment="1">
      <alignment horizontal="right" vertical="top"/>
    </xf>
    <xf numFmtId="171" fontId="57" fillId="7" borderId="0" xfId="0" applyFont="1" applyFill="1">
      <alignment vertical="top"/>
    </xf>
    <xf numFmtId="171" fontId="10" fillId="0" borderId="0" xfId="0" applyFont="1" applyFill="1">
      <alignment vertical="top"/>
    </xf>
    <xf numFmtId="171" fontId="45" fillId="0" borderId="4" xfId="0" applyFont="1" applyFill="1" applyBorder="1" applyAlignment="1">
      <alignment vertical="center"/>
    </xf>
    <xf numFmtId="171" fontId="45" fillId="0" borderId="6" xfId="0" applyFont="1" applyFill="1" applyBorder="1" applyAlignment="1">
      <alignment vertical="center"/>
    </xf>
    <xf numFmtId="171" fontId="45" fillId="0" borderId="13" xfId="0" applyFont="1" applyBorder="1">
      <alignment vertical="top"/>
    </xf>
    <xf numFmtId="171" fontId="45" fillId="0" borderId="0" xfId="9" applyNumberFormat="1" applyFont="1" applyFill="1" applyBorder="1">
      <alignment vertical="top"/>
    </xf>
    <xf numFmtId="171" fontId="45" fillId="0" borderId="0" xfId="0" applyFont="1" applyFill="1" applyAlignment="1">
      <alignment horizontal="left" vertical="center"/>
    </xf>
    <xf numFmtId="171" fontId="57" fillId="0" borderId="0" xfId="0" applyFont="1" applyFill="1" applyBorder="1" applyAlignment="1">
      <alignment horizontal="left" vertical="center"/>
    </xf>
    <xf numFmtId="171" fontId="57" fillId="0" borderId="9" xfId="0" applyFont="1" applyFill="1" applyBorder="1" applyAlignment="1">
      <alignment horizontal="left" vertical="center"/>
    </xf>
    <xf numFmtId="171" fontId="45" fillId="5" borderId="0" xfId="0" applyFont="1" applyFill="1">
      <alignment vertical="top"/>
    </xf>
    <xf numFmtId="171" fontId="18" fillId="0" borderId="0" xfId="0" applyFont="1" applyFill="1" applyBorder="1" applyAlignment="1">
      <alignment horizontal="center" vertical="center"/>
    </xf>
    <xf numFmtId="172" fontId="18" fillId="0" borderId="0" xfId="1" applyFont="1" applyFill="1" applyBorder="1" applyAlignment="1">
      <alignment horizontal="center" vertical="center"/>
    </xf>
    <xf numFmtId="171" fontId="45" fillId="5" borderId="0" xfId="0" applyFont="1" applyFill="1" applyBorder="1" applyAlignment="1">
      <alignment horizontal="right" vertical="center"/>
    </xf>
    <xf numFmtId="171" fontId="18" fillId="8" borderId="0" xfId="0" applyFont="1" applyFill="1" applyAlignment="1">
      <alignment horizontal="center" vertical="center"/>
    </xf>
    <xf numFmtId="171" fontId="45" fillId="0" borderId="0" xfId="0" applyFont="1" applyFill="1">
      <alignment vertical="top"/>
    </xf>
    <xf numFmtId="171" fontId="45" fillId="0" borderId="0" xfId="0" applyFont="1" applyBorder="1" applyAlignment="1">
      <alignment vertical="center"/>
    </xf>
    <xf numFmtId="171" fontId="41" fillId="22" borderId="0" xfId="0" applyFont="1" applyFill="1">
      <alignment vertical="top"/>
    </xf>
    <xf numFmtId="171" fontId="57" fillId="22" borderId="0" xfId="0" applyFont="1" applyFill="1">
      <alignment vertical="top"/>
    </xf>
    <xf numFmtId="171" fontId="14" fillId="15" borderId="0" xfId="0" applyFont="1" applyFill="1" applyBorder="1">
      <alignment vertical="top"/>
    </xf>
    <xf numFmtId="171" fontId="71" fillId="0" borderId="0" xfId="5" applyNumberFormat="1" applyFont="1">
      <alignment vertical="top"/>
    </xf>
    <xf numFmtId="171" fontId="71" fillId="0" borderId="0" xfId="0" applyFont="1">
      <alignment vertical="top"/>
    </xf>
    <xf numFmtId="171" fontId="71" fillId="20" borderId="0" xfId="0" applyFont="1" applyFill="1" applyAlignment="1"/>
    <xf numFmtId="171" fontId="57" fillId="22" borderId="0" xfId="0" applyFont="1" applyFill="1" applyAlignment="1">
      <alignment horizontal="right" vertical="top"/>
    </xf>
    <xf numFmtId="171" fontId="57" fillId="0" borderId="9" xfId="0" applyFont="1" applyFill="1" applyBorder="1" applyAlignment="1">
      <alignment vertical="center"/>
    </xf>
    <xf numFmtId="0" fontId="14" fillId="22" borderId="0" xfId="0" applyNumberFormat="1" applyFont="1" applyFill="1" applyBorder="1" applyAlignment="1">
      <alignment vertical="top" wrapText="1"/>
    </xf>
    <xf numFmtId="166" fontId="24" fillId="2" borderId="0" xfId="0" applyNumberFormat="1" applyFont="1" applyFill="1" applyBorder="1" applyAlignment="1">
      <alignment vertical="center"/>
    </xf>
    <xf numFmtId="170" fontId="78" fillId="0" borderId="0" xfId="0" applyNumberFormat="1" applyFont="1" applyFill="1" applyBorder="1" applyAlignment="1">
      <alignment horizontal="left" vertical="center"/>
    </xf>
    <xf numFmtId="49" fontId="15" fillId="0" borderId="0" xfId="0" applyNumberFormat="1" applyFont="1" applyFill="1" applyAlignment="1">
      <alignment horizontal="right" vertical="top"/>
    </xf>
    <xf numFmtId="0" fontId="14" fillId="0" borderId="0" xfId="0" applyNumberFormat="1" applyFont="1" applyFill="1" applyBorder="1">
      <alignment vertical="top"/>
    </xf>
    <xf numFmtId="0" fontId="14" fillId="22" borderId="0" xfId="0" applyNumberFormat="1" applyFont="1" applyFill="1" applyBorder="1">
      <alignment vertical="top"/>
    </xf>
    <xf numFmtId="0" fontId="45" fillId="22" borderId="0" xfId="0" applyNumberFormat="1" applyFont="1" applyFill="1" applyBorder="1" applyAlignment="1">
      <alignment horizontal="left" vertical="center"/>
    </xf>
    <xf numFmtId="0" fontId="14" fillId="22" borderId="0" xfId="0" applyNumberFormat="1" applyFont="1" applyFill="1" applyBorder="1" applyAlignment="1">
      <alignment horizontal="left" vertical="center"/>
    </xf>
    <xf numFmtId="0" fontId="45" fillId="22" borderId="0" xfId="0" applyNumberFormat="1" applyFont="1" applyFill="1" applyAlignment="1">
      <alignment horizontal="left" vertical="center"/>
    </xf>
    <xf numFmtId="0" fontId="14" fillId="22" borderId="0" xfId="0" applyNumberFormat="1" applyFont="1" applyFill="1">
      <alignment vertical="top"/>
    </xf>
    <xf numFmtId="0" fontId="14" fillId="22" borderId="0" xfId="8" applyNumberFormat="1" applyFont="1" applyFill="1">
      <alignment vertical="top"/>
    </xf>
    <xf numFmtId="0" fontId="45" fillId="22" borderId="0" xfId="1" applyNumberFormat="1" applyFont="1" applyFill="1" applyAlignment="1">
      <alignment horizontal="left" vertical="center"/>
    </xf>
    <xf numFmtId="0" fontId="45" fillId="22" borderId="0" xfId="0" applyNumberFormat="1" applyFont="1" applyFill="1" applyAlignment="1">
      <alignment horizontal="left" vertical="top"/>
    </xf>
    <xf numFmtId="0" fontId="14" fillId="22" borderId="0" xfId="0" applyNumberFormat="1" applyFont="1" applyFill="1" applyAlignment="1">
      <alignment horizontal="left" vertical="top"/>
    </xf>
    <xf numFmtId="0" fontId="14" fillId="22" borderId="0" xfId="0" applyNumberFormat="1" applyFont="1" applyFill="1" applyBorder="1" applyAlignment="1">
      <alignment vertical="center"/>
    </xf>
    <xf numFmtId="0" fontId="16" fillId="22" borderId="0" xfId="0" applyNumberFormat="1" applyFont="1" applyFill="1" applyBorder="1" applyAlignment="1">
      <alignment horizontal="left" vertical="center"/>
    </xf>
    <xf numFmtId="0" fontId="45" fillId="22" borderId="0" xfId="0" applyNumberFormat="1" applyFont="1" applyFill="1" applyBorder="1">
      <alignment vertical="top"/>
    </xf>
    <xf numFmtId="0" fontId="14" fillId="22" borderId="0" xfId="0" applyNumberFormat="1" applyFont="1" applyFill="1" applyAlignment="1">
      <alignment vertical="center"/>
    </xf>
    <xf numFmtId="171" fontId="14" fillId="0" borderId="0" xfId="0" applyFont="1" applyBorder="1" applyAlignment="1">
      <alignment vertical="top" wrapText="1"/>
    </xf>
    <xf numFmtId="171" fontId="14" fillId="15" borderId="0" xfId="0" applyFont="1" applyFill="1" applyBorder="1" applyAlignment="1">
      <alignment vertical="top" wrapText="1"/>
    </xf>
    <xf numFmtId="0" fontId="14" fillId="0" borderId="0" xfId="0" applyNumberFormat="1" applyFont="1" applyFill="1" applyBorder="1" applyAlignment="1">
      <alignment vertical="top" wrapText="1"/>
    </xf>
    <xf numFmtId="0" fontId="18" fillId="5" borderId="0" xfId="0" applyNumberFormat="1" applyFont="1" applyFill="1" applyBorder="1" applyAlignment="1">
      <alignment horizontal="right" vertical="center"/>
    </xf>
    <xf numFmtId="0" fontId="18" fillId="5" borderId="0" xfId="0" applyNumberFormat="1" applyFont="1" applyFill="1" applyAlignment="1">
      <alignment horizontal="right" vertical="center"/>
    </xf>
    <xf numFmtId="182" fontId="20" fillId="0" borderId="0" xfId="9" applyFont="1" applyFill="1" applyBorder="1">
      <alignment vertical="top"/>
    </xf>
    <xf numFmtId="182" fontId="19" fillId="0" borderId="0" xfId="9" applyFont="1" applyFill="1" applyBorder="1">
      <alignment vertical="top"/>
    </xf>
    <xf numFmtId="171" fontId="18" fillId="22" borderId="0" xfId="0" applyFont="1" applyFill="1" applyAlignment="1">
      <alignment horizontal="left" vertical="center"/>
    </xf>
    <xf numFmtId="0" fontId="18" fillId="0" borderId="0" xfId="0" applyNumberFormat="1" applyFont="1">
      <alignment vertical="top"/>
    </xf>
    <xf numFmtId="0" fontId="25" fillId="0" borderId="0" xfId="0" applyNumberFormat="1" applyFont="1">
      <alignment vertical="top"/>
    </xf>
    <xf numFmtId="0" fontId="70" fillId="0" borderId="0" xfId="0" applyNumberFormat="1" applyFont="1">
      <alignment vertical="top"/>
    </xf>
    <xf numFmtId="0" fontId="25" fillId="0" borderId="0" xfId="0" applyNumberFormat="1" applyFont="1" applyFill="1">
      <alignment vertical="top"/>
    </xf>
    <xf numFmtId="0" fontId="16" fillId="0" borderId="0" xfId="0" applyNumberFormat="1" applyFont="1" applyBorder="1" applyAlignment="1">
      <alignment vertical="center"/>
    </xf>
    <xf numFmtId="0" fontId="15" fillId="0" borderId="0" xfId="0" applyNumberFormat="1" applyFont="1" applyBorder="1" applyAlignment="1">
      <alignment horizontal="left" vertical="center"/>
    </xf>
    <xf numFmtId="0" fontId="18" fillId="7" borderId="6" xfId="0" applyNumberFormat="1" applyFont="1" applyFill="1" applyBorder="1" applyAlignment="1">
      <alignment vertical="center"/>
    </xf>
    <xf numFmtId="0" fontId="13" fillId="0" borderId="4" xfId="0" applyNumberFormat="1" applyFont="1" applyBorder="1" applyAlignment="1">
      <alignment vertical="center"/>
    </xf>
    <xf numFmtId="0" fontId="18" fillId="0" borderId="0" xfId="0" applyNumberFormat="1" applyFont="1" applyAlignment="1">
      <alignment horizontal="right"/>
    </xf>
    <xf numFmtId="171" fontId="46" fillId="0" borderId="0" xfId="0" quotePrefix="1" applyFont="1" applyAlignment="1">
      <alignment horizontal="left" vertical="top"/>
    </xf>
    <xf numFmtId="0" fontId="18" fillId="0" borderId="0" xfId="0" applyNumberFormat="1" applyFont="1" applyAlignment="1">
      <alignment horizontal="right" vertical="top"/>
    </xf>
    <xf numFmtId="171" fontId="28" fillId="17" borderId="0" xfId="0" quotePrefix="1" applyFont="1" applyFill="1" applyBorder="1">
      <alignment vertical="top"/>
    </xf>
    <xf numFmtId="171" fontId="56" fillId="0" borderId="0" xfId="0" applyFont="1">
      <alignment vertical="top"/>
    </xf>
    <xf numFmtId="0" fontId="18" fillId="22" borderId="0" xfId="0" applyNumberFormat="1" applyFont="1" applyFill="1" applyBorder="1" applyAlignment="1">
      <alignment horizontal="right" vertical="top"/>
    </xf>
    <xf numFmtId="182" fontId="14" fillId="0" borderId="0" xfId="9" applyFont="1" applyFill="1">
      <alignment vertical="top"/>
    </xf>
    <xf numFmtId="0" fontId="40" fillId="0" borderId="0" xfId="0" applyNumberFormat="1" applyFont="1" applyFill="1" applyAlignment="1">
      <alignment vertical="center"/>
    </xf>
    <xf numFmtId="171" fontId="13" fillId="0" borderId="0" xfId="0" applyFont="1" applyFill="1">
      <alignment vertical="top"/>
    </xf>
    <xf numFmtId="171" fontId="40" fillId="0" borderId="0" xfId="0" applyFont="1" applyFill="1">
      <alignment vertical="top"/>
    </xf>
    <xf numFmtId="171" fontId="40" fillId="0" borderId="0" xfId="0" applyFont="1" applyFill="1" applyBorder="1" applyAlignment="1">
      <alignment vertical="center"/>
    </xf>
    <xf numFmtId="171" fontId="55" fillId="0" borderId="0" xfId="0" applyFont="1" applyFill="1" applyBorder="1" applyAlignment="1">
      <alignment vertical="center"/>
    </xf>
    <xf numFmtId="182" fontId="40" fillId="0" borderId="0" xfId="9" applyFont="1" applyFill="1">
      <alignment vertical="top"/>
    </xf>
    <xf numFmtId="171" fontId="40" fillId="0" borderId="0" xfId="0" applyFont="1" applyFill="1" applyAlignment="1">
      <alignment vertical="center"/>
    </xf>
    <xf numFmtId="182" fontId="20" fillId="0" borderId="0" xfId="9" applyFont="1" applyFill="1">
      <alignment vertical="top"/>
    </xf>
    <xf numFmtId="0" fontId="40" fillId="0" borderId="0" xfId="0" applyNumberFormat="1" applyFont="1" applyFill="1">
      <alignment vertical="top"/>
    </xf>
    <xf numFmtId="171" fontId="13" fillId="0" borderId="0" xfId="0" applyFont="1" applyFill="1" applyAlignment="1">
      <alignment vertical="center"/>
    </xf>
    <xf numFmtId="171" fontId="79" fillId="0" borderId="0" xfId="0" applyFont="1">
      <alignment vertical="top"/>
    </xf>
    <xf numFmtId="171" fontId="31" fillId="0" borderId="0" xfId="0" applyFont="1" applyFill="1" applyAlignment="1">
      <alignment horizontal="left" vertical="center"/>
    </xf>
    <xf numFmtId="171" fontId="66" fillId="0" borderId="0" xfId="0" applyFont="1" applyFill="1" applyBorder="1" applyAlignment="1">
      <alignment horizontal="center" vertical="center"/>
    </xf>
    <xf numFmtId="182" fontId="2" fillId="0" borderId="0" xfId="9" applyFont="1" applyBorder="1">
      <alignment vertical="top"/>
    </xf>
    <xf numFmtId="171" fontId="57" fillId="5" borderId="0" xfId="0" applyFont="1" applyFill="1" applyAlignment="1">
      <alignment horizontal="right" vertical="top"/>
    </xf>
    <xf numFmtId="171" fontId="66" fillId="0" borderId="0" xfId="0" applyFont="1" applyFill="1" applyAlignment="1">
      <alignment horizontal="center" vertical="center"/>
    </xf>
    <xf numFmtId="172" fontId="10" fillId="0" borderId="0" xfId="1" applyFont="1" applyFill="1" applyBorder="1">
      <alignment vertical="top"/>
    </xf>
    <xf numFmtId="170" fontId="13" fillId="0" borderId="0" xfId="0" applyNumberFormat="1" applyFont="1" applyFill="1" applyBorder="1" applyAlignment="1">
      <alignment horizontal="left" vertical="top"/>
    </xf>
    <xf numFmtId="49" fontId="0" fillId="0" borderId="0" xfId="0" applyNumberFormat="1">
      <alignment vertical="top"/>
    </xf>
    <xf numFmtId="49" fontId="77" fillId="0" borderId="0" xfId="0" applyNumberFormat="1" applyFont="1">
      <alignment vertical="top"/>
    </xf>
    <xf numFmtId="171" fontId="77" fillId="0" borderId="0" xfId="0" applyFont="1">
      <alignment vertical="top"/>
    </xf>
    <xf numFmtId="171" fontId="13" fillId="0" borderId="0" xfId="0" applyFont="1" applyFill="1" applyBorder="1" applyAlignment="1">
      <alignment horizontal="left" vertical="top"/>
    </xf>
    <xf numFmtId="171" fontId="13" fillId="0" borderId="0" xfId="0" applyFont="1" applyFill="1" applyBorder="1" applyAlignment="1">
      <alignment vertical="center"/>
    </xf>
    <xf numFmtId="171" fontId="80" fillId="0" borderId="0" xfId="0" applyFont="1">
      <alignment vertical="top"/>
    </xf>
    <xf numFmtId="171" fontId="41" fillId="8" borderId="0" xfId="0" applyFont="1" applyFill="1" applyBorder="1" applyAlignment="1">
      <alignment horizontal="center" vertical="top"/>
    </xf>
    <xf numFmtId="171" fontId="81" fillId="0" borderId="0" xfId="2" applyNumberFormat="1" applyFont="1" applyProtection="1">
      <alignment vertical="top"/>
    </xf>
    <xf numFmtId="171" fontId="11" fillId="6" borderId="0" xfId="0" applyFont="1" applyFill="1" applyAlignment="1">
      <alignment horizontal="right" vertical="top"/>
    </xf>
    <xf numFmtId="171" fontId="20" fillId="6" borderId="0" xfId="0" applyFont="1" applyFill="1">
      <alignment vertical="top"/>
    </xf>
    <xf numFmtId="171" fontId="24" fillId="6" borderId="0" xfId="2" applyNumberFormat="1" applyFont="1" applyFill="1" applyProtection="1">
      <alignment vertical="top"/>
    </xf>
    <xf numFmtId="171" fontId="18" fillId="0" borderId="0" xfId="0" applyFont="1" applyFill="1" applyAlignment="1">
      <alignment horizontal="center" vertical="top" wrapText="1"/>
    </xf>
    <xf numFmtId="171" fontId="21" fillId="6" borderId="0" xfId="0" applyFont="1" applyFill="1" applyAlignment="1">
      <alignment horizontal="center" vertical="top" wrapText="1"/>
    </xf>
    <xf numFmtId="171" fontId="41" fillId="0" borderId="3" xfId="0" applyFont="1" applyBorder="1" applyAlignment="1">
      <alignment vertical="center"/>
    </xf>
    <xf numFmtId="172" fontId="41" fillId="0" borderId="3" xfId="0" applyNumberFormat="1" applyFont="1" applyBorder="1" applyAlignment="1">
      <alignment vertical="center"/>
    </xf>
    <xf numFmtId="171" fontId="64" fillId="0" borderId="6" xfId="2" applyNumberFormat="1" applyFont="1" applyBorder="1" applyAlignment="1" applyProtection="1">
      <alignment vertical="center"/>
    </xf>
    <xf numFmtId="182" fontId="51" fillId="0" borderId="0" xfId="9" applyFont="1">
      <alignment vertical="top"/>
    </xf>
    <xf numFmtId="14" fontId="51" fillId="5" borderId="0" xfId="9" applyNumberFormat="1" applyFont="1" applyFill="1">
      <alignment vertical="top"/>
    </xf>
    <xf numFmtId="49" fontId="14" fillId="22" borderId="0" xfId="0" applyNumberFormat="1" applyFont="1" applyFill="1" applyBorder="1" applyAlignment="1">
      <alignment vertical="center"/>
    </xf>
    <xf numFmtId="49" fontId="14" fillId="22" borderId="0" xfId="0" applyNumberFormat="1" applyFont="1" applyFill="1" applyBorder="1" applyAlignment="1">
      <alignment vertical="center" wrapText="1"/>
    </xf>
    <xf numFmtId="171" fontId="18" fillId="22" borderId="0" xfId="0" applyFont="1" applyFill="1">
      <alignment vertical="top"/>
    </xf>
    <xf numFmtId="171" fontId="45" fillId="22" borderId="0" xfId="0" applyFont="1" applyFill="1">
      <alignment vertical="top"/>
    </xf>
    <xf numFmtId="166" fontId="8" fillId="0" borderId="0" xfId="2" applyNumberFormat="1" applyBorder="1" applyAlignment="1" applyProtection="1">
      <alignment vertical="center"/>
    </xf>
    <xf numFmtId="166" fontId="81" fillId="0" borderId="0" xfId="2" applyNumberFormat="1" applyFont="1" applyBorder="1" applyAlignment="1" applyProtection="1">
      <alignment vertical="center"/>
    </xf>
    <xf numFmtId="0" fontId="81" fillId="0" borderId="0" xfId="2" applyNumberFormat="1" applyFont="1" applyBorder="1" applyAlignment="1" applyProtection="1">
      <alignment vertical="center"/>
    </xf>
    <xf numFmtId="166" fontId="81" fillId="0" borderId="0" xfId="2" applyNumberFormat="1" applyFont="1" applyFill="1" applyBorder="1" applyAlignment="1" applyProtection="1">
      <alignment vertical="center"/>
    </xf>
    <xf numFmtId="171" fontId="8" fillId="0" borderId="6" xfId="2" applyNumberFormat="1" applyBorder="1" applyAlignment="1" applyProtection="1">
      <alignment vertical="center"/>
    </xf>
    <xf numFmtId="171" fontId="18" fillId="0" borderId="16" xfId="0" applyFont="1" applyFill="1" applyBorder="1">
      <alignment vertical="top"/>
    </xf>
    <xf numFmtId="171" fontId="16" fillId="22" borderId="0" xfId="0" applyFont="1" applyFill="1" applyBorder="1" applyAlignment="1">
      <alignment horizontal="left" vertical="top"/>
    </xf>
    <xf numFmtId="171" fontId="14" fillId="5" borderId="17" xfId="0" applyFont="1" applyFill="1" applyBorder="1" applyAlignment="1">
      <alignment horizontal="left" vertical="top" wrapText="1"/>
    </xf>
    <xf numFmtId="166" fontId="18" fillId="0" borderId="5" xfId="0" applyNumberFormat="1" applyFont="1" applyFill="1" applyBorder="1" applyAlignment="1">
      <alignment horizontal="center" vertical="center"/>
    </xf>
    <xf numFmtId="166" fontId="18" fillId="0" borderId="3" xfId="0" applyNumberFormat="1" applyFont="1" applyFill="1" applyBorder="1" applyAlignment="1">
      <alignment horizontal="left" vertical="center"/>
    </xf>
    <xf numFmtId="166" fontId="18" fillId="0" borderId="3" xfId="0" applyNumberFormat="1" applyFont="1" applyFill="1" applyBorder="1" applyAlignment="1">
      <alignment horizontal="center" vertical="center"/>
    </xf>
    <xf numFmtId="166" fontId="18" fillId="0" borderId="8" xfId="0" applyNumberFormat="1" applyFont="1" applyFill="1" applyBorder="1" applyAlignment="1">
      <alignment horizontal="center" vertical="center"/>
    </xf>
    <xf numFmtId="171" fontId="41" fillId="26" borderId="0" xfId="0" applyFont="1" applyFill="1">
      <alignment vertical="top"/>
    </xf>
    <xf numFmtId="171" fontId="70" fillId="0" borderId="0" xfId="0" applyFont="1">
      <alignment vertical="top"/>
    </xf>
    <xf numFmtId="49" fontId="14" fillId="0" borderId="0" xfId="0" applyNumberFormat="1" applyFont="1" applyBorder="1" applyAlignment="1">
      <alignment vertical="top" wrapText="1"/>
    </xf>
    <xf numFmtId="171" fontId="14" fillId="22" borderId="0" xfId="0" applyFont="1" applyFill="1" applyBorder="1">
      <alignment vertical="top"/>
    </xf>
    <xf numFmtId="171" fontId="55" fillId="0" borderId="0" xfId="0" applyFont="1" applyFill="1" applyBorder="1" applyAlignment="1">
      <alignment horizontal="left" vertical="top"/>
    </xf>
    <xf numFmtId="170" fontId="55" fillId="0" borderId="0" xfId="0" applyNumberFormat="1" applyFont="1" applyFill="1" applyBorder="1" applyAlignment="1">
      <alignment horizontal="left" vertical="top"/>
    </xf>
    <xf numFmtId="49" fontId="45" fillId="0" borderId="0" xfId="0" applyNumberFormat="1" applyFont="1" applyFill="1" applyBorder="1" applyAlignment="1">
      <alignment horizontal="left" vertical="center"/>
    </xf>
    <xf numFmtId="171" fontId="11" fillId="0" borderId="0" xfId="0" applyFont="1" applyFill="1" applyAlignment="1">
      <alignment vertical="center"/>
    </xf>
    <xf numFmtId="171" fontId="60" fillId="0" borderId="0" xfId="0" applyFont="1" applyFill="1" applyAlignment="1">
      <alignment vertical="center"/>
    </xf>
    <xf numFmtId="171" fontId="11" fillId="0" borderId="0" xfId="0" applyFont="1" applyFill="1">
      <alignment vertical="top"/>
    </xf>
    <xf numFmtId="166" fontId="1" fillId="22" borderId="0" xfId="0" applyNumberFormat="1" applyFont="1" applyFill="1" applyBorder="1" applyAlignment="1">
      <alignment vertical="center"/>
    </xf>
    <xf numFmtId="0" fontId="18" fillId="0" borderId="0" xfId="0" applyNumberFormat="1" applyFont="1" applyFill="1" applyBorder="1" applyAlignment="1">
      <alignment vertical="center" wrapText="1"/>
    </xf>
    <xf numFmtId="171" fontId="0" fillId="0" borderId="0" xfId="0" applyBorder="1" applyAlignment="1">
      <alignment vertical="top" wrapText="1"/>
    </xf>
    <xf numFmtId="0" fontId="28" fillId="0" borderId="0" xfId="0" applyNumberFormat="1" applyFont="1" applyFill="1" applyBorder="1" applyAlignment="1">
      <alignment vertical="center" wrapText="1"/>
    </xf>
    <xf numFmtId="171" fontId="28" fillId="0" borderId="0" xfId="0" applyFont="1" applyFill="1" applyBorder="1" applyAlignment="1">
      <alignment vertical="center" wrapText="1"/>
    </xf>
    <xf numFmtId="0" fontId="20" fillId="0" borderId="0" xfId="0" applyNumberFormat="1" applyFont="1" applyBorder="1" applyAlignment="1">
      <alignment vertical="top" wrapText="1"/>
    </xf>
    <xf numFmtId="0" fontId="14" fillId="0" borderId="0" xfId="0" applyNumberFormat="1" applyFont="1" applyBorder="1" applyAlignment="1">
      <alignment vertical="top" wrapText="1"/>
    </xf>
    <xf numFmtId="171" fontId="14" fillId="0" borderId="0" xfId="0" applyFont="1" applyFill="1" applyBorder="1" applyAlignment="1">
      <alignment vertical="top" wrapText="1"/>
    </xf>
    <xf numFmtId="0" fontId="45" fillId="22" borderId="0" xfId="0" applyNumberFormat="1" applyFont="1" applyFill="1" applyBorder="1" applyAlignment="1">
      <alignment horizontal="left" vertical="center" wrapText="1"/>
    </xf>
    <xf numFmtId="0" fontId="45" fillId="22" borderId="0" xfId="0" applyNumberFormat="1" applyFont="1" applyFill="1" applyAlignment="1">
      <alignment horizontal="left" vertical="center" wrapText="1"/>
    </xf>
    <xf numFmtId="0" fontId="45" fillId="22" borderId="0" xfId="1" applyNumberFormat="1" applyFont="1" applyFill="1" applyAlignment="1">
      <alignment vertical="top" wrapText="1"/>
    </xf>
    <xf numFmtId="0" fontId="45" fillId="22" borderId="0" xfId="1" applyNumberFormat="1" applyFont="1" applyFill="1" applyAlignment="1">
      <alignment horizontal="left" vertical="center" wrapText="1"/>
    </xf>
    <xf numFmtId="0" fontId="45" fillId="22" borderId="0" xfId="0" applyNumberFormat="1" applyFont="1" applyFill="1" applyAlignment="1">
      <alignment horizontal="left" vertical="top" wrapText="1"/>
    </xf>
    <xf numFmtId="0" fontId="45" fillId="22" borderId="0" xfId="0" applyNumberFormat="1" applyFont="1" applyFill="1" applyAlignment="1">
      <alignment vertical="top" wrapText="1"/>
    </xf>
    <xf numFmtId="0" fontId="45" fillId="22" borderId="0" xfId="1" applyNumberFormat="1" applyFont="1" applyFill="1" applyBorder="1" applyAlignment="1">
      <alignment horizontal="left" vertical="center" wrapText="1"/>
    </xf>
    <xf numFmtId="0" fontId="16" fillId="22" borderId="0" xfId="0" applyNumberFormat="1" applyFont="1" applyFill="1" applyBorder="1" applyAlignment="1">
      <alignment horizontal="left" vertical="center" wrapText="1"/>
    </xf>
    <xf numFmtId="0" fontId="14" fillId="22" borderId="0" xfId="0" applyNumberFormat="1" applyFont="1" applyFill="1" applyAlignment="1">
      <alignment vertical="top" wrapText="1"/>
    </xf>
    <xf numFmtId="0" fontId="18" fillId="22" borderId="0" xfId="0" applyNumberFormat="1" applyFont="1" applyFill="1" applyBorder="1" applyAlignment="1">
      <alignment vertical="top" wrapText="1"/>
    </xf>
    <xf numFmtId="0" fontId="18" fillId="22" borderId="0" xfId="0" applyNumberFormat="1" applyFont="1" applyFill="1" applyBorder="1" applyAlignment="1">
      <alignment horizontal="left" vertical="center" wrapText="1"/>
    </xf>
    <xf numFmtId="0" fontId="18" fillId="22" borderId="0" xfId="0" applyNumberFormat="1" applyFont="1" applyFill="1" applyAlignment="1">
      <alignment horizontal="left" vertical="center" wrapText="1"/>
    </xf>
    <xf numFmtId="0" fontId="18" fillId="22" borderId="0" xfId="1" applyNumberFormat="1" applyFont="1" applyFill="1" applyAlignment="1">
      <alignment vertical="top" wrapText="1"/>
    </xf>
    <xf numFmtId="0" fontId="18" fillId="22" borderId="0" xfId="1" applyNumberFormat="1" applyFont="1" applyFill="1" applyAlignment="1">
      <alignment horizontal="left" vertical="center" wrapText="1"/>
    </xf>
    <xf numFmtId="0" fontId="18" fillId="22" borderId="0" xfId="0" applyNumberFormat="1" applyFont="1" applyFill="1" applyAlignment="1">
      <alignment horizontal="left" vertical="top" wrapText="1"/>
    </xf>
    <xf numFmtId="0" fontId="18" fillId="22" borderId="0" xfId="0" applyNumberFormat="1" applyFont="1" applyFill="1" applyAlignment="1">
      <alignment vertical="top" wrapText="1"/>
    </xf>
    <xf numFmtId="0" fontId="18" fillId="22" borderId="0" xfId="1" applyNumberFormat="1" applyFont="1" applyFill="1" applyBorder="1" applyAlignment="1">
      <alignment horizontal="left" vertical="center" wrapText="1"/>
    </xf>
    <xf numFmtId="166" fontId="16" fillId="22" borderId="0" xfId="0" applyNumberFormat="1" applyFont="1" applyFill="1" applyBorder="1" applyAlignment="1">
      <alignment vertical="center" wrapText="1"/>
    </xf>
    <xf numFmtId="171" fontId="1" fillId="22" borderId="9" xfId="0" applyFont="1" applyFill="1" applyBorder="1" applyAlignment="1">
      <alignment horizontal="right" vertical="top"/>
    </xf>
    <xf numFmtId="171" fontId="1" fillId="0" borderId="0" xfId="0" applyFont="1" applyAlignment="1">
      <alignment horizontal="right" vertical="top"/>
    </xf>
    <xf numFmtId="171" fontId="1" fillId="0" borderId="0" xfId="0" applyFont="1" applyAlignment="1">
      <alignment horizontal="right" vertical="center"/>
    </xf>
    <xf numFmtId="0" fontId="14" fillId="22" borderId="0" xfId="0" applyNumberFormat="1" applyFont="1" applyFill="1" applyAlignment="1">
      <alignment vertical="center" wrapText="1"/>
    </xf>
    <xf numFmtId="0" fontId="14" fillId="22" borderId="0" xfId="0" applyNumberFormat="1" applyFont="1" applyFill="1" applyBorder="1" applyAlignment="1">
      <alignment horizontal="left" vertical="center" wrapText="1"/>
    </xf>
    <xf numFmtId="0" fontId="14" fillId="22" borderId="0" xfId="8" applyNumberFormat="1" applyFont="1" applyFill="1" applyAlignment="1">
      <alignment vertical="top" wrapText="1"/>
    </xf>
    <xf numFmtId="0" fontId="14" fillId="22" borderId="0" xfId="0" applyNumberFormat="1" applyFont="1" applyFill="1" applyAlignment="1">
      <alignment horizontal="left" vertical="top" wrapText="1"/>
    </xf>
    <xf numFmtId="0" fontId="45" fillId="22" borderId="0" xfId="0" applyNumberFormat="1" applyFont="1" applyFill="1" applyBorder="1" applyAlignment="1">
      <alignment vertical="top" wrapText="1"/>
    </xf>
    <xf numFmtId="171" fontId="18" fillId="22" borderId="0" xfId="0" applyFont="1" applyFill="1" applyAlignment="1">
      <alignment horizontal="left" vertical="center" wrapText="1"/>
    </xf>
    <xf numFmtId="171" fontId="14" fillId="22" borderId="0" xfId="0" applyFont="1" applyFill="1" applyAlignment="1">
      <alignment vertical="top" wrapText="1"/>
    </xf>
    <xf numFmtId="171" fontId="14" fillId="22" borderId="0" xfId="0" applyFont="1" applyFill="1" applyBorder="1" applyAlignment="1">
      <alignment vertical="top" wrapText="1"/>
    </xf>
    <xf numFmtId="171" fontId="59" fillId="0" borderId="0" xfId="0" applyFont="1" applyFill="1" applyAlignment="1">
      <alignment horizontal="left" vertical="top"/>
    </xf>
    <xf numFmtId="171" fontId="65" fillId="0" borderId="0" xfId="0" applyFont="1" applyFill="1">
      <alignment vertical="top"/>
    </xf>
    <xf numFmtId="171" fontId="10" fillId="0" borderId="0" xfId="0" applyFont="1" applyFill="1" applyBorder="1" applyAlignment="1">
      <alignment horizontal="right" vertical="top"/>
    </xf>
    <xf numFmtId="171" fontId="10" fillId="0" borderId="0" xfId="0" applyFont="1" applyFill="1" applyBorder="1">
      <alignment vertical="top"/>
    </xf>
    <xf numFmtId="0" fontId="16" fillId="0" borderId="0" xfId="0" applyNumberFormat="1" applyFont="1" applyFill="1">
      <alignment vertical="top"/>
    </xf>
    <xf numFmtId="171" fontId="59" fillId="0" borderId="0" xfId="0" applyFont="1" applyFill="1" applyBorder="1" applyAlignment="1">
      <alignment horizontal="left" vertical="top"/>
    </xf>
    <xf numFmtId="171" fontId="65" fillId="0" borderId="0" xfId="0" applyFont="1" applyFill="1" applyBorder="1">
      <alignment vertical="top"/>
    </xf>
    <xf numFmtId="172" fontId="25" fillId="0" borderId="0" xfId="1" applyFont="1" applyAlignment="1">
      <alignment horizontal="left" vertical="center"/>
    </xf>
    <xf numFmtId="171" fontId="39" fillId="0" borderId="0" xfId="0" applyFont="1" applyAlignment="1">
      <alignment vertical="center"/>
    </xf>
    <xf numFmtId="171" fontId="1" fillId="0" borderId="0" xfId="0" applyFont="1" applyFill="1" applyBorder="1">
      <alignment vertical="top"/>
    </xf>
    <xf numFmtId="0" fontId="16" fillId="0" borderId="0" xfId="0" applyNumberFormat="1" applyFont="1" applyFill="1" applyBorder="1">
      <alignment vertical="top"/>
    </xf>
    <xf numFmtId="0" fontId="13" fillId="0" borderId="0" xfId="0" applyNumberFormat="1" applyFont="1" applyFill="1" applyAlignment="1">
      <alignment horizontal="center" wrapText="1"/>
    </xf>
    <xf numFmtId="170" fontId="18" fillId="0" borderId="0" xfId="0" applyNumberFormat="1" applyFont="1" applyFill="1" applyBorder="1" applyAlignment="1">
      <alignment horizontal="left" vertical="center" wrapText="1"/>
    </xf>
    <xf numFmtId="170" fontId="13" fillId="0" borderId="0" xfId="0" applyNumberFormat="1" applyFont="1" applyFill="1" applyBorder="1" applyAlignment="1">
      <alignment horizontal="center" vertical="center" wrapText="1"/>
    </xf>
    <xf numFmtId="49" fontId="15" fillId="0" borderId="0" xfId="0" applyNumberFormat="1" applyFont="1" applyFill="1" applyAlignment="1">
      <alignment horizontal="center" wrapText="1"/>
    </xf>
    <xf numFmtId="170" fontId="18" fillId="0" borderId="0" xfId="0" applyNumberFormat="1" applyFont="1" applyFill="1" applyBorder="1" applyAlignment="1">
      <alignment horizontal="left" vertical="center"/>
    </xf>
    <xf numFmtId="171" fontId="45" fillId="25" borderId="0" xfId="0" applyFont="1" applyFill="1" applyBorder="1" applyAlignment="1">
      <alignment horizontal="left" vertical="top"/>
    </xf>
    <xf numFmtId="49" fontId="45" fillId="25" borderId="0" xfId="0" applyNumberFormat="1" applyFont="1" applyFill="1" applyBorder="1" applyAlignment="1">
      <alignment horizontal="left" vertical="top" wrapText="1"/>
    </xf>
    <xf numFmtId="171" fontId="14" fillId="25" borderId="0" xfId="0" applyFont="1" applyFill="1" applyBorder="1" applyAlignment="1">
      <alignment horizontal="left" vertical="top" wrapText="1"/>
    </xf>
    <xf numFmtId="171" fontId="29" fillId="6" borderId="0" xfId="0" applyFont="1" applyFill="1" applyAlignment="1">
      <alignment horizontal="center" vertical="top"/>
    </xf>
    <xf numFmtId="182" fontId="18" fillId="0" borderId="0" xfId="0" applyNumberFormat="1" applyFont="1" applyAlignment="1">
      <alignment vertical="top" wrapText="1"/>
    </xf>
    <xf numFmtId="171" fontId="1" fillId="0" borderId="0" xfId="0" applyFont="1" applyFill="1">
      <alignment vertical="top"/>
    </xf>
    <xf numFmtId="171" fontId="1" fillId="0" borderId="0" xfId="0" applyFont="1" applyFill="1" applyAlignment="1">
      <alignment wrapText="1"/>
    </xf>
    <xf numFmtId="171" fontId="1" fillId="0" borderId="0" xfId="0" applyFont="1" applyFill="1" applyAlignment="1">
      <alignment horizontal="left" wrapText="1"/>
    </xf>
    <xf numFmtId="49" fontId="1" fillId="0" borderId="0" xfId="0" applyNumberFormat="1" applyFont="1" applyFill="1">
      <alignment vertical="top"/>
    </xf>
    <xf numFmtId="166" fontId="1" fillId="0" borderId="0" xfId="0" applyNumberFormat="1" applyFont="1" applyBorder="1" applyAlignment="1">
      <alignment vertical="center"/>
    </xf>
    <xf numFmtId="171" fontId="1" fillId="0" borderId="0" xfId="0" applyFont="1">
      <alignment vertical="top"/>
    </xf>
    <xf numFmtId="171" fontId="1" fillId="0" borderId="0" xfId="0" applyFont="1" applyBorder="1" applyAlignment="1"/>
    <xf numFmtId="171" fontId="1" fillId="0" borderId="0" xfId="0" applyFont="1" applyAlignment="1">
      <alignment horizontal="left" vertical="top"/>
    </xf>
    <xf numFmtId="171" fontId="1" fillId="0" borderId="0" xfId="0" applyFont="1" applyBorder="1">
      <alignment vertical="top"/>
    </xf>
    <xf numFmtId="171" fontId="1" fillId="22" borderId="0" xfId="0" applyFont="1" applyFill="1">
      <alignment vertical="top"/>
    </xf>
    <xf numFmtId="3" fontId="1" fillId="0" borderId="0" xfId="0" applyNumberFormat="1" applyFont="1" applyFill="1" applyBorder="1" applyAlignment="1">
      <alignment horizontal="right" vertical="center"/>
    </xf>
    <xf numFmtId="171" fontId="1" fillId="0" borderId="0" xfId="0" applyFont="1" applyFill="1" applyAlignment="1">
      <alignment horizontal="left" vertical="center"/>
    </xf>
    <xf numFmtId="166" fontId="1" fillId="0" borderId="0" xfId="0" applyNumberFormat="1" applyFont="1" applyFill="1" applyBorder="1" applyAlignment="1">
      <alignment vertical="center"/>
    </xf>
    <xf numFmtId="171" fontId="1" fillId="0" borderId="0" xfId="0" applyFont="1" applyFill="1" applyAlignment="1">
      <alignment vertical="center"/>
    </xf>
    <xf numFmtId="172" fontId="1" fillId="0" borderId="0" xfId="1" applyFont="1">
      <alignment vertical="top"/>
    </xf>
    <xf numFmtId="171" fontId="1" fillId="0" borderId="0" xfId="0" applyFont="1" applyAlignment="1">
      <alignment horizontal="center" vertical="top"/>
    </xf>
    <xf numFmtId="171" fontId="1" fillId="0" borderId="0" xfId="0" applyFont="1" applyAlignment="1">
      <alignment horizontal="left" vertical="center"/>
    </xf>
    <xf numFmtId="171" fontId="1" fillId="7" borderId="0" xfId="0" applyFont="1" applyFill="1">
      <alignment vertical="top"/>
    </xf>
    <xf numFmtId="171" fontId="1" fillId="0" borderId="0" xfId="0" applyFont="1" applyAlignment="1">
      <alignment vertical="center"/>
    </xf>
    <xf numFmtId="0" fontId="1" fillId="0" borderId="0" xfId="0" applyNumberFormat="1" applyFont="1" applyAlignment="1">
      <alignment vertical="center"/>
    </xf>
    <xf numFmtId="0" fontId="1" fillId="0" borderId="0" xfId="0" applyNumberFormat="1" applyFont="1" applyFill="1" applyAlignment="1">
      <alignment vertical="center"/>
    </xf>
    <xf numFmtId="166" fontId="1" fillId="0" borderId="0" xfId="0" applyNumberFormat="1" applyFont="1" applyFill="1" applyBorder="1" applyAlignment="1">
      <alignment horizontal="right" vertical="center"/>
    </xf>
    <xf numFmtId="171" fontId="1" fillId="0" borderId="0" xfId="0" applyFont="1" applyFill="1" applyBorder="1" applyAlignment="1">
      <alignment horizontal="left" vertical="center"/>
    </xf>
    <xf numFmtId="171" fontId="1" fillId="0" borderId="0" xfId="0" applyFont="1" applyFill="1" applyBorder="1" applyAlignment="1">
      <alignment vertical="center"/>
    </xf>
    <xf numFmtId="171" fontId="1" fillId="0" borderId="9" xfId="0" applyFont="1" applyFill="1" applyBorder="1">
      <alignment vertical="top"/>
    </xf>
    <xf numFmtId="171" fontId="1" fillId="0" borderId="9" xfId="0" applyFont="1" applyFill="1" applyBorder="1" applyAlignment="1">
      <alignment vertical="center"/>
    </xf>
    <xf numFmtId="171" fontId="1" fillId="7" borderId="0" xfId="0" applyFont="1" applyFill="1" applyBorder="1" applyAlignment="1">
      <alignment vertical="center"/>
    </xf>
    <xf numFmtId="171" fontId="1" fillId="0" borderId="0" xfId="0" applyFont="1" applyFill="1" applyBorder="1" applyAlignment="1">
      <alignment horizontal="center" vertical="center"/>
    </xf>
    <xf numFmtId="171" fontId="1" fillId="0" borderId="0" xfId="0" applyFont="1" applyBorder="1" applyAlignment="1">
      <alignment horizontal="left" vertical="center"/>
    </xf>
    <xf numFmtId="171" fontId="1" fillId="0" borderId="10" xfId="0" applyFont="1" applyBorder="1">
      <alignment vertical="top"/>
    </xf>
    <xf numFmtId="171" fontId="1" fillId="0" borderId="10" xfId="0" applyFont="1" applyBorder="1" applyAlignment="1">
      <alignment horizontal="right" vertical="center"/>
    </xf>
    <xf numFmtId="171" fontId="1" fillId="7" borderId="0" xfId="0" applyFont="1" applyFill="1" applyAlignment="1">
      <alignment vertical="center"/>
    </xf>
    <xf numFmtId="171" fontId="1" fillId="7" borderId="0" xfId="0" applyFont="1" applyFill="1" applyBorder="1">
      <alignment vertical="top"/>
    </xf>
    <xf numFmtId="171" fontId="1" fillId="7" borderId="0" xfId="0" applyFont="1" applyFill="1" applyBorder="1" applyAlignment="1">
      <alignment horizontal="left" vertical="center"/>
    </xf>
    <xf numFmtId="171" fontId="1" fillId="7" borderId="0" xfId="0" applyFont="1" applyFill="1" applyBorder="1" applyAlignment="1">
      <alignment horizontal="right" vertical="center"/>
    </xf>
    <xf numFmtId="171" fontId="1" fillId="0" borderId="0" xfId="0" applyFont="1" applyBorder="1" applyAlignment="1">
      <alignment vertical="center"/>
    </xf>
    <xf numFmtId="171" fontId="1" fillId="0" borderId="9" xfId="0" applyFont="1" applyBorder="1">
      <alignment vertical="top"/>
    </xf>
    <xf numFmtId="171" fontId="1" fillId="0" borderId="9" xfId="0" applyFont="1" applyBorder="1" applyAlignment="1">
      <alignment horizontal="left" vertical="center"/>
    </xf>
    <xf numFmtId="171" fontId="1" fillId="0" borderId="9" xfId="0" applyFont="1" applyBorder="1" applyAlignment="1">
      <alignment horizontal="right" vertical="center"/>
    </xf>
    <xf numFmtId="171" fontId="1" fillId="0" borderId="9" xfId="0" applyFont="1" applyBorder="1" applyAlignment="1">
      <alignment vertical="center"/>
    </xf>
    <xf numFmtId="171" fontId="1" fillId="0" borderId="9" xfId="0" applyFont="1" applyFill="1" applyBorder="1" applyAlignment="1">
      <alignment horizontal="left" vertical="center"/>
    </xf>
    <xf numFmtId="171" fontId="1" fillId="0" borderId="0" xfId="0" applyFont="1" applyFill="1" applyAlignment="1">
      <alignment horizontal="right" vertical="center"/>
    </xf>
    <xf numFmtId="182" fontId="1" fillId="0" borderId="0" xfId="9" applyFont="1" applyFill="1" applyBorder="1">
      <alignment vertical="top"/>
    </xf>
    <xf numFmtId="172" fontId="1" fillId="0" borderId="0" xfId="1" applyFont="1" applyFill="1" applyBorder="1">
      <alignment vertical="top"/>
    </xf>
    <xf numFmtId="182" fontId="1" fillId="0" borderId="0" xfId="9" applyFont="1" applyBorder="1">
      <alignment vertical="top"/>
    </xf>
    <xf numFmtId="178" fontId="1" fillId="0" borderId="0" xfId="0" applyNumberFormat="1" applyFont="1" applyBorder="1" applyAlignment="1">
      <alignment vertical="center"/>
    </xf>
    <xf numFmtId="178" fontId="1" fillId="0" borderId="0" xfId="0" applyNumberFormat="1" applyFont="1">
      <alignment vertical="top"/>
    </xf>
    <xf numFmtId="178" fontId="1" fillId="0" borderId="0" xfId="0" applyNumberFormat="1" applyFont="1" applyBorder="1">
      <alignment vertical="top"/>
    </xf>
    <xf numFmtId="178" fontId="1" fillId="0" borderId="9" xfId="0" applyNumberFormat="1" applyFont="1" applyBorder="1" applyAlignment="1">
      <alignment vertical="center"/>
    </xf>
    <xf numFmtId="178" fontId="1" fillId="0" borderId="9" xfId="0" applyNumberFormat="1" applyFont="1" applyBorder="1">
      <alignment vertical="top"/>
    </xf>
    <xf numFmtId="176" fontId="1" fillId="0" borderId="9" xfId="1" applyNumberFormat="1" applyFont="1" applyBorder="1">
      <alignment vertical="top"/>
    </xf>
    <xf numFmtId="178" fontId="1" fillId="0" borderId="0" xfId="1" applyNumberFormat="1" applyFont="1" applyBorder="1">
      <alignment vertical="top"/>
    </xf>
    <xf numFmtId="178" fontId="1" fillId="0" borderId="0" xfId="1" applyNumberFormat="1" applyFont="1" applyFill="1" applyBorder="1">
      <alignment vertical="top"/>
    </xf>
    <xf numFmtId="178" fontId="1" fillId="0" borderId="9" xfId="1" applyNumberFormat="1" applyFont="1" applyBorder="1">
      <alignment vertical="top"/>
    </xf>
    <xf numFmtId="178" fontId="1" fillId="0" borderId="0" xfId="0" applyNumberFormat="1" applyFont="1" applyFill="1" applyBorder="1">
      <alignment vertical="top"/>
    </xf>
    <xf numFmtId="176" fontId="1" fillId="0" borderId="0" xfId="0" applyNumberFormat="1" applyFont="1" applyBorder="1" applyAlignment="1">
      <alignment vertical="center"/>
    </xf>
    <xf numFmtId="176" fontId="1" fillId="0" borderId="0" xfId="0" applyNumberFormat="1" applyFont="1" applyBorder="1">
      <alignment vertical="top"/>
    </xf>
    <xf numFmtId="176" fontId="1" fillId="0" borderId="0" xfId="0" applyNumberFormat="1" applyFont="1" applyFill="1" applyBorder="1">
      <alignment vertical="top"/>
    </xf>
    <xf numFmtId="171" fontId="1" fillId="0" borderId="0" xfId="0" applyFont="1" applyBorder="1" applyAlignment="1">
      <alignment horizontal="right" vertical="center"/>
    </xf>
    <xf numFmtId="172" fontId="1" fillId="7" borderId="0" xfId="1" applyFont="1" applyFill="1">
      <alignment vertical="top"/>
    </xf>
    <xf numFmtId="9" fontId="1" fillId="7" borderId="0" xfId="0" applyNumberFormat="1" applyFont="1" applyFill="1" applyAlignment="1">
      <alignment vertical="center"/>
    </xf>
    <xf numFmtId="171" fontId="1" fillId="0" borderId="0" xfId="0" applyFont="1" applyFill="1" applyBorder="1" applyAlignment="1">
      <alignment horizontal="right" vertical="center"/>
    </xf>
    <xf numFmtId="172" fontId="1" fillId="0" borderId="0" xfId="1" applyFont="1" applyFill="1">
      <alignment vertical="top"/>
    </xf>
    <xf numFmtId="171" fontId="1" fillId="0" borderId="11" xfId="0" applyFont="1" applyFill="1" applyBorder="1">
      <alignment vertical="top"/>
    </xf>
    <xf numFmtId="171" fontId="1" fillId="0" borderId="11" xfId="0" applyFont="1" applyFill="1" applyBorder="1" applyAlignment="1">
      <alignment horizontal="right" vertical="top"/>
    </xf>
    <xf numFmtId="171" fontId="1" fillId="0" borderId="11" xfId="0" applyFont="1" applyBorder="1">
      <alignment vertical="top"/>
    </xf>
    <xf numFmtId="171" fontId="1" fillId="0" borderId="0" xfId="0" applyFont="1" applyFill="1" applyBorder="1" applyAlignment="1">
      <alignment horizontal="right" vertical="top"/>
    </xf>
    <xf numFmtId="171" fontId="1" fillId="0" borderId="12" xfId="0" applyFont="1" applyFill="1" applyBorder="1">
      <alignment vertical="top"/>
    </xf>
    <xf numFmtId="171" fontId="1" fillId="0" borderId="12" xfId="0" applyFont="1" applyFill="1" applyBorder="1" applyAlignment="1">
      <alignment horizontal="right" vertical="top"/>
    </xf>
    <xf numFmtId="171" fontId="1" fillId="7" borderId="12" xfId="0" applyFont="1" applyFill="1" applyBorder="1">
      <alignment vertical="top"/>
    </xf>
    <xf numFmtId="171" fontId="1" fillId="0" borderId="12" xfId="0" applyFont="1" applyBorder="1">
      <alignment vertical="top"/>
    </xf>
    <xf numFmtId="171" fontId="1" fillId="0" borderId="15" xfId="0" applyFont="1" applyFill="1" applyBorder="1" applyAlignment="1">
      <alignment horizontal="right" vertical="center"/>
    </xf>
    <xf numFmtId="171" fontId="1" fillId="0" borderId="15" xfId="0" applyFont="1" applyFill="1" applyBorder="1">
      <alignment vertical="top"/>
    </xf>
    <xf numFmtId="171" fontId="1" fillId="0" borderId="15" xfId="0" applyFont="1" applyFill="1" applyBorder="1" applyAlignment="1">
      <alignment vertical="center"/>
    </xf>
    <xf numFmtId="171" fontId="1" fillId="0" borderId="15" xfId="0" applyFont="1" applyBorder="1" applyAlignment="1">
      <alignment vertical="center"/>
    </xf>
    <xf numFmtId="171" fontId="1" fillId="0" borderId="15" xfId="0" applyFont="1" applyBorder="1" applyAlignment="1">
      <alignment horizontal="right" vertical="center"/>
    </xf>
    <xf numFmtId="167" fontId="1" fillId="0" borderId="0" xfId="0" applyNumberFormat="1" applyFont="1" applyFill="1" applyBorder="1" applyAlignment="1">
      <alignment horizontal="right" vertical="center"/>
    </xf>
    <xf numFmtId="182" fontId="1" fillId="0" borderId="0" xfId="9" applyFont="1">
      <alignment vertical="top"/>
    </xf>
    <xf numFmtId="171" fontId="1" fillId="0" borderId="0" xfId="0" applyFont="1" applyFill="1" applyAlignment="1">
      <alignment horizontal="right" vertical="top"/>
    </xf>
    <xf numFmtId="171" fontId="1" fillId="15" borderId="0" xfId="0" applyFont="1" applyFill="1">
      <alignment vertical="top"/>
    </xf>
    <xf numFmtId="173" fontId="1" fillId="0" borderId="0" xfId="8" applyFont="1">
      <alignment vertical="top"/>
    </xf>
    <xf numFmtId="173" fontId="1" fillId="0" borderId="0" xfId="8" applyFont="1" applyAlignment="1">
      <alignment horizontal="right" vertical="top"/>
    </xf>
    <xf numFmtId="173" fontId="1" fillId="0" borderId="0" xfId="8" applyFont="1" applyFill="1">
      <alignment vertical="top"/>
    </xf>
    <xf numFmtId="173" fontId="1" fillId="0" borderId="0" xfId="8" applyFont="1" applyFill="1" applyAlignment="1">
      <alignment horizontal="right" vertical="top"/>
    </xf>
    <xf numFmtId="177" fontId="1" fillId="0" borderId="0" xfId="8" applyNumberFormat="1" applyFont="1">
      <alignment vertical="top"/>
    </xf>
    <xf numFmtId="177" fontId="1" fillId="0" borderId="0" xfId="0" applyNumberFormat="1" applyFont="1">
      <alignment vertical="top"/>
    </xf>
    <xf numFmtId="171" fontId="1" fillId="0" borderId="15" xfId="0" applyFont="1" applyBorder="1">
      <alignment vertical="top"/>
    </xf>
    <xf numFmtId="171" fontId="1" fillId="0" borderId="15" xfId="0" applyFont="1" applyBorder="1" applyAlignment="1">
      <alignment horizontal="right" vertical="top"/>
    </xf>
    <xf numFmtId="167" fontId="1" fillId="0" borderId="15" xfId="0" applyNumberFormat="1" applyFont="1" applyFill="1" applyBorder="1" applyAlignment="1">
      <alignment horizontal="right" vertical="center"/>
    </xf>
    <xf numFmtId="9" fontId="1" fillId="0" borderId="0" xfId="0" applyNumberFormat="1" applyFont="1" applyFill="1" applyBorder="1" applyAlignment="1">
      <alignment vertical="center"/>
    </xf>
    <xf numFmtId="171" fontId="1" fillId="0" borderId="12" xfId="0" applyFont="1" applyBorder="1" applyAlignment="1">
      <alignment horizontal="right" vertical="top"/>
    </xf>
    <xf numFmtId="167" fontId="1" fillId="0" borderId="11" xfId="0" applyNumberFormat="1" applyFont="1" applyFill="1" applyBorder="1" applyAlignment="1">
      <alignment horizontal="right" vertical="center"/>
    </xf>
    <xf numFmtId="167" fontId="1" fillId="0" borderId="12" xfId="0" applyNumberFormat="1" applyFont="1" applyFill="1" applyBorder="1" applyAlignment="1">
      <alignment horizontal="right" vertical="center"/>
    </xf>
    <xf numFmtId="171" fontId="1" fillId="24" borderId="0" xfId="0" applyFont="1" applyFill="1" applyBorder="1">
      <alignment vertical="top"/>
    </xf>
    <xf numFmtId="171" fontId="1" fillId="0" borderId="15" xfId="0" applyFont="1" applyFill="1" applyBorder="1" applyAlignment="1">
      <alignment horizontal="right" vertical="top"/>
    </xf>
    <xf numFmtId="171" fontId="1" fillId="24" borderId="0" xfId="0" applyFont="1" applyFill="1">
      <alignment vertical="top"/>
    </xf>
    <xf numFmtId="171" fontId="1" fillId="15" borderId="0" xfId="0" applyFont="1" applyFill="1" applyBorder="1">
      <alignment vertical="top"/>
    </xf>
    <xf numFmtId="174" fontId="1" fillId="0" borderId="0" xfId="0" applyNumberFormat="1" applyFont="1">
      <alignment vertical="top"/>
    </xf>
    <xf numFmtId="177" fontId="1" fillId="22" borderId="0" xfId="0" applyNumberFormat="1" applyFont="1" applyFill="1">
      <alignment vertical="top"/>
    </xf>
    <xf numFmtId="171" fontId="1" fillId="5" borderId="0" xfId="0" applyFont="1" applyFill="1">
      <alignment vertical="top"/>
    </xf>
    <xf numFmtId="166" fontId="1" fillId="22" borderId="0" xfId="0" applyNumberFormat="1" applyFont="1" applyFill="1" applyBorder="1" applyAlignment="1">
      <alignment vertical="center" wrapText="1"/>
    </xf>
  </cellXfs>
  <cellStyles count="31">
    <cellStyle name="Comma 2" xfId="6" xr:uid="{00000000-0005-0000-0000-000000000000}"/>
    <cellStyle name="Comma 2 2" xfId="13" xr:uid="{05CE12DB-1B7A-4964-A4AA-178E34C2ECD1}"/>
    <cellStyle name="Comma 2 2 2" xfId="29" xr:uid="{B589C42A-13BF-4851-A787-4303C3DAEAAE}"/>
    <cellStyle name="Comma 2 3" xfId="24" xr:uid="{053D77AC-8680-4FB3-A520-CD143342C1E1}"/>
    <cellStyle name="DateLong" xfId="4" xr:uid="{00000000-0005-0000-0000-000001000000}"/>
    <cellStyle name="DateLong 2" xfId="12" xr:uid="{31DB05CA-61E6-4191-94AA-96DC1284A922}"/>
    <cellStyle name="DateLong 2 2" xfId="28" xr:uid="{EBC50D68-881F-4569-9A4C-4D0FD485729B}"/>
    <cellStyle name="DateLong 3" xfId="22" xr:uid="{FBF63378-27FC-4A91-9AA5-8C0435D2392B}"/>
    <cellStyle name="DateLong 4" xfId="18" xr:uid="{BB509D54-8D51-4F7E-BE2D-E2C6FCF0ABA6}"/>
    <cellStyle name="DateShort" xfId="5" xr:uid="{00000000-0005-0000-0000-000002000000}"/>
    <cellStyle name="DateShort 2" xfId="23" xr:uid="{F874BE46-0567-4F4A-9FB2-D086756B7048}"/>
    <cellStyle name="DateShort 3" xfId="19" xr:uid="{EC800AB2-DB4F-40F1-AA56-55CADFDF6CDB}"/>
    <cellStyle name="Factor" xfId="8" xr:uid="{3289A7B3-7C63-443C-8B15-AE4F4240DE91}"/>
    <cellStyle name="Hyperlink" xfId="2" builtinId="8"/>
    <cellStyle name="Normal" xfId="0" builtinId="0" customBuiltin="1"/>
    <cellStyle name="Normal 2" xfId="3" xr:uid="{00000000-0005-0000-0000-000005000000}"/>
    <cellStyle name="Normal 2 2" xfId="11" xr:uid="{382E5E7B-6485-48C9-9812-2C98144481F2}"/>
    <cellStyle name="Normal 2 2 2" xfId="27" xr:uid="{1E0BA35F-E18D-4CFF-95D6-26C2DF90C584}"/>
    <cellStyle name="Normal 2 3" xfId="21" xr:uid="{47A93BFB-8B2C-462E-A67D-DEA5E7C417AD}"/>
    <cellStyle name="Normal 2 4" xfId="17" xr:uid="{B9C17B4A-2EFD-4E78-BEEF-0691F5380603}"/>
    <cellStyle name="Percent" xfId="1" builtinId="5" customBuiltin="1"/>
    <cellStyle name="Percent 2" xfId="7" xr:uid="{00000000-0005-0000-0000-000007000000}"/>
    <cellStyle name="Percent 2 2" xfId="14" xr:uid="{31D5E200-587A-4744-8B39-E3B082ACFD59}"/>
    <cellStyle name="Percent 2 2 2" xfId="30" xr:uid="{BDB399BF-68D9-4134-B14B-627D99DDC902}"/>
    <cellStyle name="Percent 2 3" xfId="25" xr:uid="{CCDDE26A-FBAB-491E-980A-B440D4A3CC9E}"/>
    <cellStyle name="Percent 3" xfId="10" xr:uid="{5362E151-BF98-43A3-A653-BCD386B1199E}"/>
    <cellStyle name="Percent 3 2" xfId="26" xr:uid="{5E9F4153-8D88-4FC8-9E69-5EA39335320B}"/>
    <cellStyle name="Percent 4" xfId="20" xr:uid="{B3C03E70-E427-44AB-95D9-7168AAC94E3D}"/>
    <cellStyle name="Percent 5" xfId="16" xr:uid="{82962164-F9E5-41C8-BA1F-5FDB37EB4E3F}"/>
    <cellStyle name="Year" xfId="9" xr:uid="{7320A3FD-75EB-44BB-95D7-51B839423605}"/>
    <cellStyle name="Year 2" xfId="15" xr:uid="{A4F90BFA-7E79-4954-9C6D-1D39B9CCFCAD}"/>
  </cellStyles>
  <dxfs count="358">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00FF00"/>
        </patternFill>
      </fill>
    </dxf>
    <dxf>
      <font>
        <color rgb="FFFF0000"/>
      </font>
      <fill>
        <patternFill>
          <bgColor rgb="FFFF0000"/>
        </patternFill>
      </fill>
    </dxf>
    <dxf>
      <font>
        <color rgb="FFFF0000"/>
      </font>
      <fill>
        <patternFill>
          <bgColor rgb="FFFF0000"/>
        </patternFill>
      </fill>
    </dxf>
    <dxf>
      <font>
        <color auto="1"/>
      </font>
      <fill>
        <patternFill>
          <bgColor rgb="FF00FF00"/>
        </patternFill>
      </fill>
    </dxf>
    <dxf>
      <font>
        <color rgb="FFFF0000"/>
      </font>
      <fill>
        <patternFill>
          <bgColor rgb="FFFF0000"/>
        </patternFill>
      </fill>
    </dxf>
    <dxf>
      <font>
        <color rgb="FFFF0000"/>
      </font>
      <fill>
        <patternFill>
          <bgColor rgb="FFFF0000"/>
        </patternFill>
      </fill>
    </dxf>
    <dxf>
      <fill>
        <patternFill>
          <bgColor indexed="10"/>
        </patternFill>
      </fill>
    </dxf>
    <dxf>
      <fill>
        <patternFill>
          <bgColor indexed="10"/>
        </patternFill>
      </fill>
    </dxf>
    <dxf>
      <font>
        <color auto="1"/>
      </font>
      <fill>
        <patternFill>
          <bgColor rgb="FF00FF00"/>
        </patternFill>
      </fill>
    </dxf>
    <dxf>
      <font>
        <color rgb="FFFF0000"/>
      </font>
      <fill>
        <patternFill>
          <bgColor rgb="FFFF0000"/>
        </patternFill>
      </fill>
    </dxf>
    <dxf>
      <font>
        <color rgb="FFFF0000"/>
      </font>
      <fill>
        <patternFill>
          <bgColor rgb="FFFF0000"/>
        </patternFill>
      </fill>
    </dxf>
    <dxf>
      <font>
        <color auto="1"/>
      </font>
      <fill>
        <patternFill>
          <bgColor rgb="FF00FF00"/>
        </patternFill>
      </fill>
    </dxf>
    <dxf>
      <font>
        <color rgb="FFFF0000"/>
      </font>
      <fill>
        <patternFill>
          <bgColor rgb="FFFF0000"/>
        </patternFill>
      </fill>
    </dxf>
    <dxf>
      <font>
        <color rgb="FFFF0000"/>
      </font>
      <fill>
        <patternFill>
          <bgColor rgb="FFFF0000"/>
        </patternFill>
      </fill>
    </dxf>
    <dxf>
      <font>
        <color auto="1"/>
      </font>
      <fill>
        <patternFill>
          <bgColor rgb="FF00FF00"/>
        </patternFill>
      </fill>
    </dxf>
    <dxf>
      <font>
        <color rgb="FFFF0000"/>
      </font>
      <fill>
        <patternFill>
          <bgColor rgb="FFFF0000"/>
        </patternFill>
      </fill>
    </dxf>
    <dxf>
      <font>
        <color rgb="FFFF0000"/>
      </font>
      <fill>
        <patternFill>
          <bgColor rgb="FFFF0000"/>
        </patternFill>
      </fill>
    </dxf>
    <dxf>
      <font>
        <color auto="1"/>
      </font>
      <fill>
        <patternFill>
          <bgColor rgb="FF00FF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auto="1"/>
      </font>
      <fill>
        <patternFill>
          <bgColor rgb="FF00FF00"/>
        </patternFill>
      </fill>
    </dxf>
    <dxf>
      <font>
        <color auto="1"/>
      </font>
      <fill>
        <patternFill>
          <bgColor rgb="FF00FF00"/>
        </patternFill>
      </fill>
    </dxf>
    <dxf>
      <font>
        <color rgb="FFFF0000"/>
      </font>
      <fill>
        <patternFill>
          <bgColor rgb="FFFF0000"/>
        </patternFill>
      </fill>
    </dxf>
    <dxf>
      <font>
        <color rgb="FFFF0000"/>
      </font>
      <fill>
        <patternFill>
          <bgColor rgb="FFFF0000"/>
        </patternFill>
      </fill>
    </dxf>
    <dxf>
      <font>
        <color auto="1"/>
      </font>
      <fill>
        <patternFill>
          <bgColor rgb="FF00FF00"/>
        </patternFill>
      </fill>
    </dxf>
    <dxf>
      <font>
        <color rgb="FFFF0000"/>
      </font>
      <fill>
        <patternFill>
          <bgColor rgb="FFFF0000"/>
        </patternFill>
      </fill>
    </dxf>
    <dxf>
      <font>
        <color rgb="FFFF0000"/>
      </font>
      <fill>
        <patternFill>
          <bgColor rgb="FFFF0000"/>
        </patternFill>
      </fill>
    </dxf>
    <dxf>
      <font>
        <color auto="1"/>
      </font>
      <fill>
        <patternFill>
          <bgColor rgb="FF00FF00"/>
        </patternFill>
      </fill>
    </dxf>
    <dxf>
      <font>
        <color rgb="FFFF0000"/>
      </font>
      <fill>
        <patternFill>
          <bgColor rgb="FFFF0000"/>
        </patternFill>
      </fill>
    </dxf>
    <dxf>
      <font>
        <color rgb="FFFF0000"/>
      </font>
      <fill>
        <patternFill>
          <bgColor rgb="FFFF0000"/>
        </patternFill>
      </fill>
    </dxf>
    <dxf>
      <fill>
        <patternFill>
          <bgColor rgb="FFFF0000"/>
        </patternFill>
      </fill>
    </dxf>
    <dxf>
      <font>
        <color auto="1"/>
      </font>
      <fill>
        <patternFill>
          <bgColor rgb="FF00FF00"/>
        </patternFill>
      </fill>
    </dxf>
    <dxf>
      <font>
        <color rgb="FFFF0000"/>
      </font>
      <fill>
        <patternFill>
          <bgColor rgb="FFFF0000"/>
        </patternFill>
      </fill>
    </dxf>
    <dxf>
      <font>
        <color rgb="FFFF0000"/>
      </font>
      <fill>
        <patternFill>
          <bgColor rgb="FFFF0000"/>
        </patternFill>
      </fill>
    </dxf>
    <dxf>
      <font>
        <color auto="1"/>
      </font>
      <fill>
        <patternFill>
          <bgColor rgb="FF00FF00"/>
        </patternFill>
      </fill>
    </dxf>
    <dxf>
      <font>
        <color rgb="FFFF0000"/>
      </font>
      <fill>
        <patternFill>
          <bgColor rgb="FFFF0000"/>
        </patternFill>
      </fill>
    </dxf>
    <dxf>
      <font>
        <color rgb="FFFF0000"/>
      </font>
      <fill>
        <patternFill>
          <bgColor rgb="FFFF0000"/>
        </patternFill>
      </fill>
    </dxf>
    <dxf>
      <font>
        <color auto="1"/>
      </font>
      <fill>
        <patternFill>
          <bgColor rgb="FF00FF00"/>
        </patternFill>
      </fill>
    </dxf>
    <dxf>
      <font>
        <color rgb="FFFF0000"/>
      </font>
      <fill>
        <patternFill>
          <bgColor rgb="FFFF0000"/>
        </patternFill>
      </fill>
    </dxf>
    <dxf>
      <font>
        <color rgb="FFFF0000"/>
      </font>
      <fill>
        <patternFill>
          <bgColor rgb="FFFF000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lor rgb="FF00FF00"/>
      </font>
      <fill>
        <patternFill>
          <bgColor rgb="FF00FF00"/>
        </patternFill>
      </fill>
    </dxf>
    <dxf>
      <font>
        <color rgb="FFFF0000"/>
      </font>
      <fill>
        <patternFill>
          <bgColor rgb="FFFF000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lor rgb="FF00FF00"/>
      </font>
      <fill>
        <patternFill>
          <bgColor rgb="FF00FF00"/>
        </patternFill>
      </fill>
    </dxf>
    <dxf>
      <font>
        <color rgb="FFFF0000"/>
      </font>
      <fill>
        <patternFill>
          <bgColor rgb="FFFF0000"/>
        </patternFill>
      </fill>
    </dxf>
    <dxf>
      <fill>
        <patternFill>
          <bgColor rgb="FFFFC000"/>
        </patternFill>
      </fill>
    </dxf>
    <dxf>
      <fill>
        <patternFill>
          <bgColor rgb="FFFFC00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1"/>
        </patternFill>
      </fill>
    </dxf>
    <dxf>
      <fill>
        <patternFill>
          <bgColor indexed="5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1" defaultTableStyle="TableStyleMedium9" defaultPivotStyle="PivotStyleLight16">
    <tableStyle name="Invisible" pivot="0" table="0" count="0" xr9:uid="{B9C1CB36-44AA-4622-81F4-24CD7E1F89A8}"/>
  </tableStyles>
  <colors>
    <mruColors>
      <color rgb="FFA6A6A6"/>
      <color rgb="FF0000FF"/>
      <color rgb="FFFFFFCC"/>
      <color rgb="FF1F497D"/>
      <color rgb="FF4BACC6"/>
      <color rgb="FF2C4D75"/>
      <color rgb="FF00B050"/>
      <color rgb="FF4A824F"/>
      <color rgb="FF2AA241"/>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Charts!$A$4</c:f>
          <c:strCache>
            <c:ptCount val="1"/>
            <c:pt idx="0">
              <c:v> Government revenues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728718037212483"/>
          <c:y val="5.7746289166204549E-2"/>
          <c:w val="0.85677990464563192"/>
          <c:h val="0.71847050219312192"/>
        </c:manualLayout>
      </c:layout>
      <c:barChart>
        <c:barDir val="col"/>
        <c:grouping val="stacked"/>
        <c:varyColors val="0"/>
        <c:ser>
          <c:idx val="1"/>
          <c:order val="0"/>
          <c:tx>
            <c:strRef>
              <c:f>Charts!$E$25</c:f>
              <c:strCache>
                <c:ptCount val="1"/>
                <c:pt idx="0">
                  <c:v> Signature bonus </c:v>
                </c:pt>
              </c:strCache>
            </c:strRef>
          </c:tx>
          <c:spPr>
            <a:solidFill>
              <a:sysClr val="window" lastClr="FFFFFF">
                <a:lumMod val="65000"/>
              </a:sysClr>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Charts!$K$25:$AX$25</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1-8D15-4325-8B5E-03AD8D16BE5C}"/>
            </c:ext>
          </c:extLst>
        </c:ser>
        <c:ser>
          <c:idx val="0"/>
          <c:order val="1"/>
          <c:tx>
            <c:strRef>
              <c:f>Charts!$E$26</c:f>
              <c:strCache>
                <c:ptCount val="1"/>
                <c:pt idx="0">
                  <c:v> Royalty </c:v>
                </c:pt>
              </c:strCache>
            </c:strRef>
          </c:tx>
          <c:spPr>
            <a:solidFill>
              <a:srgbClr val="0070C0"/>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Charts!$K$26:$AX$26</c:f>
              <c:numCache>
                <c:formatCode>#,##0_);\(#,##0\);"-  ";" "@" "</c:formatCode>
                <c:ptCount val="40"/>
                <c:pt idx="0">
                  <c:v>0</c:v>
                </c:pt>
                <c:pt idx="1">
                  <c:v>0</c:v>
                </c:pt>
                <c:pt idx="2">
                  <c:v>0</c:v>
                </c:pt>
                <c:pt idx="3">
                  <c:v>0</c:v>
                </c:pt>
                <c:pt idx="4">
                  <c:v>0.73750000000000004</c:v>
                </c:pt>
                <c:pt idx="5">
                  <c:v>5.53125</c:v>
                </c:pt>
                <c:pt idx="6">
                  <c:v>11.062500000000002</c:v>
                </c:pt>
                <c:pt idx="7">
                  <c:v>11.0625</c:v>
                </c:pt>
                <c:pt idx="8">
                  <c:v>11.0625</c:v>
                </c:pt>
                <c:pt idx="9">
                  <c:v>11.062500000000002</c:v>
                </c:pt>
                <c:pt idx="10">
                  <c:v>11.0625</c:v>
                </c:pt>
                <c:pt idx="11">
                  <c:v>11.0625</c:v>
                </c:pt>
                <c:pt idx="12">
                  <c:v>11.0625</c:v>
                </c:pt>
                <c:pt idx="13">
                  <c:v>11.0625</c:v>
                </c:pt>
                <c:pt idx="14">
                  <c:v>11.062500000000002</c:v>
                </c:pt>
                <c:pt idx="15">
                  <c:v>11.0625</c:v>
                </c:pt>
                <c:pt idx="16">
                  <c:v>9.2187500000000018</c:v>
                </c:pt>
                <c:pt idx="17">
                  <c:v>7.3750000000000009</c:v>
                </c:pt>
                <c:pt idx="18">
                  <c:v>5.53125</c:v>
                </c:pt>
                <c:pt idx="19">
                  <c:v>4.7937500000000002</c:v>
                </c:pt>
                <c:pt idx="20">
                  <c:v>3.6875</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8D15-4325-8B5E-03AD8D16BE5C}"/>
            </c:ext>
          </c:extLst>
        </c:ser>
        <c:ser>
          <c:idx val="2"/>
          <c:order val="2"/>
          <c:tx>
            <c:strRef>
              <c:f>Charts!$E$27</c:f>
              <c:strCache>
                <c:ptCount val="1"/>
                <c:pt idx="0">
                  <c:v> Carbon tax </c:v>
                </c:pt>
              </c:strCache>
            </c:strRef>
          </c:tx>
          <c:spPr>
            <a:solidFill>
              <a:sysClr val="windowText" lastClr="000000"/>
            </a:solidFill>
            <a:ln>
              <a:noFill/>
            </a:ln>
            <a:effectLst/>
          </c:spPr>
          <c:invertIfNegative val="0"/>
          <c:val>
            <c:numRef>
              <c:f>Charts!$K$27:$AX$27</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6044-496F-9943-4C3BAEEC3B63}"/>
            </c:ext>
          </c:extLst>
        </c:ser>
        <c:ser>
          <c:idx val="3"/>
          <c:order val="3"/>
          <c:tx>
            <c:strRef>
              <c:f>Charts!$E$28</c:f>
              <c:strCache>
                <c:ptCount val="1"/>
                <c:pt idx="0">
                  <c:v> CIT: Mining company </c:v>
                </c:pt>
              </c:strCache>
            </c:strRef>
          </c:tx>
          <c:spPr>
            <a:solidFill>
              <a:srgbClr val="FFFF00"/>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Charts!$K$28:$AX$28</c:f>
              <c:numCache>
                <c:formatCode>#,##0_);\(#,##0\);"-  ";" "@" "</c:formatCode>
                <c:ptCount val="40"/>
                <c:pt idx="0">
                  <c:v>0</c:v>
                </c:pt>
                <c:pt idx="1">
                  <c:v>0</c:v>
                </c:pt>
                <c:pt idx="2">
                  <c:v>0</c:v>
                </c:pt>
                <c:pt idx="3">
                  <c:v>0</c:v>
                </c:pt>
                <c:pt idx="4">
                  <c:v>0</c:v>
                </c:pt>
                <c:pt idx="5">
                  <c:v>0</c:v>
                </c:pt>
                <c:pt idx="6">
                  <c:v>0</c:v>
                </c:pt>
                <c:pt idx="7">
                  <c:v>0</c:v>
                </c:pt>
                <c:pt idx="8">
                  <c:v>7.8619013256185006</c:v>
                </c:pt>
                <c:pt idx="9">
                  <c:v>30.401228446335146</c:v>
                </c:pt>
                <c:pt idx="10">
                  <c:v>36.708502880782994</c:v>
                </c:pt>
                <c:pt idx="11">
                  <c:v>37.798637542993923</c:v>
                </c:pt>
                <c:pt idx="12">
                  <c:v>37.798637542993923</c:v>
                </c:pt>
                <c:pt idx="13">
                  <c:v>37.034182667844838</c:v>
                </c:pt>
                <c:pt idx="14">
                  <c:v>37.049171979122292</c:v>
                </c:pt>
                <c:pt idx="15">
                  <c:v>37.063867382335445</c:v>
                </c:pt>
                <c:pt idx="16">
                  <c:v>30.419524640387579</c:v>
                </c:pt>
                <c:pt idx="17">
                  <c:v>24.222899403183778</c:v>
                </c:pt>
                <c:pt idx="18">
                  <c:v>18.017212896121233</c:v>
                </c:pt>
                <c:pt idx="19">
                  <c:v>15.797892791157951</c:v>
                </c:pt>
                <c:pt idx="20">
                  <c:v>12.238113276488066</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3-8D15-4325-8B5E-03AD8D16BE5C}"/>
            </c:ext>
          </c:extLst>
        </c:ser>
        <c:ser>
          <c:idx val="7"/>
          <c:order val="4"/>
          <c:tx>
            <c:strRef>
              <c:f>Charts!$E$29</c:f>
              <c:strCache>
                <c:ptCount val="1"/>
                <c:pt idx="0">
                  <c:v> RRT: Mining company </c:v>
                </c:pt>
              </c:strCache>
            </c:strRef>
          </c:tx>
          <c:spPr>
            <a:solidFill>
              <a:srgbClr val="4BACC6"/>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Charts!$K$29:$AX$29</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4-8D15-4325-8B5E-03AD8D16BE5C}"/>
            </c:ext>
          </c:extLst>
        </c:ser>
        <c:ser>
          <c:idx val="4"/>
          <c:order val="5"/>
          <c:tx>
            <c:strRef>
              <c:f>Charts!$E$30</c:f>
              <c:strCache>
                <c:ptCount val="1"/>
                <c:pt idx="0">
                  <c:v> Dividend withholding tax </c:v>
                </c:pt>
              </c:strCache>
            </c:strRef>
          </c:tx>
          <c:spPr>
            <a:solidFill>
              <a:srgbClr val="F79646"/>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Charts!$K$30:$AX$30</c:f>
              <c:numCache>
                <c:formatCode>#,##0_);\(#,##0\);"-  ";" "@" "</c:formatCode>
                <c:ptCount val="40"/>
                <c:pt idx="0">
                  <c:v>0</c:v>
                </c:pt>
                <c:pt idx="1">
                  <c:v>0</c:v>
                </c:pt>
                <c:pt idx="2">
                  <c:v>0</c:v>
                </c:pt>
                <c:pt idx="3">
                  <c:v>0</c:v>
                </c:pt>
                <c:pt idx="4">
                  <c:v>0</c:v>
                </c:pt>
                <c:pt idx="5">
                  <c:v>3.3343749999999988</c:v>
                </c:pt>
                <c:pt idx="6">
                  <c:v>5.4260151550245039</c:v>
                </c:pt>
                <c:pt idx="7">
                  <c:v>5.9968799899077201</c:v>
                </c:pt>
                <c:pt idx="8">
                  <c:v>5.7622600062186704</c:v>
                </c:pt>
                <c:pt idx="9">
                  <c:v>4.0411399323796893</c:v>
                </c:pt>
                <c:pt idx="10">
                  <c:v>3.9249911443769259</c:v>
                </c:pt>
                <c:pt idx="11">
                  <c:v>9.6888862457006049</c:v>
                </c:pt>
                <c:pt idx="12">
                  <c:v>9.6888862457006102</c:v>
                </c:pt>
                <c:pt idx="13">
                  <c:v>9.4923121349479906</c:v>
                </c:pt>
                <c:pt idx="14">
                  <c:v>9.4961665292764739</c:v>
                </c:pt>
                <c:pt idx="15">
                  <c:v>9.4999453472455748</c:v>
                </c:pt>
                <c:pt idx="16">
                  <c:v>7.7914000707446958</c:v>
                </c:pt>
                <c:pt idx="17">
                  <c:v>6.8379821526065729</c:v>
                </c:pt>
                <c:pt idx="18">
                  <c:v>4.7409346414889759</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5-8D15-4325-8B5E-03AD8D16BE5C}"/>
            </c:ext>
          </c:extLst>
        </c:ser>
        <c:ser>
          <c:idx val="5"/>
          <c:order val="6"/>
          <c:tx>
            <c:strRef>
              <c:f>Charts!$E$31</c:f>
              <c:strCache>
                <c:ptCount val="1"/>
                <c:pt idx="0">
                  <c:v> Interest withholding tax </c:v>
                </c:pt>
              </c:strCache>
            </c:strRef>
          </c:tx>
          <c:spPr>
            <a:solidFill>
              <a:srgbClr val="1F497D"/>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Charts!$K$31:$AX$31</c:f>
              <c:numCache>
                <c:formatCode>#,##0_);\(#,##0\);"-  ";" "@" "</c:formatCode>
                <c:ptCount val="40"/>
                <c:pt idx="0">
                  <c:v>0</c:v>
                </c:pt>
                <c:pt idx="1">
                  <c:v>0</c:v>
                </c:pt>
                <c:pt idx="2">
                  <c:v>0</c:v>
                </c:pt>
                <c:pt idx="3">
                  <c:v>0</c:v>
                </c:pt>
                <c:pt idx="4">
                  <c:v>0</c:v>
                </c:pt>
                <c:pt idx="5">
                  <c:v>0</c:v>
                </c:pt>
                <c:pt idx="6">
                  <c:v>2.1071371734068678</c:v>
                </c:pt>
                <c:pt idx="7">
                  <c:v>1.6526566065936219</c:v>
                </c:pt>
                <c:pt idx="8">
                  <c:v>1.2151886813188395</c:v>
                </c:pt>
                <c:pt idx="9">
                  <c:v>0.7942409681822481</c:v>
                </c:pt>
                <c:pt idx="10">
                  <c:v>0.38933380793247452</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6-8D15-4325-8B5E-03AD8D16BE5C}"/>
            </c:ext>
          </c:extLst>
        </c:ser>
        <c:ser>
          <c:idx val="6"/>
          <c:order val="7"/>
          <c:tx>
            <c:strRef>
              <c:f>Charts!$E$33</c:f>
              <c:strCache>
                <c:ptCount val="1"/>
                <c:pt idx="0">
                  <c:v> State participation cashflows including share of loan </c:v>
                </c:pt>
              </c:strCache>
            </c:strRef>
          </c:tx>
          <c:spPr>
            <a:solidFill>
              <a:srgbClr val="9BBB59">
                <a:lumMod val="50000"/>
              </a:srgbClr>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Charts!$K$33:$AX$33</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7-8D15-4325-8B5E-03AD8D16BE5C}"/>
            </c:ext>
          </c:extLst>
        </c:ser>
        <c:ser>
          <c:idx val="8"/>
          <c:order val="8"/>
          <c:tx>
            <c:strRef>
              <c:f>Charts!$E$32</c:f>
              <c:strCache>
                <c:ptCount val="1"/>
                <c:pt idx="0">
                  <c:v> VAT cashflow: government </c:v>
                </c:pt>
              </c:strCache>
            </c:strRef>
          </c:tx>
          <c:spPr>
            <a:solidFill>
              <a:schemeClr val="accent3">
                <a:lumMod val="60000"/>
              </a:schemeClr>
            </a:solidFill>
            <a:ln>
              <a:noFill/>
            </a:ln>
            <a:effectLst/>
          </c:spPr>
          <c:invertIfNegative val="0"/>
          <c:val>
            <c:numRef>
              <c:f>Charts!$K$32:$AX$32</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3-D366-41BE-ABC8-4CF7F83B3735}"/>
            </c:ext>
          </c:extLst>
        </c:ser>
        <c:dLbls>
          <c:showLegendKey val="0"/>
          <c:showVal val="0"/>
          <c:showCatName val="0"/>
          <c:showSerName val="0"/>
          <c:showPercent val="0"/>
          <c:showBubbleSize val="0"/>
        </c:dLbls>
        <c:gapWidth val="18"/>
        <c:overlap val="100"/>
        <c:axId val="246073984"/>
        <c:axId val="246084352"/>
      </c:barChart>
      <c:catAx>
        <c:axId val="24607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084352"/>
        <c:crosses val="autoZero"/>
        <c:auto val="1"/>
        <c:lblAlgn val="ctr"/>
        <c:lblOffset val="100"/>
        <c:noMultiLvlLbl val="0"/>
      </c:catAx>
      <c:valAx>
        <c:axId val="246084352"/>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Charts!$F$8</c:f>
              <c:strCache>
                <c:ptCount val="1"/>
                <c:pt idx="0">
                  <c:v> US$ mn 2021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073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Dashboard!$B$98</c:f>
          <c:strCache>
            <c:ptCount val="1"/>
            <c:pt idx="0">
              <c:v> Government revenues profiles under selected regimes </c:v>
            </c:pt>
          </c:strCache>
        </c:strRef>
      </c:tx>
      <c:overlay val="0"/>
      <c:spPr>
        <a:noFill/>
        <a:ln>
          <a:noFill/>
        </a:ln>
        <a:effectLst/>
      </c:spPr>
      <c:txPr>
        <a:bodyPr rot="0" spcFirstLastPara="1" vertOverflow="ellipsis" vert="horz" wrap="square" anchor="ctr" anchorCtr="1"/>
        <a:lstStyle/>
        <a:p>
          <a:pPr>
            <a:defRPr sz="108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strRef>
              <c:f>Dashboard!$R$103</c:f>
              <c:strCache>
                <c:ptCount val="1"/>
                <c:pt idx="0">
                  <c:v> Royalty + CIT </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Dashboard!$T$98:$BF$98</c15:sqref>
                  </c15:fullRef>
                </c:ext>
              </c:extLst>
              <c:f>Dashboard!$T$98:$AX$98</c:f>
              <c:numCache>
                <c:formatCode>General</c:formatCode>
                <c:ptCount val="31"/>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numCache>
            </c:numRef>
          </c:cat>
          <c:val>
            <c:numRef>
              <c:extLst>
                <c:ext xmlns:c15="http://schemas.microsoft.com/office/drawing/2012/chart" uri="{02D57815-91ED-43cb-92C2-25804820EDAC}">
                  <c15:fullRef>
                    <c15:sqref>(Dashboard!$R$103,Dashboard!$T$103:$BG$103)</c15:sqref>
                  </c15:fullRef>
                </c:ext>
              </c:extLst>
              <c:f>(Dashboard!$R$103,Dashboard!$T$103:$AW$103)</c:f>
              <c:numCache>
                <c:formatCode>#,##0_);\(#,##0\);"-  ";" "@" "</c:formatCode>
                <c:ptCount val="31"/>
                <c:pt idx="0">
                  <c:v>0</c:v>
                </c:pt>
                <c:pt idx="1">
                  <c:v>0</c:v>
                </c:pt>
                <c:pt idx="2">
                  <c:v>0</c:v>
                </c:pt>
                <c:pt idx="3">
                  <c:v>0</c:v>
                </c:pt>
                <c:pt idx="4">
                  <c:v>0</c:v>
                </c:pt>
                <c:pt idx="5">
                  <c:v>0.73750000000000004</c:v>
                </c:pt>
                <c:pt idx="6">
                  <c:v>8.8656249999999979</c:v>
                </c:pt>
                <c:pt idx="7">
                  <c:v>18.595652328431374</c:v>
                </c:pt>
                <c:pt idx="8">
                  <c:v>18.712036596501342</c:v>
                </c:pt>
                <c:pt idx="9">
                  <c:v>25.901850013156011</c:v>
                </c:pt>
                <c:pt idx="10">
                  <c:v>46.299109346897083</c:v>
                </c:pt>
                <c:pt idx="11">
                  <c:v>52.085327833092393</c:v>
                </c:pt>
                <c:pt idx="12">
                  <c:v>58.550023788694531</c:v>
                </c:pt>
                <c:pt idx="13">
                  <c:v>58.550023788694531</c:v>
                </c:pt>
                <c:pt idx="14">
                  <c:v>57.588994802792826</c:v>
                </c:pt>
                <c:pt idx="15">
                  <c:v>57.607838508398764</c:v>
                </c:pt>
                <c:pt idx="16">
                  <c:v>57.626312729581016</c:v>
                </c:pt>
                <c:pt idx="17">
                  <c:v>47.429674711132272</c:v>
                </c:pt>
                <c:pt idx="18">
                  <c:v>38.435881555790353</c:v>
                </c:pt>
                <c:pt idx="19">
                  <c:v>28.28939753761021</c:v>
                </c:pt>
                <c:pt idx="20">
                  <c:v>20.591642791157952</c:v>
                </c:pt>
                <c:pt idx="21">
                  <c:v>15.925613276488066</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EDBB-42A7-842F-CC2B78612BFD}"/>
            </c:ext>
          </c:extLst>
        </c:ser>
        <c:ser>
          <c:idx val="1"/>
          <c:order val="1"/>
          <c:tx>
            <c:strRef>
              <c:f>Dashboard!$R$104</c:f>
              <c:strCache>
                <c:ptCount val="1"/>
                <c:pt idx="0">
                  <c:v> High royalty / low CIT </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Dashboard!$T$98:$BF$98</c15:sqref>
                  </c15:fullRef>
                </c:ext>
              </c:extLst>
              <c:f>Dashboard!$T$98:$AX$98</c:f>
              <c:numCache>
                <c:formatCode>General</c:formatCode>
                <c:ptCount val="31"/>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numCache>
            </c:numRef>
          </c:cat>
          <c:val>
            <c:numRef>
              <c:extLst>
                <c:ext xmlns:c15="http://schemas.microsoft.com/office/drawing/2012/chart" uri="{02D57815-91ED-43cb-92C2-25804820EDAC}">
                  <c15:fullRef>
                    <c15:sqref>(Dashboard!$R$104,Dashboard!$T$104:$BG$104)</c15:sqref>
                  </c15:fullRef>
                </c:ext>
              </c:extLst>
              <c:f>(Dashboard!$R$104,Dashboard!$T$104:$AW$104)</c:f>
              <c:numCache>
                <c:formatCode>#,##0_);\(#,##0\);"-  ";" "@" "</c:formatCode>
                <c:ptCount val="31"/>
                <c:pt idx="0">
                  <c:v>0</c:v>
                </c:pt>
                <c:pt idx="1">
                  <c:v>0</c:v>
                </c:pt>
                <c:pt idx="2">
                  <c:v>0</c:v>
                </c:pt>
                <c:pt idx="3">
                  <c:v>0</c:v>
                </c:pt>
                <c:pt idx="4">
                  <c:v>0</c:v>
                </c:pt>
                <c:pt idx="5">
                  <c:v>1.3274999999999999</c:v>
                </c:pt>
                <c:pt idx="6">
                  <c:v>12.848125</c:v>
                </c:pt>
                <c:pt idx="7">
                  <c:v>26.560652328431374</c:v>
                </c:pt>
                <c:pt idx="8">
                  <c:v>26.677036596501338</c:v>
                </c:pt>
                <c:pt idx="9">
                  <c:v>26.791138820099359</c:v>
                </c:pt>
                <c:pt idx="10">
                  <c:v>44.382572883462295</c:v>
                </c:pt>
                <c:pt idx="11">
                  <c:v>49.017998520891041</c:v>
                </c:pt>
                <c:pt idx="12">
                  <c:v>55.202374134781799</c:v>
                </c:pt>
                <c:pt idx="13">
                  <c:v>55.202374134781806</c:v>
                </c:pt>
                <c:pt idx="14">
                  <c:v>54.437919259632721</c:v>
                </c:pt>
                <c:pt idx="15">
                  <c:v>54.452908570910182</c:v>
                </c:pt>
                <c:pt idx="16">
                  <c:v>54.467603974123342</c:v>
                </c:pt>
                <c:pt idx="17">
                  <c:v>44.917511232175471</c:v>
                </c:pt>
                <c:pt idx="18">
                  <c:v>36.45513599497167</c:v>
                </c:pt>
                <c:pt idx="19">
                  <c:v>27.063397300723707</c:v>
                </c:pt>
                <c:pt idx="20">
                  <c:v>19.145959136541393</c:v>
                </c:pt>
                <c:pt idx="21">
                  <c:v>14.789009483205762</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1-EDBB-42A7-842F-CC2B78612BFD}"/>
            </c:ext>
          </c:extLst>
        </c:ser>
        <c:ser>
          <c:idx val="2"/>
          <c:order val="2"/>
          <c:tx>
            <c:strRef>
              <c:f>Dashboard!$R$105</c:f>
              <c:strCache>
                <c:ptCount val="1"/>
                <c:pt idx="0">
                  <c:v> RRT </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Dashboard!$T$98:$BF$98</c15:sqref>
                  </c15:fullRef>
                </c:ext>
              </c:extLst>
              <c:f>Dashboard!$T$98:$AX$98</c:f>
              <c:numCache>
                <c:formatCode>General</c:formatCode>
                <c:ptCount val="31"/>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numCache>
            </c:numRef>
          </c:cat>
          <c:val>
            <c:numRef>
              <c:extLst>
                <c:ext xmlns:c15="http://schemas.microsoft.com/office/drawing/2012/chart" uri="{02D57815-91ED-43cb-92C2-25804820EDAC}">
                  <c15:fullRef>
                    <c15:sqref>(Dashboard!$R$105,Dashboard!$T$105:$BG$105)</c15:sqref>
                  </c15:fullRef>
                </c:ext>
              </c:extLst>
              <c:f>(Dashboard!$R$105,Dashboard!$T$105:$AW$105)</c:f>
              <c:numCache>
                <c:formatCode>#,##0_);\(#,##0\);"-  ";" "@" "</c:formatCode>
                <c:ptCount val="31"/>
                <c:pt idx="0">
                  <c:v>0</c:v>
                </c:pt>
                <c:pt idx="1">
                  <c:v>0</c:v>
                </c:pt>
                <c:pt idx="2">
                  <c:v>0</c:v>
                </c:pt>
                <c:pt idx="3">
                  <c:v>0</c:v>
                </c:pt>
                <c:pt idx="4">
                  <c:v>0</c:v>
                </c:pt>
                <c:pt idx="5">
                  <c:v>0.29499999999999998</c:v>
                </c:pt>
                <c:pt idx="6">
                  <c:v>5.8787499999999993</c:v>
                </c:pt>
                <c:pt idx="7">
                  <c:v>12.621902328431373</c:v>
                </c:pt>
                <c:pt idx="8">
                  <c:v>12.738286596501341</c:v>
                </c:pt>
                <c:pt idx="9">
                  <c:v>19.756148905492452</c:v>
                </c:pt>
                <c:pt idx="10">
                  <c:v>36.6071057141233</c:v>
                </c:pt>
                <c:pt idx="11">
                  <c:v>58.818153960670834</c:v>
                </c:pt>
                <c:pt idx="12">
                  <c:v>64.69592920081476</c:v>
                </c:pt>
                <c:pt idx="13">
                  <c:v>64.695929200814774</c:v>
                </c:pt>
                <c:pt idx="14">
                  <c:v>63.532183163199427</c:v>
                </c:pt>
                <c:pt idx="15">
                  <c:v>63.555001712956624</c:v>
                </c:pt>
                <c:pt idx="16">
                  <c:v>63.57737284016951</c:v>
                </c:pt>
                <c:pt idx="17">
                  <c:v>52.253508442829222</c:v>
                </c:pt>
                <c:pt idx="18">
                  <c:v>43.691213996907365</c:v>
                </c:pt>
                <c:pt idx="19">
                  <c:v>31.583669464881332</c:v>
                </c:pt>
                <c:pt idx="20">
                  <c:v>24.159236789210699</c:v>
                </c:pt>
                <c:pt idx="21">
                  <c:v>18.49055535872105</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2-EDBB-42A7-842F-CC2B78612BFD}"/>
            </c:ext>
          </c:extLst>
        </c:ser>
        <c:ser>
          <c:idx val="3"/>
          <c:order val="3"/>
          <c:tx>
            <c:strRef>
              <c:f>Dashboard!$R$106</c:f>
              <c:strCache>
                <c:ptCount val="1"/>
                <c:pt idx="0">
                  <c:v> Royalty + CIT + SP </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Dashboard!$T$98:$BF$98</c15:sqref>
                  </c15:fullRef>
                </c:ext>
              </c:extLst>
              <c:f>Dashboard!$T$98:$AX$98</c:f>
              <c:numCache>
                <c:formatCode>General</c:formatCode>
                <c:ptCount val="31"/>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numCache>
            </c:numRef>
          </c:cat>
          <c:val>
            <c:numRef>
              <c:extLst>
                <c:ext xmlns:c15="http://schemas.microsoft.com/office/drawing/2012/chart" uri="{02D57815-91ED-43cb-92C2-25804820EDAC}">
                  <c15:fullRef>
                    <c15:sqref>(Dashboard!$R$106,Dashboard!$T$106:$BG$106)</c15:sqref>
                  </c15:fullRef>
                </c:ext>
              </c:extLst>
              <c:f>(Dashboard!$R$106,Dashboard!$T$106:$AW$106)</c:f>
              <c:numCache>
                <c:formatCode>#,##0_);\(#,##0\);"-  ";" "@" "</c:formatCode>
                <c:ptCount val="31"/>
                <c:pt idx="0">
                  <c:v>0</c:v>
                </c:pt>
                <c:pt idx="1">
                  <c:v>0</c:v>
                </c:pt>
                <c:pt idx="2">
                  <c:v>0</c:v>
                </c:pt>
                <c:pt idx="3">
                  <c:v>0</c:v>
                </c:pt>
                <c:pt idx="4">
                  <c:v>0</c:v>
                </c:pt>
                <c:pt idx="5">
                  <c:v>0.73750000000000004</c:v>
                </c:pt>
                <c:pt idx="6">
                  <c:v>11.866562499999997</c:v>
                </c:pt>
                <c:pt idx="7">
                  <c:v>23.479065967953428</c:v>
                </c:pt>
                <c:pt idx="8">
                  <c:v>24.109228587418286</c:v>
                </c:pt>
                <c:pt idx="9">
                  <c:v>29.268415426252531</c:v>
                </c:pt>
                <c:pt idx="10">
                  <c:v>42.900422417029823</c:v>
                </c:pt>
                <c:pt idx="11">
                  <c:v>47.122423482050415</c:v>
                </c:pt>
                <c:pt idx="12">
                  <c:v>58.52233672130361</c:v>
                </c:pt>
                <c:pt idx="13">
                  <c:v>58.522336721303631</c:v>
                </c:pt>
                <c:pt idx="14">
                  <c:v>57.561307735401932</c:v>
                </c:pt>
                <c:pt idx="15">
                  <c:v>57.580151441007871</c:v>
                </c:pt>
                <c:pt idx="16">
                  <c:v>57.598625662190109</c:v>
                </c:pt>
                <c:pt idx="17">
                  <c:v>47.401987643741371</c:v>
                </c:pt>
                <c:pt idx="18">
                  <c:v>38.984194488399453</c:v>
                </c:pt>
                <c:pt idx="19">
                  <c:v>29.040970806691682</c:v>
                </c:pt>
                <c:pt idx="20">
                  <c:v>16.97160287212019</c:v>
                </c:pt>
                <c:pt idx="21">
                  <c:v>12.429009483205762</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3-EDBB-42A7-842F-CC2B78612BFD}"/>
            </c:ext>
          </c:extLst>
        </c:ser>
        <c:ser>
          <c:idx val="4"/>
          <c:order val="4"/>
          <c:tx>
            <c:strRef>
              <c:f>Dashboard!$R$107</c:f>
              <c:strCache>
                <c:ptCount val="1"/>
                <c:pt idx="0">
                  <c:v> Royalty + CIT, no debt </c:v>
                </c:pt>
              </c:strCache>
              <c:extLst xmlns:c15="http://schemas.microsoft.com/office/drawing/2012/chart"/>
            </c:strRef>
          </c:tx>
          <c:spPr>
            <a:ln w="28575" cap="rnd">
              <a:solidFill>
                <a:schemeClr val="accent5"/>
              </a:solidFill>
              <a:round/>
            </a:ln>
            <a:effectLst/>
          </c:spPr>
          <c:marker>
            <c:symbol val="none"/>
          </c:marker>
          <c:cat>
            <c:numRef>
              <c:extLst>
                <c:ext xmlns:c15="http://schemas.microsoft.com/office/drawing/2012/chart" uri="{02D57815-91ED-43cb-92C2-25804820EDAC}">
                  <c15:fullRef>
                    <c15:sqref>Dashboard!$T$98:$BF$98</c15:sqref>
                  </c15:fullRef>
                </c:ext>
              </c:extLst>
              <c:f>Dashboard!$T$98:$AX$98</c:f>
              <c:numCache>
                <c:formatCode>General</c:formatCode>
                <c:ptCount val="31"/>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numCache>
            </c:numRef>
          </c:cat>
          <c:val>
            <c:numRef>
              <c:extLst>
                <c:ext xmlns:c15="http://schemas.microsoft.com/office/drawing/2012/chart" uri="{02D57815-91ED-43cb-92C2-25804820EDAC}">
                  <c15:fullRef>
                    <c15:sqref>(Dashboard!$R$107,Dashboard!$T$107:$BG$107)</c15:sqref>
                  </c15:fullRef>
                </c:ext>
              </c:extLst>
              <c:f>(Dashboard!$R$107,Dashboard!$T$107:$AW$107)</c:f>
              <c:numCache>
                <c:formatCode>#,##0_);\(#,##0\);"-  ";" "@" "</c:formatCode>
                <c:ptCount val="31"/>
                <c:pt idx="0">
                  <c:v>0</c:v>
                </c:pt>
                <c:pt idx="1">
                  <c:v>0</c:v>
                </c:pt>
                <c:pt idx="2">
                  <c:v>0</c:v>
                </c:pt>
                <c:pt idx="3">
                  <c:v>0</c:v>
                </c:pt>
                <c:pt idx="4">
                  <c:v>0</c:v>
                </c:pt>
                <c:pt idx="5">
                  <c:v>0.73750000000000004</c:v>
                </c:pt>
                <c:pt idx="6">
                  <c:v>5.53125</c:v>
                </c:pt>
                <c:pt idx="7">
                  <c:v>24.53125</c:v>
                </c:pt>
                <c:pt idx="8">
                  <c:v>34.87144825129328</c:v>
                </c:pt>
                <c:pt idx="9">
                  <c:v>40.250319689645849</c:v>
                </c:pt>
                <c:pt idx="10">
                  <c:v>53.893842841520907</c:v>
                </c:pt>
                <c:pt idx="11">
                  <c:v>58.550023788694538</c:v>
                </c:pt>
                <c:pt idx="12">
                  <c:v>58.550023788694531</c:v>
                </c:pt>
                <c:pt idx="13">
                  <c:v>58.550023788694531</c:v>
                </c:pt>
                <c:pt idx="14">
                  <c:v>57.588994802792826</c:v>
                </c:pt>
                <c:pt idx="15">
                  <c:v>57.607838508398764</c:v>
                </c:pt>
                <c:pt idx="16">
                  <c:v>57.626312729581016</c:v>
                </c:pt>
                <c:pt idx="17">
                  <c:v>39.884513794660577</c:v>
                </c:pt>
                <c:pt idx="18">
                  <c:v>31.597899403183778</c:v>
                </c:pt>
                <c:pt idx="19">
                  <c:v>23.548462896121233</c:v>
                </c:pt>
                <c:pt idx="20">
                  <c:v>20.591642791157952</c:v>
                </c:pt>
                <c:pt idx="21">
                  <c:v>15.925613276488088</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4-EDBB-42A7-842F-CC2B78612BFD}"/>
            </c:ext>
          </c:extLst>
        </c:ser>
        <c:dLbls>
          <c:showLegendKey val="0"/>
          <c:showVal val="0"/>
          <c:showCatName val="0"/>
          <c:showSerName val="0"/>
          <c:showPercent val="0"/>
          <c:showBubbleSize val="0"/>
        </c:dLbls>
        <c:smooth val="0"/>
        <c:axId val="160320128"/>
        <c:axId val="160326400"/>
        <c:extLst/>
      </c:lineChart>
      <c:catAx>
        <c:axId val="160320128"/>
        <c:scaling>
          <c:orientation val="minMax"/>
        </c:scaling>
        <c:delete val="0"/>
        <c:axPos val="b"/>
        <c:title>
          <c:tx>
            <c:strRef>
              <c:f>Dashboard!$B$101</c:f>
              <c:strCache>
                <c:ptCount val="1"/>
                <c:pt idx="0">
                  <c:v> Years </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0326400"/>
        <c:crosses val="autoZero"/>
        <c:auto val="1"/>
        <c:lblAlgn val="ctr"/>
        <c:lblOffset val="100"/>
        <c:noMultiLvlLbl val="0"/>
      </c:catAx>
      <c:valAx>
        <c:axId val="160326400"/>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Dashboard!$B$99</c:f>
              <c:strCache>
                <c:ptCount val="1"/>
                <c:pt idx="0">
                  <c:v> US$ mn 2021 </c:v>
                </c:pt>
              </c:strCache>
            </c:strRef>
          </c:tx>
          <c:overlay val="0"/>
          <c:spPr>
            <a:noFill/>
            <a:ln>
              <a:noFill/>
            </a:ln>
            <a:effectLst/>
          </c:spPr>
          <c:txPr>
            <a:bodyPr rot="-54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0320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900">
          <a:solidFill>
            <a:schemeClr val="tx1"/>
          </a:solidFill>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Dashboard!$B$69</c:f>
          <c:strCache>
            <c:ptCount val="1"/>
            <c:pt idx="0">
              <c:v> Government revenues under alternative regimes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6840892574342689"/>
          <c:y val="8.4721238328806875E-2"/>
          <c:w val="0.67633279143720093"/>
          <c:h val="0.60869204572568936"/>
        </c:manualLayout>
      </c:layout>
      <c:barChart>
        <c:barDir val="col"/>
        <c:grouping val="stacked"/>
        <c:varyColors val="0"/>
        <c:ser>
          <c:idx val="1"/>
          <c:order val="0"/>
          <c:tx>
            <c:strRef>
              <c:f>Dashboard!$R$71</c:f>
              <c:strCache>
                <c:ptCount val="1"/>
                <c:pt idx="0">
                  <c:v> Signature bonus </c:v>
                </c:pt>
              </c:strCache>
            </c:strRef>
          </c:tx>
          <c:spPr>
            <a:solidFill>
              <a:schemeClr val="bg1">
                <a:lumMod val="65000"/>
              </a:schemeClr>
            </a:solidFill>
            <a:ln>
              <a:noFill/>
            </a:ln>
            <a:effectLst/>
          </c:spPr>
          <c:invertIfNegative val="0"/>
          <c:cat>
            <c:strRef>
              <c:f>Dashboard!$U$68:$Z$68</c:f>
              <c:strCache>
                <c:ptCount val="5"/>
                <c:pt idx="0">
                  <c:v> Royalty + CIT </c:v>
                </c:pt>
                <c:pt idx="1">
                  <c:v> High royalty / low CIT </c:v>
                </c:pt>
                <c:pt idx="2">
                  <c:v> RRT </c:v>
                </c:pt>
                <c:pt idx="3">
                  <c:v> Royalty + CIT + SP </c:v>
                </c:pt>
                <c:pt idx="4">
                  <c:v> Royalty + CIT, no debt </c:v>
                </c:pt>
              </c:strCache>
            </c:strRef>
          </c:cat>
          <c:val>
            <c:numRef>
              <c:f>Dashboard!$U$71:$Y$71</c:f>
              <c:numCache>
                <c:formatCode>#,##0_);\(#,##0\);"-  ";" "@" "</c:formatCode>
                <c:ptCount val="5"/>
                <c:pt idx="0">
                  <c:v>0</c:v>
                </c:pt>
                <c:pt idx="1">
                  <c:v>0</c:v>
                </c:pt>
                <c:pt idx="2">
                  <c:v>0</c:v>
                </c:pt>
                <c:pt idx="3">
                  <c:v>0</c:v>
                </c:pt>
                <c:pt idx="4">
                  <c:v>0</c:v>
                </c:pt>
              </c:numCache>
            </c:numRef>
          </c:val>
          <c:extLst>
            <c:ext xmlns:c16="http://schemas.microsoft.com/office/drawing/2014/chart" uri="{C3380CC4-5D6E-409C-BE32-E72D297353CC}">
              <c16:uniqueId val="{00000001-7EFE-4657-9012-7C0608ABAC2E}"/>
            </c:ext>
          </c:extLst>
        </c:ser>
        <c:ser>
          <c:idx val="0"/>
          <c:order val="1"/>
          <c:tx>
            <c:strRef>
              <c:f>Dashboard!$R$69</c:f>
              <c:strCache>
                <c:ptCount val="1"/>
                <c:pt idx="0">
                  <c:v> Royalty </c:v>
                </c:pt>
              </c:strCache>
            </c:strRef>
          </c:tx>
          <c:spPr>
            <a:solidFill>
              <a:srgbClr val="0070C0"/>
            </a:solidFill>
            <a:ln>
              <a:noFill/>
            </a:ln>
            <a:effectLst/>
          </c:spPr>
          <c:invertIfNegative val="0"/>
          <c:cat>
            <c:strRef>
              <c:f>Dashboard!$U$68:$Z$68</c:f>
              <c:strCache>
                <c:ptCount val="5"/>
                <c:pt idx="0">
                  <c:v> Royalty + CIT </c:v>
                </c:pt>
                <c:pt idx="1">
                  <c:v> High royalty / low CIT </c:v>
                </c:pt>
                <c:pt idx="2">
                  <c:v> RRT </c:v>
                </c:pt>
                <c:pt idx="3">
                  <c:v> Royalty + CIT + SP </c:v>
                </c:pt>
                <c:pt idx="4">
                  <c:v> Royalty + CIT, no debt </c:v>
                </c:pt>
              </c:strCache>
            </c:strRef>
          </c:cat>
          <c:val>
            <c:numRef>
              <c:f>Dashboard!$U$69:$Y$69</c:f>
              <c:numCache>
                <c:formatCode>#,##0_);\(#,##0\);"-  ";" "@" "</c:formatCode>
                <c:ptCount val="5"/>
                <c:pt idx="0">
                  <c:v>147.5</c:v>
                </c:pt>
                <c:pt idx="1">
                  <c:v>265.5</c:v>
                </c:pt>
                <c:pt idx="2">
                  <c:v>58.999999999999993</c:v>
                </c:pt>
                <c:pt idx="3">
                  <c:v>147.5</c:v>
                </c:pt>
                <c:pt idx="4">
                  <c:v>147.5</c:v>
                </c:pt>
              </c:numCache>
            </c:numRef>
          </c:val>
          <c:extLst>
            <c:ext xmlns:c16="http://schemas.microsoft.com/office/drawing/2014/chart" uri="{C3380CC4-5D6E-409C-BE32-E72D297353CC}">
              <c16:uniqueId val="{00000000-7EFE-4657-9012-7C0608ABAC2E}"/>
            </c:ext>
          </c:extLst>
        </c:ser>
        <c:ser>
          <c:idx val="2"/>
          <c:order val="2"/>
          <c:tx>
            <c:strRef>
              <c:f>Dashboard!$R$70</c:f>
              <c:strCache>
                <c:ptCount val="1"/>
                <c:pt idx="0">
                  <c:v> Carbon tax </c:v>
                </c:pt>
              </c:strCache>
            </c:strRef>
          </c:tx>
          <c:spPr>
            <a:solidFill>
              <a:schemeClr val="accent3"/>
            </a:solidFill>
            <a:ln w="25400">
              <a:noFill/>
            </a:ln>
            <a:effectLst/>
          </c:spPr>
          <c:invertIfNegative val="0"/>
          <c:cat>
            <c:strRef>
              <c:f>Dashboard!$U$68:$Z$68</c:f>
              <c:strCache>
                <c:ptCount val="5"/>
                <c:pt idx="0">
                  <c:v> Royalty + CIT </c:v>
                </c:pt>
                <c:pt idx="1">
                  <c:v> High royalty / low CIT </c:v>
                </c:pt>
                <c:pt idx="2">
                  <c:v> RRT </c:v>
                </c:pt>
                <c:pt idx="3">
                  <c:v> Royalty + CIT + SP </c:v>
                </c:pt>
                <c:pt idx="4">
                  <c:v> Royalty + CIT, no debt </c:v>
                </c:pt>
              </c:strCache>
            </c:strRef>
          </c:cat>
          <c:val>
            <c:numRef>
              <c:f>Dashboard!$U$70:$Y$70</c:f>
              <c:numCache>
                <c:formatCode>#,##0_);\(#,##0\);"-  ";" "@" "</c:formatCode>
                <c:ptCount val="5"/>
                <c:pt idx="0">
                  <c:v>0</c:v>
                </c:pt>
                <c:pt idx="1">
                  <c:v>0</c:v>
                </c:pt>
                <c:pt idx="2">
                  <c:v>0</c:v>
                </c:pt>
                <c:pt idx="3">
                  <c:v>0</c:v>
                </c:pt>
                <c:pt idx="4">
                  <c:v>0</c:v>
                </c:pt>
              </c:numCache>
            </c:numRef>
          </c:val>
          <c:extLst>
            <c:ext xmlns:c16="http://schemas.microsoft.com/office/drawing/2014/chart" uri="{C3380CC4-5D6E-409C-BE32-E72D297353CC}">
              <c16:uniqueId val="{00000000-0E65-4CF9-A02B-59FE819CABD0}"/>
            </c:ext>
          </c:extLst>
        </c:ser>
        <c:ser>
          <c:idx val="3"/>
          <c:order val="3"/>
          <c:tx>
            <c:strRef>
              <c:f>Dashboard!$R$72</c:f>
              <c:strCache>
                <c:ptCount val="1"/>
                <c:pt idx="0">
                  <c:v> CIT: Mining company </c:v>
                </c:pt>
              </c:strCache>
            </c:strRef>
          </c:tx>
          <c:spPr>
            <a:solidFill>
              <a:srgbClr val="FFFF00"/>
            </a:solidFill>
            <a:ln>
              <a:noFill/>
            </a:ln>
            <a:effectLst/>
          </c:spPr>
          <c:invertIfNegative val="0"/>
          <c:cat>
            <c:strRef>
              <c:f>Dashboard!$U$68:$Z$68</c:f>
              <c:strCache>
                <c:ptCount val="5"/>
                <c:pt idx="0">
                  <c:v> Royalty + CIT </c:v>
                </c:pt>
                <c:pt idx="1">
                  <c:v> High royalty / low CIT </c:v>
                </c:pt>
                <c:pt idx="2">
                  <c:v> RRT </c:v>
                </c:pt>
                <c:pt idx="3">
                  <c:v> Royalty + CIT + SP </c:v>
                </c:pt>
                <c:pt idx="4">
                  <c:v> Royalty + CIT, no debt </c:v>
                </c:pt>
              </c:strCache>
            </c:strRef>
          </c:cat>
          <c:val>
            <c:numRef>
              <c:f>Dashboard!$U$72:$Y$72</c:f>
              <c:numCache>
                <c:formatCode>#,##0_);\(#,##0\);"-  ";" "@" "</c:formatCode>
                <c:ptCount val="5"/>
                <c:pt idx="0">
                  <c:v>362.41177277536571</c:v>
                </c:pt>
                <c:pt idx="1">
                  <c:v>235.43948848940033</c:v>
                </c:pt>
                <c:pt idx="2">
                  <c:v>207.33221317311876</c:v>
                </c:pt>
                <c:pt idx="3">
                  <c:v>258.86555198240404</c:v>
                </c:pt>
                <c:pt idx="4">
                  <c:v>386.81862297946748</c:v>
                </c:pt>
              </c:numCache>
            </c:numRef>
          </c:val>
          <c:extLst>
            <c:ext xmlns:c16="http://schemas.microsoft.com/office/drawing/2014/chart" uri="{C3380CC4-5D6E-409C-BE32-E72D297353CC}">
              <c16:uniqueId val="{00000003-7EFE-4657-9012-7C0608ABAC2E}"/>
            </c:ext>
          </c:extLst>
        </c:ser>
        <c:ser>
          <c:idx val="6"/>
          <c:order val="4"/>
          <c:tx>
            <c:strRef>
              <c:f>Dashboard!$R$73</c:f>
              <c:strCache>
                <c:ptCount val="1"/>
                <c:pt idx="0">
                  <c:v> RRT: Mining company </c:v>
                </c:pt>
              </c:strCache>
            </c:strRef>
          </c:tx>
          <c:spPr>
            <a:solidFill>
              <a:srgbClr val="4BACC6"/>
            </a:solidFill>
            <a:ln w="25400">
              <a:noFill/>
            </a:ln>
            <a:effectLst/>
          </c:spPr>
          <c:invertIfNegative val="0"/>
          <c:cat>
            <c:strRef>
              <c:f>Dashboard!$U$68:$Z$68</c:f>
              <c:strCache>
                <c:ptCount val="5"/>
                <c:pt idx="0">
                  <c:v> Royalty + CIT </c:v>
                </c:pt>
                <c:pt idx="1">
                  <c:v> High royalty / low CIT </c:v>
                </c:pt>
                <c:pt idx="2">
                  <c:v> RRT </c:v>
                </c:pt>
                <c:pt idx="3">
                  <c:v> Royalty + CIT + SP </c:v>
                </c:pt>
                <c:pt idx="4">
                  <c:v> Royalty + CIT, no debt </c:v>
                </c:pt>
              </c:strCache>
            </c:strRef>
          </c:cat>
          <c:val>
            <c:numRef>
              <c:f>Dashboard!$U$73:$Y$73</c:f>
              <c:numCache>
                <c:formatCode>#,##0_);\(#,##0\);"-  ";" "@" "</c:formatCode>
                <c:ptCount val="5"/>
                <c:pt idx="0">
                  <c:v>0</c:v>
                </c:pt>
                <c:pt idx="1">
                  <c:v>0</c:v>
                </c:pt>
                <c:pt idx="2">
                  <c:v>271.56362032610872</c:v>
                </c:pt>
                <c:pt idx="3">
                  <c:v>0</c:v>
                </c:pt>
                <c:pt idx="4">
                  <c:v>0</c:v>
                </c:pt>
              </c:numCache>
            </c:numRef>
          </c:val>
          <c:extLst>
            <c:ext xmlns:c16="http://schemas.microsoft.com/office/drawing/2014/chart" uri="{C3380CC4-5D6E-409C-BE32-E72D297353CC}">
              <c16:uniqueId val="{00000001-125D-4AD2-8EDF-B97FF6D11DD1}"/>
            </c:ext>
          </c:extLst>
        </c:ser>
        <c:ser>
          <c:idx val="4"/>
          <c:order val="5"/>
          <c:tx>
            <c:strRef>
              <c:f>Dashboard!$R$74</c:f>
              <c:strCache>
                <c:ptCount val="1"/>
                <c:pt idx="0">
                  <c:v> Dividend withholding tax </c:v>
                </c:pt>
              </c:strCache>
            </c:strRef>
          </c:tx>
          <c:spPr>
            <a:solidFill>
              <a:schemeClr val="accent6"/>
            </a:solidFill>
            <a:ln>
              <a:noFill/>
            </a:ln>
            <a:effectLst/>
          </c:spPr>
          <c:invertIfNegative val="0"/>
          <c:cat>
            <c:strRef>
              <c:f>Dashboard!$U$68:$Z$68</c:f>
              <c:strCache>
                <c:ptCount val="5"/>
                <c:pt idx="0">
                  <c:v> Royalty + CIT </c:v>
                </c:pt>
                <c:pt idx="1">
                  <c:v> High royalty / low CIT </c:v>
                </c:pt>
                <c:pt idx="2">
                  <c:v> RRT </c:v>
                </c:pt>
                <c:pt idx="3">
                  <c:v> Royalty + CIT + SP </c:v>
                </c:pt>
                <c:pt idx="4">
                  <c:v> Royalty + CIT, no debt </c:v>
                </c:pt>
              </c:strCache>
            </c:strRef>
          </c:cat>
          <c:val>
            <c:numRef>
              <c:f>Dashboard!$U$74:$Y$74</c:f>
              <c:numCache>
                <c:formatCode>#,##0_);\(#,##0\);"-  ";" "@" "</c:formatCode>
                <c:ptCount val="5"/>
                <c:pt idx="0">
                  <c:v>95.722174595619009</c:v>
                </c:pt>
                <c:pt idx="1">
                  <c:v>96.641171644398881</c:v>
                </c:pt>
                <c:pt idx="2">
                  <c:v>92.895556939062502</c:v>
                </c:pt>
                <c:pt idx="3">
                  <c:v>95.48148919084673</c:v>
                </c:pt>
                <c:pt idx="4">
                  <c:v>105.51833737146043</c:v>
                </c:pt>
              </c:numCache>
            </c:numRef>
          </c:val>
          <c:extLst>
            <c:ext xmlns:c16="http://schemas.microsoft.com/office/drawing/2014/chart" uri="{C3380CC4-5D6E-409C-BE32-E72D297353CC}">
              <c16:uniqueId val="{00000004-7EFE-4657-9012-7C0608ABAC2E}"/>
            </c:ext>
          </c:extLst>
        </c:ser>
        <c:ser>
          <c:idx val="5"/>
          <c:order val="6"/>
          <c:tx>
            <c:strRef>
              <c:f>Dashboard!$R$75</c:f>
              <c:strCache>
                <c:ptCount val="1"/>
                <c:pt idx="0">
                  <c:v> Interest withholding tax </c:v>
                </c:pt>
              </c:strCache>
            </c:strRef>
          </c:tx>
          <c:spPr>
            <a:solidFill>
              <a:srgbClr val="1F497D"/>
            </a:solidFill>
            <a:ln>
              <a:noFill/>
            </a:ln>
            <a:effectLst/>
          </c:spPr>
          <c:invertIfNegative val="0"/>
          <c:cat>
            <c:strRef>
              <c:f>Dashboard!$U$68:$Z$68</c:f>
              <c:strCache>
                <c:ptCount val="5"/>
                <c:pt idx="0">
                  <c:v> Royalty + CIT </c:v>
                </c:pt>
                <c:pt idx="1">
                  <c:v> High royalty / low CIT </c:v>
                </c:pt>
                <c:pt idx="2">
                  <c:v> RRT </c:v>
                </c:pt>
                <c:pt idx="3">
                  <c:v> Royalty + CIT + SP </c:v>
                </c:pt>
                <c:pt idx="4">
                  <c:v> Royalty + CIT, no debt </c:v>
                </c:pt>
              </c:strCache>
            </c:strRef>
          </c:cat>
          <c:val>
            <c:numRef>
              <c:f>Dashboard!$U$75:$Y$75</c:f>
              <c:numCache>
                <c:formatCode>#,##0_);\(#,##0\);"-  ";" "@" "</c:formatCode>
                <c:ptCount val="5"/>
                <c:pt idx="0">
                  <c:v>6.158557237434052</c:v>
                </c:pt>
                <c:pt idx="1">
                  <c:v>6.158557237434052</c:v>
                </c:pt>
                <c:pt idx="2">
                  <c:v>6.158557237434052</c:v>
                </c:pt>
                <c:pt idx="3">
                  <c:v>6.158557237434052</c:v>
                </c:pt>
                <c:pt idx="4">
                  <c:v>0</c:v>
                </c:pt>
              </c:numCache>
            </c:numRef>
          </c:val>
          <c:extLst>
            <c:ext xmlns:c16="http://schemas.microsoft.com/office/drawing/2014/chart" uri="{C3380CC4-5D6E-409C-BE32-E72D297353CC}">
              <c16:uniqueId val="{00000005-7EFE-4657-9012-7C0608ABAC2E}"/>
            </c:ext>
          </c:extLst>
        </c:ser>
        <c:ser>
          <c:idx val="7"/>
          <c:order val="8"/>
          <c:tx>
            <c:strRef>
              <c:f>Dashboard!$R$78</c:f>
              <c:strCache>
                <c:ptCount val="1"/>
                <c:pt idx="0">
                  <c:v> State participation cashflows including share of loan </c:v>
                </c:pt>
              </c:strCache>
            </c:strRef>
          </c:tx>
          <c:spPr>
            <a:solidFill>
              <a:schemeClr val="accent3">
                <a:lumMod val="50000"/>
              </a:schemeClr>
            </a:solidFill>
            <a:ln>
              <a:noFill/>
            </a:ln>
            <a:effectLst/>
          </c:spPr>
          <c:invertIfNegative val="0"/>
          <c:cat>
            <c:strRef>
              <c:f>Dashboard!$U$68:$Z$68</c:f>
              <c:strCache>
                <c:ptCount val="5"/>
                <c:pt idx="0">
                  <c:v> Royalty + CIT </c:v>
                </c:pt>
                <c:pt idx="1">
                  <c:v> High royalty / low CIT </c:v>
                </c:pt>
                <c:pt idx="2">
                  <c:v> RRT </c:v>
                </c:pt>
                <c:pt idx="3">
                  <c:v> Royalty + CIT + SP </c:v>
                </c:pt>
                <c:pt idx="4">
                  <c:v> Royalty + CIT, no debt </c:v>
                </c:pt>
              </c:strCache>
            </c:strRef>
          </c:cat>
          <c:val>
            <c:numRef>
              <c:f>Dashboard!$U$78:$Y$78</c:f>
              <c:numCache>
                <c:formatCode>#,##0_);\(#,##0\);"-  ";" "@" "</c:formatCode>
                <c:ptCount val="5"/>
                <c:pt idx="0">
                  <c:v>0</c:v>
                </c:pt>
                <c:pt idx="1">
                  <c:v>0</c:v>
                </c:pt>
                <c:pt idx="2">
                  <c:v>0</c:v>
                </c:pt>
                <c:pt idx="3">
                  <c:v>106.09054354538529</c:v>
                </c:pt>
                <c:pt idx="4">
                  <c:v>0</c:v>
                </c:pt>
              </c:numCache>
            </c:numRef>
          </c:val>
          <c:extLst>
            <c:ext xmlns:c16="http://schemas.microsoft.com/office/drawing/2014/chart" uri="{C3380CC4-5D6E-409C-BE32-E72D297353CC}">
              <c16:uniqueId val="{00000007-7EFE-4657-9012-7C0608ABAC2E}"/>
            </c:ext>
          </c:extLst>
        </c:ser>
        <c:dLbls>
          <c:showLegendKey val="0"/>
          <c:showVal val="0"/>
          <c:showCatName val="0"/>
          <c:showSerName val="0"/>
          <c:showPercent val="0"/>
          <c:showBubbleSize val="0"/>
        </c:dLbls>
        <c:gapWidth val="150"/>
        <c:overlap val="100"/>
        <c:axId val="231850368"/>
        <c:axId val="231852288"/>
      </c:barChart>
      <c:lineChart>
        <c:grouping val="standard"/>
        <c:varyColors val="0"/>
        <c:ser>
          <c:idx val="8"/>
          <c:order val="7"/>
          <c:tx>
            <c:strRef>
              <c:f>Dashboard!$R$76</c:f>
              <c:strCache>
                <c:ptCount val="1"/>
                <c:pt idx="0">
                  <c:v> VAT cashflow: government </c:v>
                </c:pt>
              </c:strCache>
            </c:strRef>
          </c:tx>
          <c:spPr>
            <a:ln w="25400" cap="rnd">
              <a:noFill/>
              <a:round/>
            </a:ln>
            <a:effectLst/>
          </c:spPr>
          <c:marker>
            <c:symbol val="circle"/>
            <c:size val="5"/>
            <c:spPr>
              <a:solidFill>
                <a:schemeClr val="accent3">
                  <a:lumMod val="60000"/>
                </a:schemeClr>
              </a:solidFill>
              <a:ln w="9525">
                <a:solidFill>
                  <a:schemeClr val="accent3">
                    <a:lumMod val="60000"/>
                  </a:schemeClr>
                </a:solidFill>
              </a:ln>
              <a:effectLst/>
            </c:spPr>
          </c:marker>
          <c:val>
            <c:numRef>
              <c:f>Dashboard!$U$76:$Y$76</c:f>
              <c:numCache>
                <c:formatCode>#,##0_);\(#,##0\);"-  ";" "@" "</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F3FC-4E33-BE0B-248B0EC1F6D3}"/>
            </c:ext>
          </c:extLst>
        </c:ser>
        <c:ser>
          <c:idx val="9"/>
          <c:order val="9"/>
          <c:tx>
            <c:strRef>
              <c:f>Dashboard!$R$90</c:f>
              <c:strCache>
                <c:ptCount val="1"/>
                <c:pt idx="0">
                  <c:v> AETR: full-cycle, NPV8 </c:v>
                </c:pt>
              </c:strCache>
            </c:strRef>
          </c:tx>
          <c:spPr>
            <a:ln w="28575" cap="rnd">
              <a:noFill/>
              <a:round/>
            </a:ln>
            <a:effectLst/>
          </c:spPr>
          <c:marker>
            <c:symbol val="triangle"/>
            <c:size val="7"/>
            <c:spPr>
              <a:solidFill>
                <a:schemeClr val="tx1"/>
              </a:solidFill>
              <a:ln w="9525">
                <a:solidFill>
                  <a:schemeClr val="tx1"/>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Dashboard!$U$90:$Y$90</c:f>
              <c:numCache>
                <c:formatCode>0%_);\-0%_);"-  ";" "@" "</c:formatCode>
                <c:ptCount val="5"/>
                <c:pt idx="0">
                  <c:v>0.46979066646539541</c:v>
                </c:pt>
                <c:pt idx="1">
                  <c:v>0.47526222425880782</c:v>
                </c:pt>
                <c:pt idx="2">
                  <c:v>0.47282747296633421</c:v>
                </c:pt>
                <c:pt idx="3">
                  <c:v>0.47924714080422243</c:v>
                </c:pt>
                <c:pt idx="4">
                  <c:v>0.50979701717768555</c:v>
                </c:pt>
              </c:numCache>
            </c:numRef>
          </c:val>
          <c:smooth val="0"/>
          <c:extLst>
            <c:ext xmlns:c16="http://schemas.microsoft.com/office/drawing/2014/chart" uri="{C3380CC4-5D6E-409C-BE32-E72D297353CC}">
              <c16:uniqueId val="{00000000-EA56-4AEF-9B78-88C0487E61DA}"/>
            </c:ext>
          </c:extLst>
        </c:ser>
        <c:dLbls>
          <c:showLegendKey val="0"/>
          <c:showVal val="0"/>
          <c:showCatName val="0"/>
          <c:showSerName val="0"/>
          <c:showPercent val="0"/>
          <c:showBubbleSize val="0"/>
        </c:dLbls>
        <c:marker val="1"/>
        <c:smooth val="0"/>
        <c:axId val="231860480"/>
        <c:axId val="231858560"/>
      </c:lineChart>
      <c:catAx>
        <c:axId val="231850368"/>
        <c:scaling>
          <c:orientation val="minMax"/>
        </c:scaling>
        <c:delete val="0"/>
        <c:axPos val="b"/>
        <c:title>
          <c:tx>
            <c:strRef>
              <c:f>Dashboard!$B$72</c:f>
              <c:strCache>
                <c:ptCount val="1"/>
                <c:pt idx="0">
                  <c:v> Fiscal regimes </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31852288"/>
        <c:crosses val="autoZero"/>
        <c:auto val="1"/>
        <c:lblAlgn val="ctr"/>
        <c:lblOffset val="100"/>
        <c:noMultiLvlLbl val="0"/>
      </c:catAx>
      <c:valAx>
        <c:axId val="231852288"/>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Dashboard!$B$70</c:f>
              <c:strCache>
                <c:ptCount val="1"/>
                <c:pt idx="0">
                  <c:v> US$ mn 2021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31850368"/>
        <c:crosses val="autoZero"/>
        <c:crossBetween val="between"/>
      </c:valAx>
      <c:valAx>
        <c:axId val="231858560"/>
        <c:scaling>
          <c:orientation val="minMax"/>
          <c:max val="0.5"/>
          <c:min val="0"/>
        </c:scaling>
        <c:delete val="0"/>
        <c:axPos val="r"/>
        <c:title>
          <c:tx>
            <c:strRef>
              <c:f>Dashboard!$B$71</c:f>
              <c:strCache>
                <c:ptCount val="1"/>
                <c:pt idx="0">
                  <c:v> AETR: full-cycle, NPV8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31860480"/>
        <c:crosses val="max"/>
        <c:crossBetween val="between"/>
      </c:valAx>
      <c:catAx>
        <c:axId val="231860480"/>
        <c:scaling>
          <c:orientation val="minMax"/>
        </c:scaling>
        <c:delete val="1"/>
        <c:axPos val="b"/>
        <c:majorTickMark val="out"/>
        <c:minorTickMark val="none"/>
        <c:tickLblPos val="nextTo"/>
        <c:crossAx val="23185856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Dashboard!$B$77</c:f>
          <c:strCache>
            <c:ptCount val="1"/>
            <c:pt idx="0">
              <c:v> Investor NPV &amp; IRR under alternative regimes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strRef>
              <c:f>Dashboard!$R$86</c:f>
              <c:strCache>
                <c:ptCount val="1"/>
                <c:pt idx="0">
                  <c:v> Mining company + lender NPV8 </c:v>
                </c:pt>
              </c:strCache>
            </c:strRef>
          </c:tx>
          <c:spPr>
            <a:solidFill>
              <a:schemeClr val="accent1">
                <a:lumMod val="60000"/>
                <a:lumOff val="40000"/>
              </a:schemeClr>
            </a:solidFill>
            <a:ln>
              <a:solidFill>
                <a:schemeClr val="accent1">
                  <a:lumMod val="40000"/>
                  <a:lumOff val="60000"/>
                </a:schemeClr>
              </a:solid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Dashboard!$U$86:$Y$86</c:f>
              <c:numCache>
                <c:formatCode>#,##0_);\(#,##0\);"-  ";" "@" "</c:formatCode>
                <c:ptCount val="5"/>
                <c:pt idx="0">
                  <c:v>370.06561133995615</c:v>
                </c:pt>
                <c:pt idx="1">
                  <c:v>366.58389122523892</c:v>
                </c:pt>
                <c:pt idx="2">
                  <c:v>368.13319818121141</c:v>
                </c:pt>
                <c:pt idx="3">
                  <c:v>364.04816655312737</c:v>
                </c:pt>
                <c:pt idx="4">
                  <c:v>344.60834281596914</c:v>
                </c:pt>
              </c:numCache>
            </c:numRef>
          </c:val>
          <c:extLst>
            <c:ext xmlns:c15="http://schemas.microsoft.com/office/drawing/2012/chart" uri="{02D57815-91ED-43cb-92C2-25804820EDAC}">
              <c15:filteredCategoryTitle>
                <c15:cat>
                  <c:strRef>
                    <c:extLst>
                      <c:ext uri="{02D57815-91ED-43cb-92C2-25804820EDAC}">
                        <c15:formulaRef>
                          <c15:sqref>Dashboard!$U$68:$Y$68</c15:sqref>
                        </c15:formulaRef>
                      </c:ext>
                    </c:extLst>
                    <c:strCache>
                      <c:ptCount val="5"/>
                      <c:pt idx="0">
                        <c:v> Royalty + CIT </c:v>
                      </c:pt>
                      <c:pt idx="1">
                        <c:v> High royalty / low CIT </c:v>
                      </c:pt>
                      <c:pt idx="2">
                        <c:v> RRT </c:v>
                      </c:pt>
                      <c:pt idx="3">
                        <c:v> Royalty + CIT + SP </c:v>
                      </c:pt>
                      <c:pt idx="4">
                        <c:v> Royalty + CIT, no debt </c:v>
                      </c:pt>
                    </c:strCache>
                  </c:strRef>
                </c15:cat>
              </c15:filteredCategoryTitle>
            </c:ext>
            <c:ext xmlns:c16="http://schemas.microsoft.com/office/drawing/2014/chart" uri="{C3380CC4-5D6E-409C-BE32-E72D297353CC}">
              <c16:uniqueId val="{00000000-2071-46FD-B968-CC4B6FF7BC64}"/>
            </c:ext>
          </c:extLst>
        </c:ser>
        <c:dLbls>
          <c:showLegendKey val="0"/>
          <c:showVal val="0"/>
          <c:showCatName val="0"/>
          <c:showSerName val="0"/>
          <c:showPercent val="0"/>
          <c:showBubbleSize val="0"/>
        </c:dLbls>
        <c:gapWidth val="72"/>
        <c:overlap val="100"/>
        <c:axId val="244950144"/>
        <c:axId val="244952064"/>
      </c:barChart>
      <c:lineChart>
        <c:grouping val="standard"/>
        <c:varyColors val="0"/>
        <c:ser>
          <c:idx val="1"/>
          <c:order val="1"/>
          <c:tx>
            <c:strRef>
              <c:f>Dashboard!$R$81</c:f>
              <c:strCache>
                <c:ptCount val="1"/>
                <c:pt idx="0">
                  <c:v> IRR: Project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Dashboard!$U$81:$Y$81</c:f>
              <c:numCache>
                <c:formatCode>0%_);\-0%_);"-  ";" "@" "</c:formatCode>
                <c:ptCount val="5"/>
                <c:pt idx="0">
                  <c:v>0.32357722056597038</c:v>
                </c:pt>
                <c:pt idx="1">
                  <c:v>0.32357722056597038</c:v>
                </c:pt>
                <c:pt idx="2">
                  <c:v>0.32357722056597038</c:v>
                </c:pt>
                <c:pt idx="3">
                  <c:v>0.32357722056597038</c:v>
                </c:pt>
                <c:pt idx="4">
                  <c:v>0.32357722056597038</c:v>
                </c:pt>
              </c:numCache>
            </c:numRef>
          </c:val>
          <c:smooth val="0"/>
          <c:extLst>
            <c:ext xmlns:c16="http://schemas.microsoft.com/office/drawing/2014/chart" uri="{C3380CC4-5D6E-409C-BE32-E72D297353CC}">
              <c16:uniqueId val="{00000000-4003-468E-8785-498204E34D7A}"/>
            </c:ext>
          </c:extLst>
        </c:ser>
        <c:ser>
          <c:idx val="2"/>
          <c:order val="2"/>
          <c:tx>
            <c:strRef>
              <c:f>Dashboard!$R$82</c:f>
              <c:strCache>
                <c:ptCount val="1"/>
                <c:pt idx="0">
                  <c:v> IRR: Mining company + lender </c:v>
                </c:pt>
              </c:strCache>
            </c:strRef>
          </c:tx>
          <c:spPr>
            <a:ln w="28575" cap="rnd">
              <a:solidFill>
                <a:schemeClr val="tx1"/>
              </a:solidFill>
              <a:round/>
            </a:ln>
            <a:effectLst/>
          </c:spPr>
          <c:marker>
            <c:symbol val="circle"/>
            <c:size val="5"/>
            <c:spPr>
              <a:solidFill>
                <a:schemeClr val="tx1"/>
              </a:solidFill>
              <a:ln w="9525">
                <a:solidFill>
                  <a:schemeClr val="tx1"/>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Dashboard!$U$82:$Y$82</c:f>
              <c:numCache>
                <c:formatCode>0%_);\-0%_);"-  ";" "@" "</c:formatCode>
                <c:ptCount val="5"/>
                <c:pt idx="0">
                  <c:v>0.24324745050459429</c:v>
                </c:pt>
                <c:pt idx="1">
                  <c:v>0.23649569920753888</c:v>
                </c:pt>
                <c:pt idx="2">
                  <c:v>0.24974644169449589</c:v>
                </c:pt>
                <c:pt idx="3">
                  <c:v>0.23793002183161893</c:v>
                </c:pt>
                <c:pt idx="4">
                  <c:v>0.22914604227668489</c:v>
                </c:pt>
              </c:numCache>
            </c:numRef>
          </c:val>
          <c:smooth val="0"/>
          <c:extLst>
            <c:ext xmlns:c16="http://schemas.microsoft.com/office/drawing/2014/chart" uri="{C3380CC4-5D6E-409C-BE32-E72D297353CC}">
              <c16:uniqueId val="{00000001-4003-468E-8785-498204E34D7A}"/>
            </c:ext>
          </c:extLst>
        </c:ser>
        <c:dLbls>
          <c:showLegendKey val="0"/>
          <c:showVal val="0"/>
          <c:showCatName val="0"/>
          <c:showSerName val="0"/>
          <c:showPercent val="0"/>
          <c:showBubbleSize val="0"/>
        </c:dLbls>
        <c:marker val="1"/>
        <c:smooth val="0"/>
        <c:axId val="244964352"/>
        <c:axId val="244962432"/>
      </c:lineChart>
      <c:catAx>
        <c:axId val="244950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4952064"/>
        <c:crosses val="autoZero"/>
        <c:auto val="1"/>
        <c:lblAlgn val="ctr"/>
        <c:lblOffset val="100"/>
        <c:noMultiLvlLbl val="0"/>
      </c:catAx>
      <c:valAx>
        <c:axId val="244952064"/>
        <c:scaling>
          <c:orientation val="minMax"/>
          <c:min val="0"/>
        </c:scaling>
        <c:delete val="0"/>
        <c:axPos val="l"/>
        <c:majorGridlines>
          <c:spPr>
            <a:ln w="9525" cap="flat" cmpd="sng" algn="ctr">
              <a:solidFill>
                <a:schemeClr val="tx1">
                  <a:lumMod val="15000"/>
                  <a:lumOff val="85000"/>
                </a:schemeClr>
              </a:solidFill>
              <a:prstDash val="dash"/>
              <a:round/>
            </a:ln>
            <a:effectLst/>
          </c:spPr>
        </c:majorGridlines>
        <c:title>
          <c:tx>
            <c:strRef>
              <c:f>Dashboard!$B$78</c:f>
              <c:strCache>
                <c:ptCount val="1"/>
                <c:pt idx="0">
                  <c:v> US$ mn NPV8.0 real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4950144"/>
        <c:crosses val="autoZero"/>
        <c:crossBetween val="between"/>
      </c:valAx>
      <c:valAx>
        <c:axId val="244962432"/>
        <c:scaling>
          <c:orientation val="minMax"/>
          <c:min val="0"/>
        </c:scaling>
        <c:delete val="0"/>
        <c:axPos val="r"/>
        <c:title>
          <c:tx>
            <c:strRef>
              <c:f>Dashboard!$B$79</c:f>
              <c:strCache>
                <c:ptCount val="1"/>
                <c:pt idx="0">
                  <c:v> % real </c:v>
                </c:pt>
              </c:strCache>
            </c:strRef>
          </c:tx>
          <c:layout>
            <c:manualLayout>
              <c:xMode val="edge"/>
              <c:yMode val="edge"/>
              <c:x val="0.93984339014279139"/>
              <c:y val="0.4329644693124459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_);&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4964352"/>
        <c:crosses val="max"/>
        <c:crossBetween val="between"/>
      </c:valAx>
      <c:catAx>
        <c:axId val="244964352"/>
        <c:scaling>
          <c:orientation val="minMax"/>
        </c:scaling>
        <c:delete val="1"/>
        <c:axPos val="b"/>
        <c:majorTickMark val="out"/>
        <c:minorTickMark val="none"/>
        <c:tickLblPos val="nextTo"/>
        <c:crossAx val="2449624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Dashboard!$B$124</c:f>
          <c:strCache>
            <c:ptCount val="1"/>
            <c:pt idx="0">
              <c:v> Progressivity analysis across a range of mineral prices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375653594771241"/>
          <c:y val="0.18853380530393937"/>
          <c:w val="0.81946405228758168"/>
          <c:h val="0.59906032554242472"/>
        </c:manualLayout>
      </c:layout>
      <c:lineChart>
        <c:grouping val="standard"/>
        <c:varyColors val="0"/>
        <c:ser>
          <c:idx val="0"/>
          <c:order val="0"/>
          <c:tx>
            <c:strRef>
              <c:f>Dashboard!$S$142</c:f>
              <c:strCache>
                <c:ptCount val="1"/>
                <c:pt idx="0">
                  <c:v> Royalty + CIT </c:v>
                </c:pt>
              </c:strCache>
            </c:strRef>
          </c:tx>
          <c:spPr>
            <a:ln w="28575" cap="rnd">
              <a:solidFill>
                <a:schemeClr val="accent1"/>
              </a:solidFill>
              <a:round/>
            </a:ln>
            <a:effectLst/>
          </c:spPr>
          <c:marker>
            <c:symbol val="none"/>
          </c:marker>
          <c:cat>
            <c:multiLvlStrRef>
              <c:f>Dashboard!$T$150:$AM$152</c:f>
              <c:multiLvlStrCache>
                <c:ptCount val="20"/>
                <c:lvl/>
                <c:lvl>
                  <c:pt idx="0">
                    <c:v>19% </c:v>
                  </c:pt>
                  <c:pt idx="1">
                    <c:v>22% </c:v>
                  </c:pt>
                  <c:pt idx="2">
                    <c:v>25% </c:v>
                  </c:pt>
                  <c:pt idx="3">
                    <c:v>27% </c:v>
                  </c:pt>
                  <c:pt idx="4">
                    <c:v>30% </c:v>
                  </c:pt>
                  <c:pt idx="5">
                    <c:v>32% </c:v>
                  </c:pt>
                  <c:pt idx="6">
                    <c:v>35% </c:v>
                  </c:pt>
                  <c:pt idx="7">
                    <c:v>37% </c:v>
                  </c:pt>
                  <c:pt idx="8">
                    <c:v>40% </c:v>
                  </c:pt>
                  <c:pt idx="9">
                    <c:v>42% </c:v>
                  </c:pt>
                  <c:pt idx="10">
                    <c:v>45% </c:v>
                  </c:pt>
                  <c:pt idx="11">
                    <c:v>47% </c:v>
                  </c:pt>
                  <c:pt idx="12">
                    <c:v>49% </c:v>
                  </c:pt>
                  <c:pt idx="13">
                    <c:v>51% </c:v>
                  </c:pt>
                  <c:pt idx="14">
                    <c:v>54% </c:v>
                  </c:pt>
                  <c:pt idx="15">
                    <c:v>56% </c:v>
                  </c:pt>
                  <c:pt idx="16">
                    <c:v>58% </c:v>
                  </c:pt>
                  <c:pt idx="17">
                    <c:v>60% </c:v>
                  </c:pt>
                  <c:pt idx="18">
                    <c:v>63% </c:v>
                  </c:pt>
                  <c:pt idx="19">
                    <c:v>65% </c:v>
                  </c:pt>
                </c:lvl>
                <c:lvl>
                  <c:pt idx="0">
                    <c:v>1,125 </c:v>
                  </c:pt>
                  <c:pt idx="1">
                    <c:v>1,200 </c:v>
                  </c:pt>
                  <c:pt idx="2">
                    <c:v>1,275 </c:v>
                  </c:pt>
                  <c:pt idx="3">
                    <c:v>1,350 </c:v>
                  </c:pt>
                  <c:pt idx="4">
                    <c:v>1,425 </c:v>
                  </c:pt>
                  <c:pt idx="5">
                    <c:v>1,500 </c:v>
                  </c:pt>
                  <c:pt idx="6">
                    <c:v>1,575 </c:v>
                  </c:pt>
                  <c:pt idx="7">
                    <c:v>1,650 </c:v>
                  </c:pt>
                  <c:pt idx="8">
                    <c:v>1,725 </c:v>
                  </c:pt>
                  <c:pt idx="9">
                    <c:v>1,800 </c:v>
                  </c:pt>
                  <c:pt idx="10">
                    <c:v>1,875 </c:v>
                  </c:pt>
                  <c:pt idx="11">
                    <c:v>1,950 </c:v>
                  </c:pt>
                  <c:pt idx="12">
                    <c:v>2,025 </c:v>
                  </c:pt>
                  <c:pt idx="13">
                    <c:v>2,100 </c:v>
                  </c:pt>
                  <c:pt idx="14">
                    <c:v>2,175 </c:v>
                  </c:pt>
                  <c:pt idx="15">
                    <c:v>2,250 </c:v>
                  </c:pt>
                  <c:pt idx="16">
                    <c:v>2,325 </c:v>
                  </c:pt>
                  <c:pt idx="17">
                    <c:v>2,400 </c:v>
                  </c:pt>
                  <c:pt idx="18">
                    <c:v>2,475 </c:v>
                  </c:pt>
                  <c:pt idx="19">
                    <c:v>2,550 </c:v>
                  </c:pt>
                </c:lvl>
              </c:multiLvlStrCache>
            </c:multiLvlStrRef>
          </c:cat>
          <c:val>
            <c:numRef>
              <c:f>Dashboard!$T$142:$AM$142</c:f>
              <c:numCache>
                <c:formatCode>0%_);\-0%_);"-  ";" "@" "</c:formatCode>
                <c:ptCount val="20"/>
                <c:pt idx="0">
                  <c:v>0.43248621988710206</c:v>
                </c:pt>
                <c:pt idx="1">
                  <c:v>0.42367445989582248</c:v>
                </c:pt>
                <c:pt idx="2">
                  <c:v>0.41745407710862309</c:v>
                </c:pt>
                <c:pt idx="3">
                  <c:v>0.41295566686601654</c:v>
                </c:pt>
                <c:pt idx="4">
                  <c:v>0.40947281686851722</c:v>
                </c:pt>
                <c:pt idx="5">
                  <c:v>0.40677693125559761</c:v>
                </c:pt>
                <c:pt idx="6">
                  <c:v>0.4046070948280468</c:v>
                </c:pt>
                <c:pt idx="7">
                  <c:v>0.40285559795275722</c:v>
                </c:pt>
                <c:pt idx="8">
                  <c:v>0.40137301052607927</c:v>
                </c:pt>
                <c:pt idx="9">
                  <c:v>0.40010181864503025</c:v>
                </c:pt>
                <c:pt idx="10">
                  <c:v>0.39902982684832694</c:v>
                </c:pt>
                <c:pt idx="11">
                  <c:v>0.39809761770322261</c:v>
                </c:pt>
                <c:pt idx="12">
                  <c:v>0.40157958483816064</c:v>
                </c:pt>
                <c:pt idx="13">
                  <c:v>0.40056268986729027</c:v>
                </c:pt>
                <c:pt idx="14">
                  <c:v>0.39965156661171525</c:v>
                </c:pt>
                <c:pt idx="15">
                  <c:v>0.39883143436035884</c:v>
                </c:pt>
                <c:pt idx="16">
                  <c:v>0.39808931088370358</c:v>
                </c:pt>
                <c:pt idx="17">
                  <c:v>0.39741457149996473</c:v>
                </c:pt>
                <c:pt idx="18">
                  <c:v>0.39679843715824159</c:v>
                </c:pt>
                <c:pt idx="19">
                  <c:v>0.3962335903588371</c:v>
                </c:pt>
              </c:numCache>
            </c:numRef>
          </c:val>
          <c:smooth val="0"/>
          <c:extLst>
            <c:ext xmlns:c16="http://schemas.microsoft.com/office/drawing/2014/chart" uri="{C3380CC4-5D6E-409C-BE32-E72D297353CC}">
              <c16:uniqueId val="{00000000-782C-4749-ABA5-9ECF17BECF33}"/>
            </c:ext>
          </c:extLst>
        </c:ser>
        <c:ser>
          <c:idx val="1"/>
          <c:order val="1"/>
          <c:tx>
            <c:strRef>
              <c:f>Dashboard!$S$143</c:f>
              <c:strCache>
                <c:ptCount val="1"/>
                <c:pt idx="0">
                  <c:v> High royalty / low CIT </c:v>
                </c:pt>
              </c:strCache>
            </c:strRef>
          </c:tx>
          <c:spPr>
            <a:ln w="28575" cap="rnd">
              <a:solidFill>
                <a:schemeClr val="accent2"/>
              </a:solidFill>
              <a:round/>
            </a:ln>
            <a:effectLst/>
          </c:spPr>
          <c:marker>
            <c:symbol val="none"/>
          </c:marker>
          <c:cat>
            <c:multiLvlStrRef>
              <c:f>Dashboard!$T$150:$AM$152</c:f>
              <c:multiLvlStrCache>
                <c:ptCount val="20"/>
                <c:lvl/>
                <c:lvl>
                  <c:pt idx="0">
                    <c:v>19% </c:v>
                  </c:pt>
                  <c:pt idx="1">
                    <c:v>22% </c:v>
                  </c:pt>
                  <c:pt idx="2">
                    <c:v>25% </c:v>
                  </c:pt>
                  <c:pt idx="3">
                    <c:v>27% </c:v>
                  </c:pt>
                  <c:pt idx="4">
                    <c:v>30% </c:v>
                  </c:pt>
                  <c:pt idx="5">
                    <c:v>32% </c:v>
                  </c:pt>
                  <c:pt idx="6">
                    <c:v>35% </c:v>
                  </c:pt>
                  <c:pt idx="7">
                    <c:v>37% </c:v>
                  </c:pt>
                  <c:pt idx="8">
                    <c:v>40% </c:v>
                  </c:pt>
                  <c:pt idx="9">
                    <c:v>42% </c:v>
                  </c:pt>
                  <c:pt idx="10">
                    <c:v>45% </c:v>
                  </c:pt>
                  <c:pt idx="11">
                    <c:v>47% </c:v>
                  </c:pt>
                  <c:pt idx="12">
                    <c:v>49% </c:v>
                  </c:pt>
                  <c:pt idx="13">
                    <c:v>51% </c:v>
                  </c:pt>
                  <c:pt idx="14">
                    <c:v>54% </c:v>
                  </c:pt>
                  <c:pt idx="15">
                    <c:v>56% </c:v>
                  </c:pt>
                  <c:pt idx="16">
                    <c:v>58% </c:v>
                  </c:pt>
                  <c:pt idx="17">
                    <c:v>60% </c:v>
                  </c:pt>
                  <c:pt idx="18">
                    <c:v>63% </c:v>
                  </c:pt>
                  <c:pt idx="19">
                    <c:v>65% </c:v>
                  </c:pt>
                </c:lvl>
                <c:lvl>
                  <c:pt idx="0">
                    <c:v>1,125 </c:v>
                  </c:pt>
                  <c:pt idx="1">
                    <c:v>1,200 </c:v>
                  </c:pt>
                  <c:pt idx="2">
                    <c:v>1,275 </c:v>
                  </c:pt>
                  <c:pt idx="3">
                    <c:v>1,350 </c:v>
                  </c:pt>
                  <c:pt idx="4">
                    <c:v>1,425 </c:v>
                  </c:pt>
                  <c:pt idx="5">
                    <c:v>1,500 </c:v>
                  </c:pt>
                  <c:pt idx="6">
                    <c:v>1,575 </c:v>
                  </c:pt>
                  <c:pt idx="7">
                    <c:v>1,650 </c:v>
                  </c:pt>
                  <c:pt idx="8">
                    <c:v>1,725 </c:v>
                  </c:pt>
                  <c:pt idx="9">
                    <c:v>1,800 </c:v>
                  </c:pt>
                  <c:pt idx="10">
                    <c:v>1,875 </c:v>
                  </c:pt>
                  <c:pt idx="11">
                    <c:v>1,950 </c:v>
                  </c:pt>
                  <c:pt idx="12">
                    <c:v>2,025 </c:v>
                  </c:pt>
                  <c:pt idx="13">
                    <c:v>2,100 </c:v>
                  </c:pt>
                  <c:pt idx="14">
                    <c:v>2,175 </c:v>
                  </c:pt>
                  <c:pt idx="15">
                    <c:v>2,250 </c:v>
                  </c:pt>
                  <c:pt idx="16">
                    <c:v>2,325 </c:v>
                  </c:pt>
                  <c:pt idx="17">
                    <c:v>2,400 </c:v>
                  </c:pt>
                  <c:pt idx="18">
                    <c:v>2,475 </c:v>
                  </c:pt>
                  <c:pt idx="19">
                    <c:v>2,550 </c:v>
                  </c:pt>
                </c:lvl>
              </c:multiLvlStrCache>
            </c:multiLvlStrRef>
          </c:cat>
          <c:val>
            <c:numRef>
              <c:f>Dashboard!$T$143:$AM$143</c:f>
              <c:numCache>
                <c:formatCode>0%_);\-0%_);"-  ";" "@" "</c:formatCode>
                <c:ptCount val="20"/>
                <c:pt idx="0">
                  <c:v>0.4606932978335781</c:v>
                </c:pt>
                <c:pt idx="1">
                  <c:v>0.44063181078691982</c:v>
                </c:pt>
                <c:pt idx="2">
                  <c:v>0.42656210436822284</c:v>
                </c:pt>
                <c:pt idx="3">
                  <c:v>0.41601948256665128</c:v>
                </c:pt>
                <c:pt idx="4">
                  <c:v>0.40791236129301378</c:v>
                </c:pt>
                <c:pt idx="5">
                  <c:v>0.40142235197555404</c:v>
                </c:pt>
                <c:pt idx="6">
                  <c:v>0.39617288393206557</c:v>
                </c:pt>
                <c:pt idx="7">
                  <c:v>0.39181392145644744</c:v>
                </c:pt>
                <c:pt idx="8">
                  <c:v>0.38815825941372778</c:v>
                </c:pt>
                <c:pt idx="9">
                  <c:v>0.38502384195884831</c:v>
                </c:pt>
                <c:pt idx="10">
                  <c:v>0.38230660517675663</c:v>
                </c:pt>
                <c:pt idx="11">
                  <c:v>0.37994658699586964</c:v>
                </c:pt>
                <c:pt idx="12">
                  <c:v>0.37786870763574659</c:v>
                </c:pt>
                <c:pt idx="13">
                  <c:v>0.37602136222829996</c:v>
                </c:pt>
                <c:pt idx="14">
                  <c:v>0.37731076114768275</c:v>
                </c:pt>
                <c:pt idx="15">
                  <c:v>0.37563450690989481</c:v>
                </c:pt>
                <c:pt idx="16">
                  <c:v>0.3741176934683455</c:v>
                </c:pt>
                <c:pt idx="17">
                  <c:v>0.37273860521821994</c:v>
                </c:pt>
                <c:pt idx="18">
                  <c:v>0.37147929880800135</c:v>
                </c:pt>
                <c:pt idx="19">
                  <c:v>0.37032481812560308</c:v>
                </c:pt>
              </c:numCache>
            </c:numRef>
          </c:val>
          <c:smooth val="0"/>
          <c:extLst>
            <c:ext xmlns:c16="http://schemas.microsoft.com/office/drawing/2014/chart" uri="{C3380CC4-5D6E-409C-BE32-E72D297353CC}">
              <c16:uniqueId val="{00000001-782C-4749-ABA5-9ECF17BECF33}"/>
            </c:ext>
          </c:extLst>
        </c:ser>
        <c:ser>
          <c:idx val="2"/>
          <c:order val="2"/>
          <c:tx>
            <c:strRef>
              <c:f>Dashboard!$S$144</c:f>
              <c:strCache>
                <c:ptCount val="1"/>
                <c:pt idx="0">
                  <c:v> RRT </c:v>
                </c:pt>
              </c:strCache>
            </c:strRef>
          </c:tx>
          <c:spPr>
            <a:ln w="28575" cap="rnd">
              <a:solidFill>
                <a:schemeClr val="accent3"/>
              </a:solidFill>
              <a:round/>
            </a:ln>
            <a:effectLst/>
          </c:spPr>
          <c:marker>
            <c:symbol val="none"/>
          </c:marker>
          <c:cat>
            <c:multiLvlStrRef>
              <c:f>Dashboard!$T$150:$AM$152</c:f>
              <c:multiLvlStrCache>
                <c:ptCount val="20"/>
                <c:lvl/>
                <c:lvl>
                  <c:pt idx="0">
                    <c:v>19% </c:v>
                  </c:pt>
                  <c:pt idx="1">
                    <c:v>22% </c:v>
                  </c:pt>
                  <c:pt idx="2">
                    <c:v>25% </c:v>
                  </c:pt>
                  <c:pt idx="3">
                    <c:v>27% </c:v>
                  </c:pt>
                  <c:pt idx="4">
                    <c:v>30% </c:v>
                  </c:pt>
                  <c:pt idx="5">
                    <c:v>32% </c:v>
                  </c:pt>
                  <c:pt idx="6">
                    <c:v>35% </c:v>
                  </c:pt>
                  <c:pt idx="7">
                    <c:v>37% </c:v>
                  </c:pt>
                  <c:pt idx="8">
                    <c:v>40% </c:v>
                  </c:pt>
                  <c:pt idx="9">
                    <c:v>42% </c:v>
                  </c:pt>
                  <c:pt idx="10">
                    <c:v>45% </c:v>
                  </c:pt>
                  <c:pt idx="11">
                    <c:v>47% </c:v>
                  </c:pt>
                  <c:pt idx="12">
                    <c:v>49% </c:v>
                  </c:pt>
                  <c:pt idx="13">
                    <c:v>51% </c:v>
                  </c:pt>
                  <c:pt idx="14">
                    <c:v>54% </c:v>
                  </c:pt>
                  <c:pt idx="15">
                    <c:v>56% </c:v>
                  </c:pt>
                  <c:pt idx="16">
                    <c:v>58% </c:v>
                  </c:pt>
                  <c:pt idx="17">
                    <c:v>60% </c:v>
                  </c:pt>
                  <c:pt idx="18">
                    <c:v>63% </c:v>
                  </c:pt>
                  <c:pt idx="19">
                    <c:v>65% </c:v>
                  </c:pt>
                </c:lvl>
                <c:lvl>
                  <c:pt idx="0">
                    <c:v>1,125 </c:v>
                  </c:pt>
                  <c:pt idx="1">
                    <c:v>1,200 </c:v>
                  </c:pt>
                  <c:pt idx="2">
                    <c:v>1,275 </c:v>
                  </c:pt>
                  <c:pt idx="3">
                    <c:v>1,350 </c:v>
                  </c:pt>
                  <c:pt idx="4">
                    <c:v>1,425 </c:v>
                  </c:pt>
                  <c:pt idx="5">
                    <c:v>1,500 </c:v>
                  </c:pt>
                  <c:pt idx="6">
                    <c:v>1,575 </c:v>
                  </c:pt>
                  <c:pt idx="7">
                    <c:v>1,650 </c:v>
                  </c:pt>
                  <c:pt idx="8">
                    <c:v>1,725 </c:v>
                  </c:pt>
                  <c:pt idx="9">
                    <c:v>1,800 </c:v>
                  </c:pt>
                  <c:pt idx="10">
                    <c:v>1,875 </c:v>
                  </c:pt>
                  <c:pt idx="11">
                    <c:v>1,950 </c:v>
                  </c:pt>
                  <c:pt idx="12">
                    <c:v>2,025 </c:v>
                  </c:pt>
                  <c:pt idx="13">
                    <c:v>2,100 </c:v>
                  </c:pt>
                  <c:pt idx="14">
                    <c:v>2,175 </c:v>
                  </c:pt>
                  <c:pt idx="15">
                    <c:v>2,250 </c:v>
                  </c:pt>
                  <c:pt idx="16">
                    <c:v>2,325 </c:v>
                  </c:pt>
                  <c:pt idx="17">
                    <c:v>2,400 </c:v>
                  </c:pt>
                  <c:pt idx="18">
                    <c:v>2,475 </c:v>
                  </c:pt>
                  <c:pt idx="19">
                    <c:v>2,550 </c:v>
                  </c:pt>
                </c:lvl>
              </c:multiLvlStrCache>
            </c:multiLvlStrRef>
          </c:cat>
          <c:val>
            <c:numRef>
              <c:f>Dashboard!$T$144:$AM$144</c:f>
              <c:numCache>
                <c:formatCode>0%_);\-0%_);"-  ";" "@" "</c:formatCode>
                <c:ptCount val="20"/>
                <c:pt idx="0">
                  <c:v>0.37623963271170374</c:v>
                </c:pt>
                <c:pt idx="1">
                  <c:v>0.39606905814068294</c:v>
                </c:pt>
                <c:pt idx="2">
                  <c:v>0.4076886319420488</c:v>
                </c:pt>
                <c:pt idx="3">
                  <c:v>0.41509139840233017</c:v>
                </c:pt>
                <c:pt idx="4">
                  <c:v>0.42008916387085521</c:v>
                </c:pt>
                <c:pt idx="5">
                  <c:v>0.42350395457162521</c:v>
                </c:pt>
                <c:pt idx="6">
                  <c:v>0.4260383450269542</c:v>
                </c:pt>
                <c:pt idx="7">
                  <c:v>0.42814229283030014</c:v>
                </c:pt>
                <c:pt idx="8">
                  <c:v>0.42948482971923629</c:v>
                </c:pt>
                <c:pt idx="9">
                  <c:v>0.43060396313346394</c:v>
                </c:pt>
                <c:pt idx="10">
                  <c:v>0.4315676505464478</c:v>
                </c:pt>
                <c:pt idx="11">
                  <c:v>0.43241107746696289</c:v>
                </c:pt>
                <c:pt idx="12">
                  <c:v>0.43532253405723087</c:v>
                </c:pt>
                <c:pt idx="13">
                  <c:v>0.43568008009580622</c:v>
                </c:pt>
                <c:pt idx="14">
                  <c:v>0.43591345969565048</c:v>
                </c:pt>
                <c:pt idx="15">
                  <c:v>0.43612353241135587</c:v>
                </c:pt>
                <c:pt idx="16">
                  <c:v>0.4363136235751553</c:v>
                </c:pt>
                <c:pt idx="17">
                  <c:v>0.43648645464538932</c:v>
                </c:pt>
                <c:pt idx="18">
                  <c:v>0.4366442743314109</c:v>
                </c:pt>
                <c:pt idx="19">
                  <c:v>0.43678895697364584</c:v>
                </c:pt>
              </c:numCache>
            </c:numRef>
          </c:val>
          <c:smooth val="0"/>
          <c:extLst>
            <c:ext xmlns:c16="http://schemas.microsoft.com/office/drawing/2014/chart" uri="{C3380CC4-5D6E-409C-BE32-E72D297353CC}">
              <c16:uniqueId val="{00000002-782C-4749-ABA5-9ECF17BECF33}"/>
            </c:ext>
          </c:extLst>
        </c:ser>
        <c:ser>
          <c:idx val="3"/>
          <c:order val="3"/>
          <c:tx>
            <c:strRef>
              <c:f>Dashboard!$S$145</c:f>
              <c:strCache>
                <c:ptCount val="1"/>
                <c:pt idx="0">
                  <c:v> Royalty + CIT + SP </c:v>
                </c:pt>
              </c:strCache>
            </c:strRef>
          </c:tx>
          <c:spPr>
            <a:ln w="28575" cap="rnd">
              <a:solidFill>
                <a:schemeClr val="accent4"/>
              </a:solidFill>
              <a:round/>
            </a:ln>
            <a:effectLst/>
          </c:spPr>
          <c:marker>
            <c:symbol val="none"/>
          </c:marker>
          <c:cat>
            <c:multiLvlStrRef>
              <c:f>Dashboard!$T$150:$AM$152</c:f>
              <c:multiLvlStrCache>
                <c:ptCount val="20"/>
                <c:lvl/>
                <c:lvl>
                  <c:pt idx="0">
                    <c:v>19% </c:v>
                  </c:pt>
                  <c:pt idx="1">
                    <c:v>22% </c:v>
                  </c:pt>
                  <c:pt idx="2">
                    <c:v>25% </c:v>
                  </c:pt>
                  <c:pt idx="3">
                    <c:v>27% </c:v>
                  </c:pt>
                  <c:pt idx="4">
                    <c:v>30% </c:v>
                  </c:pt>
                  <c:pt idx="5">
                    <c:v>32% </c:v>
                  </c:pt>
                  <c:pt idx="6">
                    <c:v>35% </c:v>
                  </c:pt>
                  <c:pt idx="7">
                    <c:v>37% </c:v>
                  </c:pt>
                  <c:pt idx="8">
                    <c:v>40% </c:v>
                  </c:pt>
                  <c:pt idx="9">
                    <c:v>42% </c:v>
                  </c:pt>
                  <c:pt idx="10">
                    <c:v>45% </c:v>
                  </c:pt>
                  <c:pt idx="11">
                    <c:v>47% </c:v>
                  </c:pt>
                  <c:pt idx="12">
                    <c:v>49% </c:v>
                  </c:pt>
                  <c:pt idx="13">
                    <c:v>51% </c:v>
                  </c:pt>
                  <c:pt idx="14">
                    <c:v>54% </c:v>
                  </c:pt>
                  <c:pt idx="15">
                    <c:v>56% </c:v>
                  </c:pt>
                  <c:pt idx="16">
                    <c:v>58% </c:v>
                  </c:pt>
                  <c:pt idx="17">
                    <c:v>60% </c:v>
                  </c:pt>
                  <c:pt idx="18">
                    <c:v>63% </c:v>
                  </c:pt>
                  <c:pt idx="19">
                    <c:v>65% </c:v>
                  </c:pt>
                </c:lvl>
                <c:lvl>
                  <c:pt idx="0">
                    <c:v>1,125 </c:v>
                  </c:pt>
                  <c:pt idx="1">
                    <c:v>1,200 </c:v>
                  </c:pt>
                  <c:pt idx="2">
                    <c:v>1,275 </c:v>
                  </c:pt>
                  <c:pt idx="3">
                    <c:v>1,350 </c:v>
                  </c:pt>
                  <c:pt idx="4">
                    <c:v>1,425 </c:v>
                  </c:pt>
                  <c:pt idx="5">
                    <c:v>1,500 </c:v>
                  </c:pt>
                  <c:pt idx="6">
                    <c:v>1,575 </c:v>
                  </c:pt>
                  <c:pt idx="7">
                    <c:v>1,650 </c:v>
                  </c:pt>
                  <c:pt idx="8">
                    <c:v>1,725 </c:v>
                  </c:pt>
                  <c:pt idx="9">
                    <c:v>1,800 </c:v>
                  </c:pt>
                  <c:pt idx="10">
                    <c:v>1,875 </c:v>
                  </c:pt>
                  <c:pt idx="11">
                    <c:v>1,950 </c:v>
                  </c:pt>
                  <c:pt idx="12">
                    <c:v>2,025 </c:v>
                  </c:pt>
                  <c:pt idx="13">
                    <c:v>2,100 </c:v>
                  </c:pt>
                  <c:pt idx="14">
                    <c:v>2,175 </c:v>
                  </c:pt>
                  <c:pt idx="15">
                    <c:v>2,250 </c:v>
                  </c:pt>
                  <c:pt idx="16">
                    <c:v>2,325 </c:v>
                  </c:pt>
                  <c:pt idx="17">
                    <c:v>2,400 </c:v>
                  </c:pt>
                  <c:pt idx="18">
                    <c:v>2,475 </c:v>
                  </c:pt>
                  <c:pt idx="19">
                    <c:v>2,550 </c:v>
                  </c:pt>
                </c:lvl>
              </c:multiLvlStrCache>
            </c:multiLvlStrRef>
          </c:cat>
          <c:val>
            <c:numRef>
              <c:f>Dashboard!$T$145:$AM$145</c:f>
              <c:numCache>
                <c:formatCode>0%_);\-0%_);"-  ";" "@" "</c:formatCode>
                <c:ptCount val="20"/>
                <c:pt idx="0">
                  <c:v>0.4343189273252524</c:v>
                </c:pt>
                <c:pt idx="1">
                  <c:v>0.42549724990077836</c:v>
                </c:pt>
                <c:pt idx="2">
                  <c:v>0.41924597680706643</c:v>
                </c:pt>
                <c:pt idx="3">
                  <c:v>0.4146629291500748</c:v>
                </c:pt>
                <c:pt idx="4">
                  <c:v>0.41110745638500173</c:v>
                </c:pt>
                <c:pt idx="5">
                  <c:v>0.40830860502398281</c:v>
                </c:pt>
                <c:pt idx="6">
                  <c:v>0.40603804918919389</c:v>
                </c:pt>
                <c:pt idx="7">
                  <c:v>0.40418445249631929</c:v>
                </c:pt>
                <c:pt idx="8">
                  <c:v>0.40261544076140915</c:v>
                </c:pt>
                <c:pt idx="9">
                  <c:v>0.40127014742976563</c:v>
                </c:pt>
                <c:pt idx="10">
                  <c:v>0.40012319947856023</c:v>
                </c:pt>
                <c:pt idx="11">
                  <c:v>0.39912324288087164</c:v>
                </c:pt>
                <c:pt idx="12">
                  <c:v>0.40271901810291028</c:v>
                </c:pt>
                <c:pt idx="13">
                  <c:v>0.40159509022990975</c:v>
                </c:pt>
                <c:pt idx="14">
                  <c:v>0.40058930474019577</c:v>
                </c:pt>
                <c:pt idx="15">
                  <c:v>0.39968396387328958</c:v>
                </c:pt>
                <c:pt idx="16">
                  <c:v>0.39886473659549943</c:v>
                </c:pt>
                <c:pt idx="17">
                  <c:v>0.39811989436109202</c:v>
                </c:pt>
                <c:pt idx="18">
                  <c:v>0.39743974600923321</c:v>
                </c:pt>
                <c:pt idx="19">
                  <c:v>0.3968162137798929</c:v>
                </c:pt>
              </c:numCache>
            </c:numRef>
          </c:val>
          <c:smooth val="0"/>
          <c:extLst>
            <c:ext xmlns:c16="http://schemas.microsoft.com/office/drawing/2014/chart" uri="{C3380CC4-5D6E-409C-BE32-E72D297353CC}">
              <c16:uniqueId val="{00000003-782C-4749-ABA5-9ECF17BECF33}"/>
            </c:ext>
          </c:extLst>
        </c:ser>
        <c:dLbls>
          <c:showLegendKey val="0"/>
          <c:showVal val="0"/>
          <c:showCatName val="0"/>
          <c:showSerName val="0"/>
          <c:showPercent val="0"/>
          <c:showBubbleSize val="0"/>
        </c:dLbls>
        <c:smooth val="0"/>
        <c:axId val="248480128"/>
        <c:axId val="248482048"/>
        <c:extLst>
          <c:ext xmlns:c15="http://schemas.microsoft.com/office/drawing/2012/chart" uri="{02D57815-91ED-43cb-92C2-25804820EDAC}">
            <c15:filteredLineSeries>
              <c15:ser>
                <c:idx val="4"/>
                <c:order val="4"/>
                <c:tx>
                  <c:strRef>
                    <c:extLst>
                      <c:ext uri="{02D57815-91ED-43cb-92C2-25804820EDAC}">
                        <c15:formulaRef>
                          <c15:sqref>Dashboard!$S$146</c15:sqref>
                        </c15:formulaRef>
                      </c:ext>
                    </c:extLst>
                    <c:strCache>
                      <c:ptCount val="1"/>
                      <c:pt idx="0">
                        <c:v> Royalty + CIT, no debt </c:v>
                      </c:pt>
                    </c:strCache>
                  </c:strRef>
                </c:tx>
                <c:spPr>
                  <a:ln w="28575" cap="rnd">
                    <a:solidFill>
                      <a:schemeClr val="accent5"/>
                    </a:solidFill>
                    <a:round/>
                  </a:ln>
                  <a:effectLst/>
                </c:spPr>
                <c:marker>
                  <c:symbol val="none"/>
                </c:marker>
                <c:cat>
                  <c:multiLvlStrRef>
                    <c:extLst>
                      <c:ext uri="{02D57815-91ED-43cb-92C2-25804820EDAC}">
                        <c15:formulaRef>
                          <c15:sqref>Dashboard!$T$150:$AM$152</c15:sqref>
                        </c15:formulaRef>
                      </c:ext>
                    </c:extLst>
                    <c:multiLvlStrCache>
                      <c:ptCount val="20"/>
                      <c:lvl/>
                      <c:lvl>
                        <c:pt idx="0">
                          <c:v>19% </c:v>
                        </c:pt>
                        <c:pt idx="1">
                          <c:v>22% </c:v>
                        </c:pt>
                        <c:pt idx="2">
                          <c:v>25% </c:v>
                        </c:pt>
                        <c:pt idx="3">
                          <c:v>27% </c:v>
                        </c:pt>
                        <c:pt idx="4">
                          <c:v>30% </c:v>
                        </c:pt>
                        <c:pt idx="5">
                          <c:v>32% </c:v>
                        </c:pt>
                        <c:pt idx="6">
                          <c:v>35% </c:v>
                        </c:pt>
                        <c:pt idx="7">
                          <c:v>37% </c:v>
                        </c:pt>
                        <c:pt idx="8">
                          <c:v>40% </c:v>
                        </c:pt>
                        <c:pt idx="9">
                          <c:v>42% </c:v>
                        </c:pt>
                        <c:pt idx="10">
                          <c:v>45% </c:v>
                        </c:pt>
                        <c:pt idx="11">
                          <c:v>47% </c:v>
                        </c:pt>
                        <c:pt idx="12">
                          <c:v>49% </c:v>
                        </c:pt>
                        <c:pt idx="13">
                          <c:v>51% </c:v>
                        </c:pt>
                        <c:pt idx="14">
                          <c:v>54% </c:v>
                        </c:pt>
                        <c:pt idx="15">
                          <c:v>56% </c:v>
                        </c:pt>
                        <c:pt idx="16">
                          <c:v>58% </c:v>
                        </c:pt>
                        <c:pt idx="17">
                          <c:v>60% </c:v>
                        </c:pt>
                        <c:pt idx="18">
                          <c:v>63% </c:v>
                        </c:pt>
                        <c:pt idx="19">
                          <c:v>65% </c:v>
                        </c:pt>
                      </c:lvl>
                      <c:lvl>
                        <c:pt idx="0">
                          <c:v>1,125 </c:v>
                        </c:pt>
                        <c:pt idx="1">
                          <c:v>1,200 </c:v>
                        </c:pt>
                        <c:pt idx="2">
                          <c:v>1,275 </c:v>
                        </c:pt>
                        <c:pt idx="3">
                          <c:v>1,350 </c:v>
                        </c:pt>
                        <c:pt idx="4">
                          <c:v>1,425 </c:v>
                        </c:pt>
                        <c:pt idx="5">
                          <c:v>1,500 </c:v>
                        </c:pt>
                        <c:pt idx="6">
                          <c:v>1,575 </c:v>
                        </c:pt>
                        <c:pt idx="7">
                          <c:v>1,650 </c:v>
                        </c:pt>
                        <c:pt idx="8">
                          <c:v>1,725 </c:v>
                        </c:pt>
                        <c:pt idx="9">
                          <c:v>1,800 </c:v>
                        </c:pt>
                        <c:pt idx="10">
                          <c:v>1,875 </c:v>
                        </c:pt>
                        <c:pt idx="11">
                          <c:v>1,950 </c:v>
                        </c:pt>
                        <c:pt idx="12">
                          <c:v>2,025 </c:v>
                        </c:pt>
                        <c:pt idx="13">
                          <c:v>2,100 </c:v>
                        </c:pt>
                        <c:pt idx="14">
                          <c:v>2,175 </c:v>
                        </c:pt>
                        <c:pt idx="15">
                          <c:v>2,250 </c:v>
                        </c:pt>
                        <c:pt idx="16">
                          <c:v>2,325 </c:v>
                        </c:pt>
                        <c:pt idx="17">
                          <c:v>2,400 </c:v>
                        </c:pt>
                        <c:pt idx="18">
                          <c:v>2,475 </c:v>
                        </c:pt>
                        <c:pt idx="19">
                          <c:v>2,550 </c:v>
                        </c:pt>
                      </c:lvl>
                    </c:multiLvlStrCache>
                  </c:multiLvlStrRef>
                </c:cat>
                <c:val>
                  <c:numRef>
                    <c:extLst>
                      <c:ext uri="{02D57815-91ED-43cb-92C2-25804820EDAC}">
                        <c15:formulaRef>
                          <c15:sqref>Dashboard!$T$146:$AM$146</c15:sqref>
                        </c15:formulaRef>
                      </c:ext>
                    </c:extLst>
                    <c:numCache>
                      <c:formatCode>0%_);\-0%_);"-  ";" "@" "</c:formatCode>
                      <c:ptCount val="20"/>
                      <c:pt idx="0">
                        <c:v>0.46800527451353685</c:v>
                      </c:pt>
                      <c:pt idx="1">
                        <c:v>0.45368387924944942</c:v>
                      </c:pt>
                      <c:pt idx="2">
                        <c:v>0.44348146306715747</c:v>
                      </c:pt>
                      <c:pt idx="3">
                        <c:v>0.43589197133845636</c:v>
                      </c:pt>
                      <c:pt idx="4">
                        <c:v>0.43005613367820261</c:v>
                      </c:pt>
                      <c:pt idx="5">
                        <c:v>0.42542351087162761</c:v>
                      </c:pt>
                      <c:pt idx="6">
                        <c:v>0.4216016899452944</c:v>
                      </c:pt>
                      <c:pt idx="7">
                        <c:v>0.41844671913188997</c:v>
                      </c:pt>
                      <c:pt idx="8">
                        <c:v>0.41578925051880844</c:v>
                      </c:pt>
                      <c:pt idx="9">
                        <c:v>0.41350493078805151</c:v>
                      </c:pt>
                      <c:pt idx="10">
                        <c:v>0.41151227535984042</c:v>
                      </c:pt>
                      <c:pt idx="11">
                        <c:v>0.40976828741435123</c:v>
                      </c:pt>
                      <c:pt idx="12">
                        <c:v>0.40823536422825052</c:v>
                      </c:pt>
                      <c:pt idx="13">
                        <c:v>0.40690844618390176</c:v>
                      </c:pt>
                      <c:pt idx="14">
                        <c:v>0.40572100796201427</c:v>
                      </c:pt>
                      <c:pt idx="15">
                        <c:v>0.40465215544803829</c:v>
                      </c:pt>
                      <c:pt idx="16">
                        <c:v>0.40368255585354829</c:v>
                      </c:pt>
                      <c:pt idx="17">
                        <c:v>0.40279696876528437</c:v>
                      </c:pt>
                      <c:pt idx="18">
                        <c:v>0.40198830006916847</c:v>
                      </c:pt>
                      <c:pt idx="19">
                        <c:v>0.40124694563743524</c:v>
                      </c:pt>
                    </c:numCache>
                  </c:numRef>
                </c:val>
                <c:smooth val="0"/>
                <c:extLst>
                  <c:ext xmlns:c16="http://schemas.microsoft.com/office/drawing/2014/chart" uri="{C3380CC4-5D6E-409C-BE32-E72D297353CC}">
                    <c16:uniqueId val="{00000004-782C-4749-ABA5-9ECF17BECF33}"/>
                  </c:ext>
                </c:extLst>
              </c15:ser>
            </c15:filteredLineSeries>
          </c:ext>
        </c:extLst>
      </c:lineChart>
      <c:catAx>
        <c:axId val="248480128"/>
        <c:scaling>
          <c:orientation val="minMax"/>
        </c:scaling>
        <c:delete val="0"/>
        <c:axPos val="b"/>
        <c:title>
          <c:tx>
            <c:strRef>
              <c:f>Dashboard!$B$127</c:f>
              <c:strCache>
                <c:ptCount val="1"/>
                <c:pt idx="0">
                  <c:v> IRR: Project % real / Gold price: US$ / ounce const </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8482048"/>
        <c:crosses val="autoZero"/>
        <c:auto val="1"/>
        <c:lblAlgn val="ctr"/>
        <c:lblOffset val="100"/>
        <c:noMultiLvlLbl val="0"/>
      </c:catAx>
      <c:valAx>
        <c:axId val="248482048"/>
        <c:scaling>
          <c:orientation val="minMax"/>
          <c:min val="0.30000000000000004"/>
        </c:scaling>
        <c:delete val="0"/>
        <c:axPos val="l"/>
        <c:majorGridlines>
          <c:spPr>
            <a:ln w="9525" cap="flat" cmpd="sng" algn="ctr">
              <a:solidFill>
                <a:schemeClr val="tx1">
                  <a:lumMod val="15000"/>
                  <a:lumOff val="85000"/>
                </a:schemeClr>
              </a:solidFill>
              <a:prstDash val="dash"/>
              <a:round/>
            </a:ln>
            <a:effectLst/>
          </c:spPr>
        </c:majorGridlines>
        <c:title>
          <c:tx>
            <c:strRef>
              <c:f>Dashboard!$B$125</c:f>
              <c:strCache>
                <c:ptCount val="1"/>
                <c:pt idx="0">
                  <c:v> AETR: full-cycle, undiscounted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_);&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8480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Dashboard!$B$158</c:f>
          <c:strCache>
            <c:ptCount val="1"/>
            <c:pt idx="0">
              <c:v> Breakeven mineral price and marginal effective tax rate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Dashboard!$R$163</c:f>
              <c:strCache>
                <c:ptCount val="1"/>
                <c:pt idx="0">
                  <c:v> Breakeven price: Gold </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Dashboard!$U$161:$Y$161</c:f>
              <c:strCache>
                <c:ptCount val="5"/>
                <c:pt idx="0">
                  <c:v> Royalty + CIT </c:v>
                </c:pt>
                <c:pt idx="1">
                  <c:v> High royalty / low CIT </c:v>
                </c:pt>
                <c:pt idx="2">
                  <c:v> RRT </c:v>
                </c:pt>
                <c:pt idx="3">
                  <c:v> Royalty + CIT + SP </c:v>
                </c:pt>
                <c:pt idx="4">
                  <c:v> Royalty + CIT, no debt </c:v>
                </c:pt>
              </c:strCache>
            </c:strRef>
          </c:cat>
          <c:val>
            <c:numRef>
              <c:f>Dashboard!$U$163:$Y$163</c:f>
              <c:numCache>
                <c:formatCode>#,##0_);\(#,##0\);"-  ";" "@" "</c:formatCode>
                <c:ptCount val="5"/>
                <c:pt idx="0">
                  <c:v>1051.8260048711902</c:v>
                </c:pt>
                <c:pt idx="1">
                  <c:v>1093.6912898225098</c:v>
                </c:pt>
                <c:pt idx="2">
                  <c:v>1004.410744188513</c:v>
                </c:pt>
              </c:numCache>
            </c:numRef>
          </c:val>
          <c:extLst>
            <c:ext xmlns:c16="http://schemas.microsoft.com/office/drawing/2014/chart" uri="{C3380CC4-5D6E-409C-BE32-E72D297353CC}">
              <c16:uniqueId val="{00000000-0847-4E49-AC13-67AEAE431C2A}"/>
            </c:ext>
          </c:extLst>
        </c:ser>
        <c:dLbls>
          <c:showLegendKey val="0"/>
          <c:showVal val="0"/>
          <c:showCatName val="0"/>
          <c:showSerName val="0"/>
          <c:showPercent val="0"/>
          <c:showBubbleSize val="0"/>
        </c:dLbls>
        <c:gapWidth val="219"/>
        <c:axId val="248670464"/>
        <c:axId val="248680448"/>
      </c:barChart>
      <c:lineChart>
        <c:grouping val="standard"/>
        <c:varyColors val="0"/>
        <c:ser>
          <c:idx val="1"/>
          <c:order val="1"/>
          <c:tx>
            <c:strRef>
              <c:f>Dashboard!$R$169</c:f>
              <c:strCache>
                <c:ptCount val="1"/>
                <c:pt idx="0">
                  <c:v> Marginal Effective Tax Rate (METR) </c:v>
                </c:pt>
              </c:strCache>
            </c:strRef>
          </c:tx>
          <c:spPr>
            <a:ln w="28575" cap="rnd">
              <a:solidFill>
                <a:schemeClr val="accent2"/>
              </a:solidFill>
              <a:prstDash val="dash"/>
              <a:round/>
            </a:ln>
            <a:effectLst/>
          </c:spPr>
          <c:marker>
            <c:symbol val="none"/>
          </c:marker>
          <c:val>
            <c:numRef>
              <c:f>Dashboard!$U$169:$Y$169</c:f>
              <c:numCache>
                <c:formatCode>0%_);\-0%_);"-  ";" "@" "</c:formatCode>
                <c:ptCount val="5"/>
                <c:pt idx="0">
                  <c:v>0.35974471087959614</c:v>
                </c:pt>
                <c:pt idx="1">
                  <c:v>0.42341440821960208</c:v>
                </c:pt>
                <c:pt idx="2">
                  <c:v>0.26439992693998399</c:v>
                </c:pt>
              </c:numCache>
            </c:numRef>
          </c:val>
          <c:smooth val="0"/>
          <c:extLst>
            <c:ext xmlns:c16="http://schemas.microsoft.com/office/drawing/2014/chart" uri="{C3380CC4-5D6E-409C-BE32-E72D297353CC}">
              <c16:uniqueId val="{00000001-0847-4E49-AC13-67AEAE431C2A}"/>
            </c:ext>
          </c:extLst>
        </c:ser>
        <c:dLbls>
          <c:showLegendKey val="0"/>
          <c:showVal val="0"/>
          <c:showCatName val="0"/>
          <c:showSerName val="0"/>
          <c:showPercent val="0"/>
          <c:showBubbleSize val="0"/>
        </c:dLbls>
        <c:marker val="1"/>
        <c:smooth val="0"/>
        <c:axId val="248688640"/>
        <c:axId val="248682368"/>
      </c:lineChart>
      <c:catAx>
        <c:axId val="248670464"/>
        <c:scaling>
          <c:orientation val="minMax"/>
        </c:scaling>
        <c:delete val="0"/>
        <c:axPos val="b"/>
        <c:title>
          <c:tx>
            <c:strRef>
              <c:f>Dashboard!$B$161</c:f>
              <c:strCache>
                <c:ptCount val="1"/>
                <c:pt idx="0">
                  <c:v> Fiscal regimes </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8680448"/>
        <c:crosses val="autoZero"/>
        <c:auto val="1"/>
        <c:lblAlgn val="ctr"/>
        <c:lblOffset val="100"/>
        <c:noMultiLvlLbl val="0"/>
      </c:catAx>
      <c:valAx>
        <c:axId val="248680448"/>
        <c:scaling>
          <c:orientation val="minMax"/>
          <c:min val="0"/>
        </c:scaling>
        <c:delete val="0"/>
        <c:axPos val="l"/>
        <c:majorGridlines>
          <c:spPr>
            <a:ln w="9525" cap="flat" cmpd="sng" algn="ctr">
              <a:solidFill>
                <a:schemeClr val="tx1">
                  <a:lumMod val="15000"/>
                  <a:lumOff val="85000"/>
                </a:schemeClr>
              </a:solidFill>
              <a:prstDash val="dash"/>
              <a:round/>
            </a:ln>
            <a:effectLst/>
          </c:spPr>
        </c:majorGridlines>
        <c:title>
          <c:tx>
            <c:strRef>
              <c:f>Dashboard!$B$159</c:f>
              <c:strCache>
                <c:ptCount val="1"/>
                <c:pt idx="0">
                  <c:v> Breakeven price: Gold US$ / ounce const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8670464"/>
        <c:crosses val="autoZero"/>
        <c:crossBetween val="between"/>
      </c:valAx>
      <c:valAx>
        <c:axId val="248682368"/>
        <c:scaling>
          <c:orientation val="minMax"/>
          <c:min val="0"/>
        </c:scaling>
        <c:delete val="0"/>
        <c:axPos val="r"/>
        <c:title>
          <c:tx>
            <c:strRef>
              <c:f>Dashboard!$B$160</c:f>
              <c:strCache>
                <c:ptCount val="1"/>
                <c:pt idx="0">
                  <c:v> Marginal Effective Tax Rate (METR)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_);&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8688640"/>
        <c:crosses val="max"/>
        <c:crossBetween val="between"/>
      </c:valAx>
      <c:catAx>
        <c:axId val="248688640"/>
        <c:scaling>
          <c:orientation val="minMax"/>
        </c:scaling>
        <c:delete val="1"/>
        <c:axPos val="b"/>
        <c:majorTickMark val="out"/>
        <c:minorTickMark val="none"/>
        <c:tickLblPos val="nextTo"/>
        <c:crossAx val="2486823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Dashboard!$B$179</c:f>
          <c:strCache>
            <c:ptCount val="1"/>
            <c:pt idx="0">
              <c:v> Net present value table: full-cycle, real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2"/>
          <c:order val="2"/>
          <c:tx>
            <c:strRef>
              <c:f>Dashboard!$R$182:$S$182</c:f>
              <c:strCache>
                <c:ptCount val="2"/>
                <c:pt idx="0">
                  <c:v> Total: Government revenues excluding participation </c:v>
                </c:pt>
                <c:pt idx="1">
                  <c:v> US$ mn 2021 NPV8 </c:v>
                </c:pt>
              </c:strCache>
            </c:strRef>
          </c:tx>
          <c:spPr>
            <a:solidFill>
              <a:schemeClr val="accent3"/>
            </a:solidFill>
            <a:ln>
              <a:noFill/>
            </a:ln>
            <a:effectLst/>
          </c:spPr>
          <c:invertIfNegative val="0"/>
          <c:cat>
            <c:numRef>
              <c:extLst>
                <c:ext xmlns:c15="http://schemas.microsoft.com/office/drawing/2012/chart" uri="{02D57815-91ED-43cb-92C2-25804820EDAC}">
                  <c15:fullRef>
                    <c15:sqref>Dashboard!$T$179:$X$179</c15:sqref>
                  </c15:fullRef>
                </c:ext>
              </c:extLst>
              <c:f>Dashboard!$U$179:$X$179</c:f>
              <c:numCache>
                <c:formatCode>0.0%</c:formatCode>
                <c:ptCount val="4"/>
                <c:pt idx="0">
                  <c:v>0</c:v>
                </c:pt>
                <c:pt idx="1">
                  <c:v>0.05</c:v>
                </c:pt>
                <c:pt idx="2">
                  <c:v>7.0000000000000007E-2</c:v>
                </c:pt>
                <c:pt idx="3">
                  <c:v>0.1</c:v>
                </c:pt>
              </c:numCache>
            </c:numRef>
          </c:cat>
          <c:val>
            <c:numRef>
              <c:extLst>
                <c:ext xmlns:c15="http://schemas.microsoft.com/office/drawing/2012/chart" uri="{02D57815-91ED-43cb-92C2-25804820EDAC}">
                  <c15:fullRef>
                    <c15:sqref>Dashboard!$T$182:$X$182</c15:sqref>
                  </c15:fullRef>
                </c:ext>
              </c:extLst>
              <c:f>Dashboard!$U$182:$X$182</c:f>
              <c:numCache>
                <c:formatCode>#,##0_);\(#,##0\);"-  ";" "@" "</c:formatCode>
                <c:ptCount val="4"/>
                <c:pt idx="0">
                  <c:v>611.79250460841865</c:v>
                </c:pt>
                <c:pt idx="1">
                  <c:v>332.67491715870136</c:v>
                </c:pt>
                <c:pt idx="2">
                  <c:v>265.01566033390003</c:v>
                </c:pt>
                <c:pt idx="3">
                  <c:v>191.48009059671747</c:v>
                </c:pt>
              </c:numCache>
            </c:numRef>
          </c:val>
          <c:extLst>
            <c:ext xmlns:c16="http://schemas.microsoft.com/office/drawing/2014/chart" uri="{C3380CC4-5D6E-409C-BE32-E72D297353CC}">
              <c16:uniqueId val="{00000002-1775-42F0-84D4-0C6DD3B06628}"/>
            </c:ext>
          </c:extLst>
        </c:ser>
        <c:ser>
          <c:idx val="3"/>
          <c:order val="3"/>
          <c:tx>
            <c:strRef>
              <c:f>Dashboard!$R$183:$S$183</c:f>
              <c:strCache>
                <c:ptCount val="2"/>
                <c:pt idx="0">
                  <c:v> Total: State participation cashflows including share of loan </c:v>
                </c:pt>
                <c:pt idx="1">
                  <c:v> US$ mn 2021 NPV8 </c:v>
                </c:pt>
              </c:strCache>
            </c:strRef>
          </c:tx>
          <c:spPr>
            <a:solidFill>
              <a:schemeClr val="accent4"/>
            </a:solidFill>
            <a:ln>
              <a:noFill/>
            </a:ln>
            <a:effectLst/>
          </c:spPr>
          <c:invertIfNegative val="0"/>
          <c:cat>
            <c:numRef>
              <c:extLst>
                <c:ext xmlns:c15="http://schemas.microsoft.com/office/drawing/2012/chart" uri="{02D57815-91ED-43cb-92C2-25804820EDAC}">
                  <c15:fullRef>
                    <c15:sqref>Dashboard!$T$179:$X$179</c15:sqref>
                  </c15:fullRef>
                </c:ext>
              </c:extLst>
              <c:f>Dashboard!$U$179:$X$179</c:f>
              <c:numCache>
                <c:formatCode>0.0%</c:formatCode>
                <c:ptCount val="4"/>
                <c:pt idx="0">
                  <c:v>0</c:v>
                </c:pt>
                <c:pt idx="1">
                  <c:v>0.05</c:v>
                </c:pt>
                <c:pt idx="2">
                  <c:v>7.0000000000000007E-2</c:v>
                </c:pt>
                <c:pt idx="3">
                  <c:v>0.1</c:v>
                </c:pt>
              </c:numCache>
            </c:numRef>
          </c:cat>
          <c:val>
            <c:numRef>
              <c:extLst>
                <c:ext xmlns:c15="http://schemas.microsoft.com/office/drawing/2012/chart" uri="{02D57815-91ED-43cb-92C2-25804820EDAC}">
                  <c15:fullRef>
                    <c15:sqref>Dashboard!$T$183:$X$183</c15:sqref>
                  </c15:fullRef>
                </c:ext>
              </c:extLst>
              <c:f>Dashboard!$U$183:$X$183</c:f>
              <c:numCache>
                <c:formatCode>#,##0_);\(#,##0\);"-  ";" "@" "</c:formatCode>
                <c:ptCount val="4"/>
                <c:pt idx="0">
                  <c:v>0</c:v>
                </c:pt>
                <c:pt idx="1">
                  <c:v>0</c:v>
                </c:pt>
                <c:pt idx="2">
                  <c:v>0</c:v>
                </c:pt>
                <c:pt idx="3">
                  <c:v>0</c:v>
                </c:pt>
              </c:numCache>
            </c:numRef>
          </c:val>
          <c:extLst>
            <c:ext xmlns:c16="http://schemas.microsoft.com/office/drawing/2014/chart" uri="{C3380CC4-5D6E-409C-BE32-E72D297353CC}">
              <c16:uniqueId val="{00000003-1775-42F0-84D4-0C6DD3B06628}"/>
            </c:ext>
          </c:extLst>
        </c:ser>
        <c:ser>
          <c:idx val="7"/>
          <c:order val="6"/>
          <c:tx>
            <c:strRef>
              <c:f>Dashboard!$R$187:$S$187</c:f>
              <c:strCache>
                <c:ptCount val="2"/>
                <c:pt idx="0">
                  <c:v> Total: Investors (Parent company + lender) </c:v>
                </c:pt>
                <c:pt idx="1">
                  <c:v> US$ mn 2021 NPV8 </c:v>
                </c:pt>
              </c:strCache>
            </c:strRef>
          </c:tx>
          <c:spPr>
            <a:solidFill>
              <a:schemeClr val="accent2">
                <a:lumMod val="60000"/>
              </a:schemeClr>
            </a:solidFill>
            <a:ln>
              <a:noFill/>
            </a:ln>
            <a:effectLst/>
          </c:spPr>
          <c:invertIfNegative val="0"/>
          <c:cat>
            <c:numRef>
              <c:extLst>
                <c:ext xmlns:c15="http://schemas.microsoft.com/office/drawing/2012/chart" uri="{02D57815-91ED-43cb-92C2-25804820EDAC}">
                  <c15:fullRef>
                    <c15:sqref>Dashboard!$T$179:$X$179</c15:sqref>
                  </c15:fullRef>
                </c:ext>
              </c:extLst>
              <c:f>Dashboard!$U$179:$X$179</c:f>
              <c:numCache>
                <c:formatCode>0.0%</c:formatCode>
                <c:ptCount val="4"/>
                <c:pt idx="0">
                  <c:v>0</c:v>
                </c:pt>
                <c:pt idx="1">
                  <c:v>0.05</c:v>
                </c:pt>
                <c:pt idx="2">
                  <c:v>7.0000000000000007E-2</c:v>
                </c:pt>
                <c:pt idx="3">
                  <c:v>0.1</c:v>
                </c:pt>
              </c:numCache>
            </c:numRef>
          </c:cat>
          <c:val>
            <c:numRef>
              <c:extLst>
                <c:ext xmlns:c15="http://schemas.microsoft.com/office/drawing/2012/chart" uri="{02D57815-91ED-43cb-92C2-25804820EDAC}">
                  <c15:fullRef>
                    <c15:sqref>Dashboard!$T$187:$X$187</c15:sqref>
                  </c15:fullRef>
                </c:ext>
              </c:extLst>
              <c:f>Dashboard!$U$187:$X$187</c:f>
              <c:numCache>
                <c:formatCode>#,##0_);\(#,##0\);"-  ";" "@" "</c:formatCode>
                <c:ptCount val="4"/>
                <c:pt idx="0">
                  <c:v>891.80749539158114</c:v>
                </c:pt>
                <c:pt idx="1">
                  <c:v>423.87462951776467</c:v>
                </c:pt>
                <c:pt idx="2">
                  <c:v>311.61012926594645</c:v>
                </c:pt>
                <c:pt idx="3">
                  <c:v>190.98192080518336</c:v>
                </c:pt>
              </c:numCache>
            </c:numRef>
          </c:val>
          <c:extLst>
            <c:ext xmlns:c16="http://schemas.microsoft.com/office/drawing/2014/chart" uri="{C3380CC4-5D6E-409C-BE32-E72D297353CC}">
              <c16:uniqueId val="{00000007-1775-42F0-84D4-0C6DD3B06628}"/>
            </c:ext>
          </c:extLst>
        </c:ser>
        <c:dLbls>
          <c:showLegendKey val="0"/>
          <c:showVal val="0"/>
          <c:showCatName val="0"/>
          <c:showSerName val="0"/>
          <c:showPercent val="0"/>
          <c:showBubbleSize val="0"/>
        </c:dLbls>
        <c:gapWidth val="150"/>
        <c:overlap val="100"/>
        <c:axId val="400198576"/>
        <c:axId val="180672576"/>
        <c:extLst>
          <c:ext xmlns:c15="http://schemas.microsoft.com/office/drawing/2012/chart" uri="{02D57815-91ED-43cb-92C2-25804820EDAC}">
            <c15:filteredBarSeries>
              <c15:ser>
                <c:idx val="0"/>
                <c:order val="0"/>
                <c:tx>
                  <c:strRef>
                    <c:extLst>
                      <c:ext uri="{02D57815-91ED-43cb-92C2-25804820EDAC}">
                        <c15:formulaRef>
                          <c15:sqref>Dashboard!$R$180:$S$180</c15:sqref>
                        </c15:formulaRef>
                      </c:ext>
                    </c:extLst>
                    <c:strCache>
                      <c:ptCount val="2"/>
                      <c:pt idx="0">
                        <c:v> Total: Project cashflow before decommissioning fund </c:v>
                      </c:pt>
                      <c:pt idx="1">
                        <c:v> US$ mn 2021 NPV8 </c:v>
                      </c:pt>
                    </c:strCache>
                  </c:strRef>
                </c:tx>
                <c:spPr>
                  <a:solidFill>
                    <a:schemeClr val="accent1"/>
                  </a:solidFill>
                  <a:ln>
                    <a:noFill/>
                  </a:ln>
                  <a:effectLst/>
                </c:spPr>
                <c:invertIfNegative val="0"/>
                <c:cat>
                  <c:numRef>
                    <c:extLst>
                      <c:ext uri="{02D57815-91ED-43cb-92C2-25804820EDAC}">
                        <c15:fullRef>
                          <c15:sqref>Dashboard!$T$179:$X$179</c15:sqref>
                        </c15:fullRef>
                        <c15:formulaRef>
                          <c15:sqref>Dashboard!$U$179:$X$179</c15:sqref>
                        </c15:formulaRef>
                      </c:ext>
                    </c:extLst>
                    <c:numCache>
                      <c:formatCode>0.0%</c:formatCode>
                      <c:ptCount val="4"/>
                      <c:pt idx="0">
                        <c:v>0</c:v>
                      </c:pt>
                      <c:pt idx="1">
                        <c:v>0.05</c:v>
                      </c:pt>
                      <c:pt idx="2">
                        <c:v>7.0000000000000007E-2</c:v>
                      </c:pt>
                      <c:pt idx="3">
                        <c:v>0.1</c:v>
                      </c:pt>
                    </c:numCache>
                  </c:numRef>
                </c:cat>
                <c:val>
                  <c:numRef>
                    <c:extLst>
                      <c:ext uri="{02D57815-91ED-43cb-92C2-25804820EDAC}">
                        <c15:fullRef>
                          <c15:sqref>Dashboard!$T$180:$X$180</c15:sqref>
                        </c15:fullRef>
                        <c15:formulaRef>
                          <c15:sqref>Dashboard!$U$180:$X$180</c15:sqref>
                        </c15:formulaRef>
                      </c:ext>
                    </c:extLst>
                    <c:numCache>
                      <c:formatCode>#,##0_);\(#,##0\);"-  ";" "@" "</c:formatCode>
                      <c:ptCount val="4"/>
                      <c:pt idx="0">
                        <c:v>1504</c:v>
                      </c:pt>
                      <c:pt idx="1">
                        <c:v>758.59450081565524</c:v>
                      </c:pt>
                      <c:pt idx="2">
                        <c:v>578.60377950700445</c:v>
                      </c:pt>
                      <c:pt idx="3">
                        <c:v>384.13666973302725</c:v>
                      </c:pt>
                    </c:numCache>
                  </c:numRef>
                </c:val>
                <c:extLst>
                  <c:ext xmlns:c16="http://schemas.microsoft.com/office/drawing/2014/chart" uri="{C3380CC4-5D6E-409C-BE32-E72D297353CC}">
                    <c16:uniqueId val="{00000000-1775-42F0-84D4-0C6DD3B06628}"/>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Dashboard!$R$181:$S$181</c15:sqref>
                        </c15:formulaRef>
                      </c:ext>
                    </c:extLst>
                    <c:strCache>
                      <c:ptCount val="2"/>
                      <c:pt idx="0">
                        <c:v> Total: Net decommissioning cashflows </c:v>
                      </c:pt>
                      <c:pt idx="1">
                        <c:v> US$ mn 2021 NPV8 </c:v>
                      </c:pt>
                    </c:strCache>
                  </c:strRef>
                </c:tx>
                <c:spPr>
                  <a:solidFill>
                    <a:schemeClr val="accent2"/>
                  </a:solidFill>
                  <a:ln>
                    <a:noFill/>
                  </a:ln>
                  <a:effectLst/>
                </c:spPr>
                <c:invertIfNegative val="0"/>
                <c:cat>
                  <c:numRef>
                    <c:extLst>
                      <c:ext xmlns:c15="http://schemas.microsoft.com/office/drawing/2012/chart" uri="{02D57815-91ED-43cb-92C2-25804820EDAC}">
                        <c15:fullRef>
                          <c15:sqref>Dashboard!$T$179:$X$179</c15:sqref>
                        </c15:fullRef>
                        <c15:formulaRef>
                          <c15:sqref>Dashboard!$U$179:$X$179</c15:sqref>
                        </c15:formulaRef>
                      </c:ext>
                    </c:extLst>
                    <c:numCache>
                      <c:formatCode>0.0%</c:formatCode>
                      <c:ptCount val="4"/>
                      <c:pt idx="0">
                        <c:v>0</c:v>
                      </c:pt>
                      <c:pt idx="1">
                        <c:v>0.05</c:v>
                      </c:pt>
                      <c:pt idx="2">
                        <c:v>7.0000000000000007E-2</c:v>
                      </c:pt>
                      <c:pt idx="3">
                        <c:v>0.1</c:v>
                      </c:pt>
                    </c:numCache>
                  </c:numRef>
                </c:cat>
                <c:val>
                  <c:numRef>
                    <c:extLst>
                      <c:ext xmlns:c15="http://schemas.microsoft.com/office/drawing/2012/chart" uri="{02D57815-91ED-43cb-92C2-25804820EDAC}">
                        <c15:fullRef>
                          <c15:sqref>Dashboard!$T$181:$X$181</c15:sqref>
                        </c15:fullRef>
                        <c15:formulaRef>
                          <c15:sqref>Dashboard!$U$181:$X$181</c15:sqref>
                        </c15:formulaRef>
                      </c:ext>
                    </c:extLst>
                    <c:numCache>
                      <c:formatCode>#,##0_);\(#,##0\);"-  ";" "@" "</c:formatCode>
                      <c:ptCount val="4"/>
                      <c:pt idx="0">
                        <c:v>-0.40000000000000924</c:v>
                      </c:pt>
                      <c:pt idx="1">
                        <c:v>-2.0449541391891302</c:v>
                      </c:pt>
                      <c:pt idx="2">
                        <c:v>-1.9779899071580749</c:v>
                      </c:pt>
                      <c:pt idx="3">
                        <c:v>-1.6746583311263956</c:v>
                      </c:pt>
                    </c:numCache>
                  </c:numRef>
                </c:val>
                <c:extLst xmlns:c15="http://schemas.microsoft.com/office/drawing/2012/chart">
                  <c:ext xmlns:c16="http://schemas.microsoft.com/office/drawing/2014/chart" uri="{C3380CC4-5D6E-409C-BE32-E72D297353CC}">
                    <c16:uniqueId val="{00000001-1775-42F0-84D4-0C6DD3B06628}"/>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Dashboard!$R$184:$S$184</c15:sqref>
                        </c15:formulaRef>
                      </c:ext>
                    </c:extLst>
                    <c:strCache>
                      <c:ptCount val="2"/>
                      <c:pt idx="0">
                        <c:v> Total: Government revenues including participation </c:v>
                      </c:pt>
                      <c:pt idx="1">
                        <c:v> US$ mn 2021 NPV8 </c:v>
                      </c:pt>
                    </c:strCache>
                  </c:strRef>
                </c:tx>
                <c:spPr>
                  <a:solidFill>
                    <a:schemeClr val="accent5"/>
                  </a:solidFill>
                  <a:ln>
                    <a:noFill/>
                  </a:ln>
                  <a:effectLst/>
                </c:spPr>
                <c:invertIfNegative val="0"/>
                <c:cat>
                  <c:numRef>
                    <c:extLst>
                      <c:ext xmlns:c15="http://schemas.microsoft.com/office/drawing/2012/chart" uri="{02D57815-91ED-43cb-92C2-25804820EDAC}">
                        <c15:fullRef>
                          <c15:sqref>Dashboard!$T$179:$X$179</c15:sqref>
                        </c15:fullRef>
                        <c15:formulaRef>
                          <c15:sqref>Dashboard!$U$179:$X$179</c15:sqref>
                        </c15:formulaRef>
                      </c:ext>
                    </c:extLst>
                    <c:numCache>
                      <c:formatCode>0.0%</c:formatCode>
                      <c:ptCount val="4"/>
                      <c:pt idx="0">
                        <c:v>0</c:v>
                      </c:pt>
                      <c:pt idx="1">
                        <c:v>0.05</c:v>
                      </c:pt>
                      <c:pt idx="2">
                        <c:v>7.0000000000000007E-2</c:v>
                      </c:pt>
                      <c:pt idx="3">
                        <c:v>0.1</c:v>
                      </c:pt>
                    </c:numCache>
                  </c:numRef>
                </c:cat>
                <c:val>
                  <c:numRef>
                    <c:extLst>
                      <c:ext xmlns:c15="http://schemas.microsoft.com/office/drawing/2012/chart" uri="{02D57815-91ED-43cb-92C2-25804820EDAC}">
                        <c15:fullRef>
                          <c15:sqref>Dashboard!$T$184:$X$184</c15:sqref>
                        </c15:fullRef>
                        <c15:formulaRef>
                          <c15:sqref>Dashboard!$U$184:$X$184</c15:sqref>
                        </c15:formulaRef>
                      </c:ext>
                    </c:extLst>
                    <c:numCache>
                      <c:formatCode>#,##0_);\(#,##0\);"-  ";" "@" "</c:formatCode>
                      <c:ptCount val="4"/>
                      <c:pt idx="0">
                        <c:v>611.79250460841865</c:v>
                      </c:pt>
                      <c:pt idx="1">
                        <c:v>332.67491715870136</c:v>
                      </c:pt>
                      <c:pt idx="2">
                        <c:v>265.01566033390003</c:v>
                      </c:pt>
                      <c:pt idx="3">
                        <c:v>191.48009059671747</c:v>
                      </c:pt>
                    </c:numCache>
                  </c:numRef>
                </c:val>
                <c:extLst xmlns:c15="http://schemas.microsoft.com/office/drawing/2012/chart">
                  <c:ext xmlns:c16="http://schemas.microsoft.com/office/drawing/2014/chart" uri="{C3380CC4-5D6E-409C-BE32-E72D297353CC}">
                    <c16:uniqueId val="{00000004-1775-42F0-84D4-0C6DD3B06628}"/>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Dashboard!$R$185:$S$185</c15:sqref>
                        </c15:formulaRef>
                      </c:ext>
                    </c:extLst>
                    <c:strCache>
                      <c:ptCount val="2"/>
                      <c:pt idx="0">
                        <c:v> Total: Net cashflow after fiscal regime: Parent company (excluding loan) </c:v>
                      </c:pt>
                      <c:pt idx="1">
                        <c:v> US$ mn 2021 NPV8 </c:v>
                      </c:pt>
                    </c:strCache>
                  </c:strRef>
                </c:tx>
                <c:spPr>
                  <a:solidFill>
                    <a:schemeClr val="accent6"/>
                  </a:solidFill>
                  <a:ln>
                    <a:noFill/>
                  </a:ln>
                  <a:effectLst/>
                </c:spPr>
                <c:invertIfNegative val="0"/>
                <c:cat>
                  <c:numRef>
                    <c:extLst>
                      <c:ext xmlns:c15="http://schemas.microsoft.com/office/drawing/2012/chart" uri="{02D57815-91ED-43cb-92C2-25804820EDAC}">
                        <c15:fullRef>
                          <c15:sqref>Dashboard!$T$179:$X$179</c15:sqref>
                        </c15:fullRef>
                        <c15:formulaRef>
                          <c15:sqref>Dashboard!$U$179:$X$179</c15:sqref>
                        </c15:formulaRef>
                      </c:ext>
                    </c:extLst>
                    <c:numCache>
                      <c:formatCode>0.0%</c:formatCode>
                      <c:ptCount val="4"/>
                      <c:pt idx="0">
                        <c:v>0</c:v>
                      </c:pt>
                      <c:pt idx="1">
                        <c:v>0.05</c:v>
                      </c:pt>
                      <c:pt idx="2">
                        <c:v>7.0000000000000007E-2</c:v>
                      </c:pt>
                      <c:pt idx="3">
                        <c:v>0.1</c:v>
                      </c:pt>
                    </c:numCache>
                  </c:numRef>
                </c:cat>
                <c:val>
                  <c:numRef>
                    <c:extLst>
                      <c:ext xmlns:c15="http://schemas.microsoft.com/office/drawing/2012/chart" uri="{02D57815-91ED-43cb-92C2-25804820EDAC}">
                        <c15:fullRef>
                          <c15:sqref>Dashboard!$T$185:$X$185</c15:sqref>
                        </c15:fullRef>
                        <c15:formulaRef>
                          <c15:sqref>Dashboard!$U$185:$X$185</c15:sqref>
                        </c15:formulaRef>
                      </c:ext>
                    </c:extLst>
                    <c:numCache>
                      <c:formatCode>#,##0_);\(#,##0\);"-  ";" "@" "</c:formatCode>
                      <c:ptCount val="4"/>
                      <c:pt idx="0">
                        <c:v>831.01304756082709</c:v>
                      </c:pt>
                      <c:pt idx="1">
                        <c:v>420.06357957657974</c:v>
                      </c:pt>
                      <c:pt idx="2">
                        <c:v>322.3681463599043</c:v>
                      </c:pt>
                      <c:pt idx="3">
                        <c:v>217.60397487178298</c:v>
                      </c:pt>
                    </c:numCache>
                  </c:numRef>
                </c:val>
                <c:extLst xmlns:c15="http://schemas.microsoft.com/office/drawing/2012/chart">
                  <c:ext xmlns:c16="http://schemas.microsoft.com/office/drawing/2014/chart" uri="{C3380CC4-5D6E-409C-BE32-E72D297353CC}">
                    <c16:uniqueId val="{00000005-1775-42F0-84D4-0C6DD3B06628}"/>
                  </c:ext>
                </c:extLst>
              </c15:ser>
            </c15:filteredBarSeries>
            <c15:filteredBarSeries>
              <c15:ser>
                <c:idx val="8"/>
                <c:order val="7"/>
                <c:tx>
                  <c:strRef>
                    <c:extLst xmlns:c15="http://schemas.microsoft.com/office/drawing/2012/chart">
                      <c:ext xmlns:c15="http://schemas.microsoft.com/office/drawing/2012/chart" uri="{02D57815-91ED-43cb-92C2-25804820EDAC}">
                        <c15:formulaRef>
                          <c15:sqref>Dashboard!$R$188:$S$188</c15:sqref>
                        </c15:formulaRef>
                      </c:ext>
                    </c:extLst>
                    <c:strCache>
                      <c:ptCount val="2"/>
                      <c:pt idx="0">
                        <c:v> Total: Project benefits </c:v>
                      </c:pt>
                      <c:pt idx="1">
                        <c:v> US$ mn 2021 NPV8 </c:v>
                      </c:pt>
                    </c:strCache>
                  </c:strRef>
                </c:tx>
                <c:spPr>
                  <a:solidFill>
                    <a:schemeClr val="accent3">
                      <a:lumMod val="60000"/>
                    </a:schemeClr>
                  </a:solidFill>
                  <a:ln>
                    <a:noFill/>
                  </a:ln>
                  <a:effectLst/>
                </c:spPr>
                <c:invertIfNegative val="0"/>
                <c:cat>
                  <c:numRef>
                    <c:extLst>
                      <c:ext xmlns:c15="http://schemas.microsoft.com/office/drawing/2012/chart" uri="{02D57815-91ED-43cb-92C2-25804820EDAC}">
                        <c15:fullRef>
                          <c15:sqref>Dashboard!$T$179:$X$179</c15:sqref>
                        </c15:fullRef>
                        <c15:formulaRef>
                          <c15:sqref>Dashboard!$U$179:$X$179</c15:sqref>
                        </c15:formulaRef>
                      </c:ext>
                    </c:extLst>
                    <c:numCache>
                      <c:formatCode>0.0%</c:formatCode>
                      <c:ptCount val="4"/>
                      <c:pt idx="0">
                        <c:v>0</c:v>
                      </c:pt>
                      <c:pt idx="1">
                        <c:v>0.05</c:v>
                      </c:pt>
                      <c:pt idx="2">
                        <c:v>7.0000000000000007E-2</c:v>
                      </c:pt>
                      <c:pt idx="3">
                        <c:v>0.1</c:v>
                      </c:pt>
                    </c:numCache>
                  </c:numRef>
                </c:cat>
                <c:val>
                  <c:numRef>
                    <c:extLst>
                      <c:ext xmlns:c15="http://schemas.microsoft.com/office/drawing/2012/chart" uri="{02D57815-91ED-43cb-92C2-25804820EDAC}">
                        <c15:fullRef>
                          <c15:sqref>Dashboard!$T$188:$X$188</c15:sqref>
                        </c15:fullRef>
                        <c15:formulaRef>
                          <c15:sqref>Dashboard!$U$188:$X$188</c15:sqref>
                        </c15:formulaRef>
                      </c:ext>
                    </c:extLst>
                    <c:numCache>
                      <c:formatCode>#,##0_);\(#,##0\);"-  ";" "@" "</c:formatCode>
                      <c:ptCount val="4"/>
                      <c:pt idx="0">
                        <c:v>1934</c:v>
                      </c:pt>
                      <c:pt idx="1">
                        <c:v>1114.4087203954355</c:v>
                      </c:pt>
                      <c:pt idx="2">
                        <c:v>909.5212759870509</c:v>
                      </c:pt>
                      <c:pt idx="3">
                        <c:v>681.90327782611587</c:v>
                      </c:pt>
                    </c:numCache>
                  </c:numRef>
                </c:val>
                <c:extLst xmlns:c15="http://schemas.microsoft.com/office/drawing/2012/chart">
                  <c:ext xmlns:c16="http://schemas.microsoft.com/office/drawing/2014/chart" uri="{C3380CC4-5D6E-409C-BE32-E72D297353CC}">
                    <c16:uniqueId val="{00000008-1775-42F0-84D4-0C6DD3B06628}"/>
                  </c:ext>
                </c:extLst>
              </c15:ser>
            </c15:filteredBarSeries>
            <c15:filteredBarSeries>
              <c15:ser>
                <c:idx val="9"/>
                <c:order val="8"/>
                <c:tx>
                  <c:strRef>
                    <c:extLst xmlns:c15="http://schemas.microsoft.com/office/drawing/2012/chart">
                      <c:ext xmlns:c15="http://schemas.microsoft.com/office/drawing/2012/chart" uri="{02D57815-91ED-43cb-92C2-25804820EDAC}">
                        <c15:formulaRef>
                          <c15:sqref>Dashboard!$R$189:$S$189</c15:sqref>
                        </c15:formulaRef>
                      </c:ext>
                    </c:extLst>
                    <c:strCache>
                      <c:ptCount val="2"/>
                      <c:pt idx="0">
                        <c:v> -------------- </c:v>
                      </c:pt>
                      <c:pt idx="1">
                        <c:v> -------------- </c:v>
                      </c:pt>
                    </c:strCache>
                  </c:strRef>
                </c:tx>
                <c:spPr>
                  <a:solidFill>
                    <a:schemeClr val="accent4">
                      <a:lumMod val="60000"/>
                    </a:schemeClr>
                  </a:solidFill>
                  <a:ln>
                    <a:noFill/>
                  </a:ln>
                  <a:effectLst/>
                </c:spPr>
                <c:invertIfNegative val="0"/>
                <c:cat>
                  <c:numRef>
                    <c:extLst>
                      <c:ext xmlns:c15="http://schemas.microsoft.com/office/drawing/2012/chart" uri="{02D57815-91ED-43cb-92C2-25804820EDAC}">
                        <c15:fullRef>
                          <c15:sqref>Dashboard!$T$179:$X$179</c15:sqref>
                        </c15:fullRef>
                        <c15:formulaRef>
                          <c15:sqref>Dashboard!$U$179:$X$179</c15:sqref>
                        </c15:formulaRef>
                      </c:ext>
                    </c:extLst>
                    <c:numCache>
                      <c:formatCode>0.0%</c:formatCode>
                      <c:ptCount val="4"/>
                      <c:pt idx="0">
                        <c:v>0</c:v>
                      </c:pt>
                      <c:pt idx="1">
                        <c:v>0.05</c:v>
                      </c:pt>
                      <c:pt idx="2">
                        <c:v>7.0000000000000007E-2</c:v>
                      </c:pt>
                      <c:pt idx="3">
                        <c:v>0.1</c:v>
                      </c:pt>
                    </c:numCache>
                  </c:numRef>
                </c:cat>
                <c:val>
                  <c:numRef>
                    <c:extLst>
                      <c:ext xmlns:c15="http://schemas.microsoft.com/office/drawing/2012/chart" uri="{02D57815-91ED-43cb-92C2-25804820EDAC}">
                        <c15:fullRef>
                          <c15:sqref>Dashboard!$T$189:$X$189</c15:sqref>
                        </c15:fullRef>
                        <c15:formulaRef>
                          <c15:sqref>Dashboard!$U$189:$X$189</c15:sqref>
                        </c15:formulaRef>
                      </c:ext>
                    </c:extLst>
                    <c:numCache>
                      <c:formatCode>#,##0_);\(#,##0\);"-  ";" "@" "</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9-1775-42F0-84D4-0C6DD3B06628}"/>
                  </c:ext>
                </c:extLst>
              </c15:ser>
            </c15:filteredBarSeries>
          </c:ext>
        </c:extLst>
      </c:barChart>
      <c:lineChart>
        <c:grouping val="standard"/>
        <c:varyColors val="0"/>
        <c:ser>
          <c:idx val="6"/>
          <c:order val="12"/>
          <c:tx>
            <c:strRef>
              <c:f>Dashboard!$R$180</c:f>
              <c:strCache>
                <c:ptCount val="1"/>
                <c:pt idx="0">
                  <c:v> Total: Project cashflow before decommissioning fund </c:v>
                </c:pt>
              </c:strCache>
            </c:strRef>
          </c:tx>
          <c:spPr>
            <a:ln w="28575" cap="rnd">
              <a:noFill/>
              <a:round/>
            </a:ln>
            <a:effectLst/>
          </c:spPr>
          <c:marker>
            <c:symbol val="none"/>
          </c:marker>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Dashboard!$T$179:$X$179</c15:sqref>
                  </c15:fullRef>
                </c:ext>
              </c:extLst>
              <c:f>Dashboard!$U$179:$X$179</c:f>
              <c:numCache>
                <c:formatCode>0.0%</c:formatCode>
                <c:ptCount val="4"/>
                <c:pt idx="0">
                  <c:v>0</c:v>
                </c:pt>
                <c:pt idx="1">
                  <c:v>0.05</c:v>
                </c:pt>
                <c:pt idx="2">
                  <c:v>7.0000000000000007E-2</c:v>
                </c:pt>
                <c:pt idx="3">
                  <c:v>0.1</c:v>
                </c:pt>
              </c:numCache>
            </c:numRef>
          </c:cat>
          <c:val>
            <c:numRef>
              <c:extLst>
                <c:ext xmlns:c15="http://schemas.microsoft.com/office/drawing/2012/chart" uri="{02D57815-91ED-43cb-92C2-25804820EDAC}">
                  <c15:fullRef>
                    <c15:sqref>Dashboard!$T$180:$X$180</c15:sqref>
                  </c15:fullRef>
                </c:ext>
              </c:extLst>
              <c:f>Dashboard!$U$180:$X$180</c:f>
              <c:numCache>
                <c:formatCode>#,##0_);\(#,##0\);"-  ";" "@" "</c:formatCode>
                <c:ptCount val="4"/>
                <c:pt idx="0">
                  <c:v>1504</c:v>
                </c:pt>
                <c:pt idx="1">
                  <c:v>758.59450081565524</c:v>
                </c:pt>
                <c:pt idx="2">
                  <c:v>578.60377950700445</c:v>
                </c:pt>
                <c:pt idx="3">
                  <c:v>384.13666973302725</c:v>
                </c:pt>
              </c:numCache>
            </c:numRef>
          </c:val>
          <c:smooth val="0"/>
          <c:extLst>
            <c:ext xmlns:c16="http://schemas.microsoft.com/office/drawing/2014/chart" uri="{C3380CC4-5D6E-409C-BE32-E72D297353CC}">
              <c16:uniqueId val="{00000000-7205-4789-B56B-1803DA9AE1ED}"/>
            </c:ext>
          </c:extLst>
        </c:ser>
        <c:dLbls>
          <c:showLegendKey val="0"/>
          <c:showVal val="0"/>
          <c:showCatName val="0"/>
          <c:showSerName val="0"/>
          <c:showPercent val="0"/>
          <c:showBubbleSize val="0"/>
        </c:dLbls>
        <c:marker val="1"/>
        <c:smooth val="0"/>
        <c:axId val="400198576"/>
        <c:axId val="180672576"/>
      </c:lineChart>
      <c:lineChart>
        <c:grouping val="standard"/>
        <c:varyColors val="0"/>
        <c:ser>
          <c:idx val="10"/>
          <c:order val="9"/>
          <c:tx>
            <c:strRef>
              <c:f>Dashboard!$R$190:$S$190</c:f>
              <c:strCache>
                <c:ptCount val="2"/>
                <c:pt idx="0">
                  <c:v> Average Effective Tax Rate (incl. participation) </c:v>
                </c:pt>
                <c:pt idx="1">
                  <c:v> % real </c:v>
                </c:pt>
              </c:strCache>
            </c:strRef>
          </c:tx>
          <c:spPr>
            <a:ln w="28575" cap="rnd">
              <a:solidFill>
                <a:schemeClr val="accent5">
                  <a:lumMod val="60000"/>
                </a:schemeClr>
              </a:solidFill>
              <a:prstDash val="dash"/>
              <a:round/>
            </a:ln>
            <a:effectLst/>
          </c:spPr>
          <c:marker>
            <c:symbol val="circle"/>
            <c:size val="5"/>
            <c:spPr>
              <a:solidFill>
                <a:schemeClr val="accent5">
                  <a:lumMod val="60000"/>
                </a:schemeClr>
              </a:solidFill>
              <a:ln w="9525">
                <a:solidFill>
                  <a:schemeClr val="accent5">
                    <a:lumMod val="60000"/>
                  </a:schemeClr>
                </a:solidFill>
              </a:ln>
              <a:effectLst/>
            </c:spPr>
          </c:marker>
          <c:cat>
            <c:numRef>
              <c:extLst>
                <c:ext xmlns:c15="http://schemas.microsoft.com/office/drawing/2012/chart" uri="{02D57815-91ED-43cb-92C2-25804820EDAC}">
                  <c15:fullRef>
                    <c15:sqref>Dashboard!$T$179:$X$179</c15:sqref>
                  </c15:fullRef>
                </c:ext>
              </c:extLst>
              <c:f>Dashboard!$U$179:$X$179</c:f>
              <c:numCache>
                <c:formatCode>0.0%</c:formatCode>
                <c:ptCount val="4"/>
                <c:pt idx="0">
                  <c:v>0</c:v>
                </c:pt>
                <c:pt idx="1">
                  <c:v>0.05</c:v>
                </c:pt>
                <c:pt idx="2">
                  <c:v>7.0000000000000007E-2</c:v>
                </c:pt>
                <c:pt idx="3">
                  <c:v>0.1</c:v>
                </c:pt>
              </c:numCache>
            </c:numRef>
          </c:cat>
          <c:val>
            <c:numRef>
              <c:extLst>
                <c:ext xmlns:c15="http://schemas.microsoft.com/office/drawing/2012/chart" uri="{02D57815-91ED-43cb-92C2-25804820EDAC}">
                  <c15:fullRef>
                    <c15:sqref>Dashboard!$T$190:$X$190</c15:sqref>
                  </c15:fullRef>
                </c:ext>
              </c:extLst>
              <c:f>Dashboard!$U$190:$X$190</c:f>
              <c:numCache>
                <c:formatCode>0%_);\-0%_);"-  ";" "@" "</c:formatCode>
                <c:ptCount val="4"/>
                <c:pt idx="0">
                  <c:v>0.4067769312555975</c:v>
                </c:pt>
                <c:pt idx="1">
                  <c:v>0.43854116632931422</c:v>
                </c:pt>
                <c:pt idx="2">
                  <c:v>0.45802614797937352</c:v>
                </c:pt>
                <c:pt idx="3">
                  <c:v>0.49846865890151809</c:v>
                </c:pt>
              </c:numCache>
            </c:numRef>
          </c:val>
          <c:smooth val="0"/>
          <c:extLst>
            <c:ext xmlns:c16="http://schemas.microsoft.com/office/drawing/2014/chart" uri="{C3380CC4-5D6E-409C-BE32-E72D297353CC}">
              <c16:uniqueId val="{0000000A-1775-42F0-84D4-0C6DD3B06628}"/>
            </c:ext>
          </c:extLst>
        </c:ser>
        <c:ser>
          <c:idx val="11"/>
          <c:order val="10"/>
          <c:tx>
            <c:strRef>
              <c:f>Dashboard!$R$191:$S$191</c:f>
              <c:strCache>
                <c:ptCount val="2"/>
                <c:pt idx="0">
                  <c:v> Average Effective Tax Rate (excl. participation) </c:v>
                </c:pt>
                <c:pt idx="1">
                  <c:v> % real </c:v>
                </c:pt>
              </c:strCache>
            </c:strRef>
          </c:tx>
          <c:spPr>
            <a:ln w="28575" cap="rnd">
              <a:solidFill>
                <a:schemeClr val="accent6">
                  <a:lumMod val="60000"/>
                </a:schemeClr>
              </a:solidFill>
              <a:prstDash val="dash"/>
              <a:round/>
            </a:ln>
            <a:effectLst/>
          </c:spPr>
          <c:marker>
            <c:symbol val="circle"/>
            <c:size val="5"/>
            <c:spPr>
              <a:solidFill>
                <a:schemeClr val="accent6">
                  <a:lumMod val="60000"/>
                </a:schemeClr>
              </a:solidFill>
              <a:ln w="9525">
                <a:solidFill>
                  <a:schemeClr val="accent6">
                    <a:lumMod val="60000"/>
                  </a:schemeClr>
                </a:solidFill>
              </a:ln>
              <a:effectLst/>
            </c:spPr>
          </c:marker>
          <c:cat>
            <c:numRef>
              <c:extLst>
                <c:ext xmlns:c15="http://schemas.microsoft.com/office/drawing/2012/chart" uri="{02D57815-91ED-43cb-92C2-25804820EDAC}">
                  <c15:fullRef>
                    <c15:sqref>Dashboard!$T$179:$X$179</c15:sqref>
                  </c15:fullRef>
                </c:ext>
              </c:extLst>
              <c:f>Dashboard!$U$179:$X$179</c:f>
              <c:numCache>
                <c:formatCode>0.0%</c:formatCode>
                <c:ptCount val="4"/>
                <c:pt idx="0">
                  <c:v>0</c:v>
                </c:pt>
                <c:pt idx="1">
                  <c:v>0.05</c:v>
                </c:pt>
                <c:pt idx="2">
                  <c:v>7.0000000000000007E-2</c:v>
                </c:pt>
                <c:pt idx="3">
                  <c:v>0.1</c:v>
                </c:pt>
              </c:numCache>
            </c:numRef>
          </c:cat>
          <c:val>
            <c:numRef>
              <c:extLst>
                <c:ext xmlns:c15="http://schemas.microsoft.com/office/drawing/2012/chart" uri="{02D57815-91ED-43cb-92C2-25804820EDAC}">
                  <c15:fullRef>
                    <c15:sqref>Dashboard!$T$191:$X$191</c15:sqref>
                  </c15:fullRef>
                </c:ext>
              </c:extLst>
              <c:f>Dashboard!$U$191:$X$191</c:f>
              <c:numCache>
                <c:formatCode>0%_);\-0%_);"-  ";" "@" "</c:formatCode>
                <c:ptCount val="4"/>
                <c:pt idx="0">
                  <c:v>0.4067769312555975</c:v>
                </c:pt>
                <c:pt idx="1">
                  <c:v>0.43854116632931422</c:v>
                </c:pt>
                <c:pt idx="2">
                  <c:v>0.45802614797937352</c:v>
                </c:pt>
                <c:pt idx="3">
                  <c:v>0.49846865890151809</c:v>
                </c:pt>
              </c:numCache>
            </c:numRef>
          </c:val>
          <c:smooth val="0"/>
          <c:extLst>
            <c:ext xmlns:c16="http://schemas.microsoft.com/office/drawing/2014/chart" uri="{C3380CC4-5D6E-409C-BE32-E72D297353CC}">
              <c16:uniqueId val="{0000000B-1775-42F0-84D4-0C6DD3B06628}"/>
            </c:ext>
          </c:extLst>
        </c:ser>
        <c:ser>
          <c:idx val="12"/>
          <c:order val="11"/>
          <c:tx>
            <c:strRef>
              <c:f>Dashboard!$R$192:$S$192</c:f>
              <c:strCache>
                <c:ptCount val="2"/>
                <c:pt idx="0">
                  <c:v> Government share of project benefits </c:v>
                </c:pt>
                <c:pt idx="1">
                  <c:v> % real </c:v>
                </c:pt>
              </c:strCache>
            </c:strRef>
          </c:tx>
          <c:spPr>
            <a:ln w="28575" cap="rnd">
              <a:solidFill>
                <a:schemeClr val="accent1">
                  <a:lumMod val="80000"/>
                  <a:lumOff val="20000"/>
                </a:schemeClr>
              </a:solidFill>
              <a:prstDash val="dash"/>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numRef>
              <c:extLst>
                <c:ext xmlns:c15="http://schemas.microsoft.com/office/drawing/2012/chart" uri="{02D57815-91ED-43cb-92C2-25804820EDAC}">
                  <c15:fullRef>
                    <c15:sqref>Dashboard!$T$179:$X$179</c15:sqref>
                  </c15:fullRef>
                </c:ext>
              </c:extLst>
              <c:f>Dashboard!$U$179:$X$179</c:f>
              <c:numCache>
                <c:formatCode>0.0%</c:formatCode>
                <c:ptCount val="4"/>
                <c:pt idx="0">
                  <c:v>0</c:v>
                </c:pt>
                <c:pt idx="1">
                  <c:v>0.05</c:v>
                </c:pt>
                <c:pt idx="2">
                  <c:v>7.0000000000000007E-2</c:v>
                </c:pt>
                <c:pt idx="3">
                  <c:v>0.1</c:v>
                </c:pt>
              </c:numCache>
            </c:numRef>
          </c:cat>
          <c:val>
            <c:numRef>
              <c:extLst>
                <c:ext xmlns:c15="http://schemas.microsoft.com/office/drawing/2012/chart" uri="{02D57815-91ED-43cb-92C2-25804820EDAC}">
                  <c15:fullRef>
                    <c15:sqref>Dashboard!$T$192:$X$192</c15:sqref>
                  </c15:fullRef>
                </c:ext>
              </c:extLst>
              <c:f>Dashboard!$U$192:$X$192</c:f>
              <c:numCache>
                <c:formatCode>0%_);\-0%_);"-  ";" "@" "</c:formatCode>
                <c:ptCount val="4"/>
                <c:pt idx="0">
                  <c:v>0.31633531779132301</c:v>
                </c:pt>
                <c:pt idx="1">
                  <c:v>0.29852145902147587</c:v>
                </c:pt>
                <c:pt idx="2">
                  <c:v>0.29137928636830823</c:v>
                </c:pt>
                <c:pt idx="3">
                  <c:v>0.28080241996658145</c:v>
                </c:pt>
              </c:numCache>
            </c:numRef>
          </c:val>
          <c:smooth val="0"/>
          <c:extLst>
            <c:ext xmlns:c16="http://schemas.microsoft.com/office/drawing/2014/chart" uri="{C3380CC4-5D6E-409C-BE32-E72D297353CC}">
              <c16:uniqueId val="{0000000C-1775-42F0-84D4-0C6DD3B06628}"/>
            </c:ext>
          </c:extLst>
        </c:ser>
        <c:dLbls>
          <c:showLegendKey val="0"/>
          <c:showVal val="0"/>
          <c:showCatName val="0"/>
          <c:showSerName val="0"/>
          <c:showPercent val="0"/>
          <c:showBubbleSize val="0"/>
        </c:dLbls>
        <c:marker val="1"/>
        <c:smooth val="0"/>
        <c:axId val="1415304416"/>
        <c:axId val="1518824816"/>
      </c:lineChart>
      <c:catAx>
        <c:axId val="400198576"/>
        <c:scaling>
          <c:orientation val="minMax"/>
        </c:scaling>
        <c:delete val="0"/>
        <c:axPos val="b"/>
        <c:title>
          <c:tx>
            <c:strRef>
              <c:f>Dashboard!$B$182</c:f>
              <c:strCache>
                <c:ptCount val="1"/>
                <c:pt idx="0">
                  <c:v> Discount rates </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0672576"/>
        <c:crosses val="autoZero"/>
        <c:auto val="1"/>
        <c:lblAlgn val="ctr"/>
        <c:lblOffset val="100"/>
        <c:noMultiLvlLbl val="0"/>
      </c:catAx>
      <c:valAx>
        <c:axId val="180672576"/>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Dashboard!$B$180</c:f>
              <c:strCache>
                <c:ptCount val="1"/>
                <c:pt idx="0">
                  <c:v> US$ mn 2021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00198576"/>
        <c:crosses val="autoZero"/>
        <c:crossBetween val="between"/>
      </c:valAx>
      <c:valAx>
        <c:axId val="1518824816"/>
        <c:scaling>
          <c:orientation val="minMax"/>
        </c:scaling>
        <c:delete val="0"/>
        <c:axPos val="r"/>
        <c:title>
          <c:tx>
            <c:strRef>
              <c:f>Dashboard!$B$181</c:f>
              <c:strCache>
                <c:ptCount val="1"/>
                <c:pt idx="0">
                  <c:v> % real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15304416"/>
        <c:crosses val="max"/>
        <c:crossBetween val="between"/>
      </c:valAx>
      <c:catAx>
        <c:axId val="1415304416"/>
        <c:scaling>
          <c:orientation val="minMax"/>
        </c:scaling>
        <c:delete val="1"/>
        <c:axPos val="b"/>
        <c:numFmt formatCode="0.0%" sourceLinked="1"/>
        <c:majorTickMark val="out"/>
        <c:minorTickMark val="none"/>
        <c:tickLblPos val="nextTo"/>
        <c:crossAx val="151882481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Charts!$F$114</c:f>
          <c:strCache>
            <c:ptCount val="1"/>
            <c:pt idx="0">
              <c:v>Production Versus Unit Operating Costs</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13670166229222"/>
          <c:y val="0.17171296296296296"/>
          <c:w val="0.73772659667541562"/>
          <c:h val="0.58162766112569275"/>
        </c:manualLayout>
      </c:layout>
      <c:areaChart>
        <c:grouping val="standard"/>
        <c:varyColors val="0"/>
        <c:ser>
          <c:idx val="1"/>
          <c:order val="1"/>
          <c:tx>
            <c:strRef>
              <c:f>Charts!$E$128</c:f>
              <c:strCache>
                <c:ptCount val="1"/>
                <c:pt idx="0">
                  <c:v> Gold sales, after ELT </c:v>
                </c:pt>
              </c:strCache>
            </c:strRef>
          </c:tx>
          <c:spPr>
            <a:solidFill>
              <a:srgbClr val="00B050">
                <a:alpha val="34000"/>
              </a:srgbClr>
            </a:solidFill>
            <a:ln>
              <a:noFill/>
            </a:ln>
            <a:effectLst/>
          </c:spPr>
          <c:cat>
            <c:strLit>
              <c:ptCount val="3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Charts!$K$127:$AX$127</c15:sqref>
                  </c15:fullRef>
                </c:ext>
              </c:extLst>
              <c:f>Charts!$K$127:$AR$127</c:f>
              <c:numCache>
                <c:formatCode>#,##0_);\(#,##0\);"-  ";" "@" "</c:formatCode>
                <c:ptCount val="34"/>
                <c:pt idx="0">
                  <c:v>0</c:v>
                </c:pt>
                <c:pt idx="1">
                  <c:v>0</c:v>
                </c:pt>
                <c:pt idx="2">
                  <c:v>0</c:v>
                </c:pt>
                <c:pt idx="3">
                  <c:v>0</c:v>
                </c:pt>
                <c:pt idx="4">
                  <c:v>10</c:v>
                </c:pt>
                <c:pt idx="5">
                  <c:v>75</c:v>
                </c:pt>
                <c:pt idx="6">
                  <c:v>150</c:v>
                </c:pt>
                <c:pt idx="7">
                  <c:v>150</c:v>
                </c:pt>
                <c:pt idx="8">
                  <c:v>150</c:v>
                </c:pt>
                <c:pt idx="9">
                  <c:v>150</c:v>
                </c:pt>
                <c:pt idx="10">
                  <c:v>150</c:v>
                </c:pt>
                <c:pt idx="11">
                  <c:v>150</c:v>
                </c:pt>
                <c:pt idx="12">
                  <c:v>150</c:v>
                </c:pt>
                <c:pt idx="13">
                  <c:v>150</c:v>
                </c:pt>
                <c:pt idx="14">
                  <c:v>150</c:v>
                </c:pt>
                <c:pt idx="15">
                  <c:v>150</c:v>
                </c:pt>
                <c:pt idx="16">
                  <c:v>125</c:v>
                </c:pt>
                <c:pt idx="17">
                  <c:v>100</c:v>
                </c:pt>
                <c:pt idx="18">
                  <c:v>75</c:v>
                </c:pt>
                <c:pt idx="19">
                  <c:v>65</c:v>
                </c:pt>
                <c:pt idx="20">
                  <c:v>50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0-C2BA-470F-9B2A-7CA9B3BE1CF1}"/>
            </c:ext>
          </c:extLst>
        </c:ser>
        <c:dLbls>
          <c:showLegendKey val="0"/>
          <c:showVal val="0"/>
          <c:showCatName val="0"/>
          <c:showSerName val="0"/>
          <c:showPercent val="0"/>
          <c:showBubbleSize val="0"/>
        </c:dLbls>
        <c:axId val="266484352"/>
        <c:axId val="266482432"/>
      </c:areaChart>
      <c:lineChart>
        <c:grouping val="standard"/>
        <c:varyColors val="0"/>
        <c:ser>
          <c:idx val="0"/>
          <c:order val="0"/>
          <c:tx>
            <c:strRef>
              <c:f>Charts!$E$130</c:f>
              <c:strCache>
                <c:ptCount val="1"/>
                <c:pt idx="0">
                  <c:v>Operating unit costs</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Charts!$K$125:$AX$125</c15:sqref>
                  </c15:fullRef>
                </c:ext>
              </c:extLst>
              <c:f>Charts!$K$125:$AR$125</c:f>
              <c:numCache>
                <c:formatCode>General</c:formatCode>
                <c:ptCount val="34"/>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numCache>
            </c:numRef>
          </c:cat>
          <c:val>
            <c:numRef>
              <c:extLst>
                <c:ext xmlns:c15="http://schemas.microsoft.com/office/drawing/2012/chart" uri="{02D57815-91ED-43cb-92C2-25804820EDAC}">
                  <c15:fullRef>
                    <c15:sqref>Charts!$K$130:$AX$130</c15:sqref>
                  </c15:fullRef>
                </c:ext>
              </c:extLst>
              <c:f>Charts!$K$130:$AR$130</c:f>
              <c:numCache>
                <c:formatCode>#,##0_);\(#,##0\);"-  ";" "@" "</c:formatCode>
                <c:ptCount val="34"/>
                <c:pt idx="0">
                  <c:v>0</c:v>
                </c:pt>
                <c:pt idx="1">
                  <c:v>0</c:v>
                </c:pt>
                <c:pt idx="2">
                  <c:v>0</c:v>
                </c:pt>
                <c:pt idx="3">
                  <c:v>0</c:v>
                </c:pt>
                <c:pt idx="4">
                  <c:v>450</c:v>
                </c:pt>
                <c:pt idx="5">
                  <c:v>450</c:v>
                </c:pt>
                <c:pt idx="6">
                  <c:v>450</c:v>
                </c:pt>
                <c:pt idx="7">
                  <c:v>450</c:v>
                </c:pt>
                <c:pt idx="8">
                  <c:v>450</c:v>
                </c:pt>
                <c:pt idx="9">
                  <c:v>450</c:v>
                </c:pt>
                <c:pt idx="10">
                  <c:v>450</c:v>
                </c:pt>
                <c:pt idx="11">
                  <c:v>450</c:v>
                </c:pt>
                <c:pt idx="12">
                  <c:v>450</c:v>
                </c:pt>
                <c:pt idx="13">
                  <c:v>450</c:v>
                </c:pt>
                <c:pt idx="14">
                  <c:v>450</c:v>
                </c:pt>
                <c:pt idx="15">
                  <c:v>450</c:v>
                </c:pt>
                <c:pt idx="16">
                  <c:v>450.00000000000006</c:v>
                </c:pt>
                <c:pt idx="17">
                  <c:v>450</c:v>
                </c:pt>
                <c:pt idx="18">
                  <c:v>450</c:v>
                </c:pt>
                <c:pt idx="19">
                  <c:v>450</c:v>
                </c:pt>
                <c:pt idx="20">
                  <c:v>450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smooth val="0"/>
          <c:extLst>
            <c:ext xmlns:c16="http://schemas.microsoft.com/office/drawing/2014/chart" uri="{C3380CC4-5D6E-409C-BE32-E72D297353CC}">
              <c16:uniqueId val="{00000001-C2BA-470F-9B2A-7CA9B3BE1CF1}"/>
            </c:ext>
          </c:extLst>
        </c:ser>
        <c:dLbls>
          <c:showLegendKey val="0"/>
          <c:showVal val="0"/>
          <c:showCatName val="0"/>
          <c:showSerName val="0"/>
          <c:showPercent val="0"/>
          <c:showBubbleSize val="0"/>
        </c:dLbls>
        <c:marker val="1"/>
        <c:smooth val="0"/>
        <c:axId val="266474240"/>
        <c:axId val="266476160"/>
      </c:lineChart>
      <c:catAx>
        <c:axId val="266474240"/>
        <c:scaling>
          <c:orientation val="minMax"/>
        </c:scaling>
        <c:delete val="0"/>
        <c:axPos val="b"/>
        <c:title>
          <c:tx>
            <c:strRef>
              <c:f>Charts!$F$115</c:f>
              <c:strCache>
                <c:ptCount val="1"/>
                <c:pt idx="0">
                  <c:v> Years </c:v>
                </c:pt>
              </c:strCache>
            </c:strRef>
          </c:tx>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66476160"/>
        <c:crosses val="autoZero"/>
        <c:auto val="1"/>
        <c:lblAlgn val="ctr"/>
        <c:lblOffset val="100"/>
        <c:noMultiLvlLbl val="0"/>
      </c:catAx>
      <c:valAx>
        <c:axId val="266476160"/>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Charts!$F$116</c:f>
              <c:strCache>
                <c:ptCount val="1"/>
                <c:pt idx="0">
                  <c:v> US$ / ounce $2021 </c:v>
                </c:pt>
              </c:strCache>
            </c:strRef>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66474240"/>
        <c:crosses val="autoZero"/>
        <c:crossBetween val="between"/>
      </c:valAx>
      <c:valAx>
        <c:axId val="266482432"/>
        <c:scaling>
          <c:orientation val="minMax"/>
        </c:scaling>
        <c:delete val="0"/>
        <c:axPos val="r"/>
        <c:title>
          <c:tx>
            <c:strRef>
              <c:f>Charts!$F$117</c:f>
              <c:strCache>
                <c:ptCount val="1"/>
                <c:pt idx="0">
                  <c:v> 000 ounce </c:v>
                </c:pt>
              </c:strCache>
            </c:strRef>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66484352"/>
        <c:crosses val="max"/>
        <c:crossBetween val="between"/>
      </c:valAx>
      <c:catAx>
        <c:axId val="266484352"/>
        <c:scaling>
          <c:orientation val="minMax"/>
        </c:scaling>
        <c:delete val="1"/>
        <c:axPos val="b"/>
        <c:majorTickMark val="out"/>
        <c:minorTickMark val="none"/>
        <c:tickLblPos val="nextTo"/>
        <c:crossAx val="2664824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Charts!$F$73</c:f>
          <c:strCache>
            <c:ptCount val="1"/>
            <c:pt idx="0">
              <c:v>Project revenues and costs</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5"/>
          <c:order val="5"/>
          <c:tx>
            <c:strRef>
              <c:f>Charts!$E$80</c:f>
              <c:strCache>
                <c:ptCount val="1"/>
                <c:pt idx="0">
                  <c:v> Sales revenues: net, after ELT </c:v>
                </c:pt>
              </c:strCache>
            </c:strRef>
          </c:tx>
          <c:spPr>
            <a:solidFill>
              <a:srgbClr val="00B050">
                <a:alpha val="25000"/>
              </a:srgbClr>
            </a:solidFill>
            <a:ln>
              <a:noFill/>
            </a:ln>
            <a:effectLst/>
          </c:spPr>
          <c:cat>
            <c:strLit>
              <c:ptCount val="37"/>
              <c:pt idx="0">
                <c:v>2021 </c:v>
              </c:pt>
              <c:pt idx="1">
                <c:v>2022 </c:v>
              </c:pt>
              <c:pt idx="2">
                <c:v>2023 </c:v>
              </c:pt>
              <c:pt idx="3">
                <c:v>2024 </c:v>
              </c:pt>
              <c:pt idx="4">
                <c:v>2025 </c:v>
              </c:pt>
              <c:pt idx="5">
                <c:v>2026 </c:v>
              </c:pt>
              <c:pt idx="6">
                <c:v>2027 </c:v>
              </c:pt>
              <c:pt idx="7">
                <c:v>2028 </c:v>
              </c:pt>
              <c:pt idx="8">
                <c:v>2029 </c:v>
              </c:pt>
              <c:pt idx="9">
                <c:v>2030 </c:v>
              </c:pt>
              <c:pt idx="10">
                <c:v>2031 </c:v>
              </c:pt>
              <c:pt idx="11">
                <c:v>2032 </c:v>
              </c:pt>
              <c:pt idx="12">
                <c:v>2033 </c:v>
              </c:pt>
              <c:pt idx="13">
                <c:v>2034 </c:v>
              </c:pt>
              <c:pt idx="14">
                <c:v>2035 </c:v>
              </c:pt>
              <c:pt idx="15">
                <c:v>2036 </c:v>
              </c:pt>
              <c:pt idx="16">
                <c:v>2037 </c:v>
              </c:pt>
              <c:pt idx="17">
                <c:v>2038 </c:v>
              </c:pt>
              <c:pt idx="18">
                <c:v>2039 </c:v>
              </c:pt>
              <c:pt idx="19">
                <c:v>2040 </c:v>
              </c:pt>
              <c:pt idx="20">
                <c:v>2041 </c:v>
              </c:pt>
              <c:pt idx="21">
                <c:v>2042 </c:v>
              </c:pt>
              <c:pt idx="22">
                <c:v>2043 </c:v>
              </c:pt>
              <c:pt idx="23">
                <c:v>2044 </c:v>
              </c:pt>
              <c:pt idx="24">
                <c:v>2045 </c:v>
              </c:pt>
              <c:pt idx="25">
                <c:v>2046 </c:v>
              </c:pt>
              <c:pt idx="26">
                <c:v>2047 </c:v>
              </c:pt>
              <c:pt idx="27">
                <c:v>2048 </c:v>
              </c:pt>
              <c:pt idx="28">
                <c:v>2049 </c:v>
              </c:pt>
              <c:pt idx="29">
                <c:v>2050 </c:v>
              </c:pt>
              <c:pt idx="30">
                <c:v>2051 </c:v>
              </c:pt>
              <c:pt idx="31">
                <c:v>2052 </c:v>
              </c:pt>
              <c:pt idx="32">
                <c:v>2053 </c:v>
              </c:pt>
              <c:pt idx="33">
                <c:v>2054 </c:v>
              </c:pt>
              <c:pt idx="34">
                <c:v>2055 </c:v>
              </c:pt>
              <c:pt idx="35">
                <c:v>2056 </c:v>
              </c:pt>
              <c:pt idx="36">
                <c:v>2057 </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Charts!$K$80:$XFD$80</c15:sqref>
                  </c15:fullRef>
                </c:ext>
              </c:extLst>
              <c:f>(Charts!$K$80:$AU$80,Charts!$AY$80:$XFD$80)</c:f>
              <c:numCache>
                <c:formatCode>#,##0_);\(#,##0\);"-  ";" "@" "</c:formatCode>
                <c:ptCount val="37"/>
                <c:pt idx="0">
                  <c:v>0</c:v>
                </c:pt>
                <c:pt idx="1">
                  <c:v>0</c:v>
                </c:pt>
                <c:pt idx="2">
                  <c:v>0</c:v>
                </c:pt>
                <c:pt idx="3">
                  <c:v>0</c:v>
                </c:pt>
                <c:pt idx="4">
                  <c:v>14.75</c:v>
                </c:pt>
                <c:pt idx="5">
                  <c:v>110.625</c:v>
                </c:pt>
                <c:pt idx="6">
                  <c:v>221.25</c:v>
                </c:pt>
                <c:pt idx="7">
                  <c:v>221.25</c:v>
                </c:pt>
                <c:pt idx="8">
                  <c:v>221.25</c:v>
                </c:pt>
                <c:pt idx="9">
                  <c:v>221.25</c:v>
                </c:pt>
                <c:pt idx="10">
                  <c:v>221.25</c:v>
                </c:pt>
                <c:pt idx="11">
                  <c:v>221.25</c:v>
                </c:pt>
                <c:pt idx="12">
                  <c:v>221.25</c:v>
                </c:pt>
                <c:pt idx="13">
                  <c:v>221.25</c:v>
                </c:pt>
                <c:pt idx="14">
                  <c:v>221.25</c:v>
                </c:pt>
                <c:pt idx="15">
                  <c:v>221.25</c:v>
                </c:pt>
                <c:pt idx="16">
                  <c:v>184.375</c:v>
                </c:pt>
                <c:pt idx="17">
                  <c:v>147.5</c:v>
                </c:pt>
                <c:pt idx="18">
                  <c:v>110.625</c:v>
                </c:pt>
                <c:pt idx="19">
                  <c:v>95.875</c:v>
                </c:pt>
                <c:pt idx="20">
                  <c:v>73.75</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0-4AD6-43F8-9EFD-7FF45095989A}"/>
            </c:ext>
          </c:extLst>
        </c:ser>
        <c:dLbls>
          <c:showLegendKey val="0"/>
          <c:showVal val="0"/>
          <c:showCatName val="0"/>
          <c:showSerName val="0"/>
          <c:showPercent val="0"/>
          <c:showBubbleSize val="0"/>
        </c:dLbls>
        <c:axId val="265489792"/>
        <c:axId val="265503872"/>
      </c:areaChart>
      <c:barChart>
        <c:barDir val="col"/>
        <c:grouping val="stacked"/>
        <c:varyColors val="0"/>
        <c:ser>
          <c:idx val="0"/>
          <c:order val="0"/>
          <c:tx>
            <c:strRef>
              <c:f>Charts!$E$81</c:f>
              <c:strCache>
                <c:ptCount val="1"/>
                <c:pt idx="0">
                  <c:v> Exploration costs, after ELT </c:v>
                </c:pt>
              </c:strCache>
            </c:strRef>
          </c:tx>
          <c:spPr>
            <a:solidFill>
              <a:schemeClr val="accent1"/>
            </a:solidFill>
            <a:ln>
              <a:noFill/>
            </a:ln>
            <a:effectLst/>
          </c:spPr>
          <c:invertIfNegative val="0"/>
          <c:cat>
            <c:numRef>
              <c:extLst>
                <c:ext xmlns:c15="http://schemas.microsoft.com/office/drawing/2012/chart" uri="{02D57815-91ED-43cb-92C2-25804820EDAC}">
                  <c15:fullRef>
                    <c15:sqref>Charts!$K$78:$AX$78</c15:sqref>
                  </c15:fullRef>
                </c:ext>
              </c:extLst>
              <c:f>Charts!$K$78:$AU$78</c:f>
              <c:numCache>
                <c:formatCode>###0_);\(###0\);"-  ";" "@" "</c:formatCode>
                <c:ptCount val="37"/>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numCache>
            </c:numRef>
          </c:cat>
          <c:val>
            <c:numRef>
              <c:extLst>
                <c:ext xmlns:c15="http://schemas.microsoft.com/office/drawing/2012/chart" uri="{02D57815-91ED-43cb-92C2-25804820EDAC}">
                  <c15:fullRef>
                    <c15:sqref>Charts!$K$81:$AX$81</c15:sqref>
                  </c15:fullRef>
                </c:ext>
              </c:extLst>
              <c:f>Charts!$K$81:$AU$81</c:f>
              <c:numCache>
                <c:formatCode>#,##0_);\(#,##0\);"-  ";" "@" "</c:formatCode>
                <c:ptCount val="37"/>
                <c:pt idx="0">
                  <c:v>10</c:v>
                </c:pt>
                <c:pt idx="1">
                  <c:v>10</c:v>
                </c:pt>
                <c:pt idx="2">
                  <c:v>10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1-4AD6-43F8-9EFD-7FF45095989A}"/>
            </c:ext>
          </c:extLst>
        </c:ser>
        <c:ser>
          <c:idx val="1"/>
          <c:order val="1"/>
          <c:tx>
            <c:strRef>
              <c:f>Charts!$E$82</c:f>
              <c:strCache>
                <c:ptCount val="1"/>
                <c:pt idx="0">
                  <c:v> Development costs, after ELT </c:v>
                </c:pt>
              </c:strCache>
            </c:strRef>
          </c:tx>
          <c:spPr>
            <a:solidFill>
              <a:schemeClr val="accent2"/>
            </a:solidFill>
            <a:ln>
              <a:noFill/>
            </a:ln>
            <a:effectLst/>
          </c:spPr>
          <c:invertIfNegative val="0"/>
          <c:cat>
            <c:numRef>
              <c:extLst>
                <c:ext xmlns:c15="http://schemas.microsoft.com/office/drawing/2012/chart" uri="{02D57815-91ED-43cb-92C2-25804820EDAC}">
                  <c15:fullRef>
                    <c15:sqref>Charts!$K$78:$AX$78</c15:sqref>
                  </c15:fullRef>
                </c:ext>
              </c:extLst>
              <c:f>Charts!$K$78:$AU$78</c:f>
              <c:numCache>
                <c:formatCode>###0_);\(###0\);"-  ";" "@" "</c:formatCode>
                <c:ptCount val="37"/>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numCache>
            </c:numRef>
          </c:cat>
          <c:val>
            <c:numRef>
              <c:extLst>
                <c:ext xmlns:c15="http://schemas.microsoft.com/office/drawing/2012/chart" uri="{02D57815-91ED-43cb-92C2-25804820EDAC}">
                  <c15:fullRef>
                    <c15:sqref>Charts!$K$82:$AX$82</c15:sqref>
                  </c15:fullRef>
                </c:ext>
              </c:extLst>
              <c:f>Charts!$K$82:$AU$82</c:f>
              <c:numCache>
                <c:formatCode>#,##0_);\(#,##0\);"-  ";" "@" "</c:formatCode>
                <c:ptCount val="37"/>
                <c:pt idx="0">
                  <c:v>0</c:v>
                </c:pt>
                <c:pt idx="1">
                  <c:v>0</c:v>
                </c:pt>
                <c:pt idx="2">
                  <c:v>0</c:v>
                </c:pt>
                <c:pt idx="3">
                  <c:v>50</c:v>
                </c:pt>
                <c:pt idx="4">
                  <c:v>250</c:v>
                </c:pt>
                <c:pt idx="5">
                  <c:v>100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2-4AD6-43F8-9EFD-7FF45095989A}"/>
            </c:ext>
          </c:extLst>
        </c:ser>
        <c:ser>
          <c:idx val="2"/>
          <c:order val="2"/>
          <c:tx>
            <c:strRef>
              <c:f>Charts!$E$83</c:f>
              <c:strCache>
                <c:ptCount val="1"/>
                <c:pt idx="0">
                  <c:v> Replacement capital costs, after ELT </c:v>
                </c:pt>
              </c:strCache>
            </c:strRef>
          </c:tx>
          <c:spPr>
            <a:solidFill>
              <a:schemeClr val="accent3"/>
            </a:solidFill>
            <a:ln>
              <a:noFill/>
            </a:ln>
            <a:effectLst/>
          </c:spPr>
          <c:invertIfNegative val="0"/>
          <c:cat>
            <c:numRef>
              <c:extLst>
                <c:ext xmlns:c15="http://schemas.microsoft.com/office/drawing/2012/chart" uri="{02D57815-91ED-43cb-92C2-25804820EDAC}">
                  <c15:fullRef>
                    <c15:sqref>Charts!$K$78:$AX$78</c15:sqref>
                  </c15:fullRef>
                </c:ext>
              </c:extLst>
              <c:f>Charts!$K$78:$AU$78</c:f>
              <c:numCache>
                <c:formatCode>###0_);\(###0\);"-  ";" "@" "</c:formatCode>
                <c:ptCount val="37"/>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numCache>
            </c:numRef>
          </c:cat>
          <c:val>
            <c:numRef>
              <c:extLst>
                <c:ext xmlns:c15="http://schemas.microsoft.com/office/drawing/2012/chart" uri="{02D57815-91ED-43cb-92C2-25804820EDAC}">
                  <c15:fullRef>
                    <c15:sqref>Charts!$K$83:$AX$83</c15:sqref>
                  </c15:fullRef>
                </c:ext>
              </c:extLst>
              <c:f>Charts!$K$83:$AU$83</c:f>
              <c:numCache>
                <c:formatCode>#,##0_);\(#,##0\);"-  ";" "@" "</c:formatCode>
                <c:ptCount val="37"/>
                <c:pt idx="0">
                  <c:v>0</c:v>
                </c:pt>
                <c:pt idx="1">
                  <c:v>0</c:v>
                </c:pt>
                <c:pt idx="2">
                  <c:v>0</c:v>
                </c:pt>
                <c:pt idx="3">
                  <c:v>0</c:v>
                </c:pt>
                <c:pt idx="4">
                  <c:v>0</c:v>
                </c:pt>
                <c:pt idx="5">
                  <c:v>8</c:v>
                </c:pt>
                <c:pt idx="6">
                  <c:v>8</c:v>
                </c:pt>
                <c:pt idx="7">
                  <c:v>8</c:v>
                </c:pt>
                <c:pt idx="8">
                  <c:v>8</c:v>
                </c:pt>
                <c:pt idx="9">
                  <c:v>8</c:v>
                </c:pt>
                <c:pt idx="10">
                  <c:v>8</c:v>
                </c:pt>
                <c:pt idx="11">
                  <c:v>8</c:v>
                </c:pt>
                <c:pt idx="12">
                  <c:v>8</c:v>
                </c:pt>
                <c:pt idx="13">
                  <c:v>8</c:v>
                </c:pt>
                <c:pt idx="14">
                  <c:v>8</c:v>
                </c:pt>
                <c:pt idx="15">
                  <c:v>8</c:v>
                </c:pt>
                <c:pt idx="16">
                  <c:v>8</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3-4AD6-43F8-9EFD-7FF45095989A}"/>
            </c:ext>
          </c:extLst>
        </c:ser>
        <c:ser>
          <c:idx val="3"/>
          <c:order val="3"/>
          <c:tx>
            <c:strRef>
              <c:f>Charts!$E$84</c:f>
              <c:strCache>
                <c:ptCount val="1"/>
                <c:pt idx="0">
                  <c:v> Operating costs, after ELT </c:v>
                </c:pt>
              </c:strCache>
            </c:strRef>
          </c:tx>
          <c:spPr>
            <a:solidFill>
              <a:schemeClr val="accent4"/>
            </a:solidFill>
            <a:ln>
              <a:noFill/>
            </a:ln>
            <a:effectLst/>
          </c:spPr>
          <c:invertIfNegative val="0"/>
          <c:cat>
            <c:numRef>
              <c:extLst>
                <c:ext xmlns:c15="http://schemas.microsoft.com/office/drawing/2012/chart" uri="{02D57815-91ED-43cb-92C2-25804820EDAC}">
                  <c15:fullRef>
                    <c15:sqref>Charts!$K$78:$AX$78</c15:sqref>
                  </c15:fullRef>
                </c:ext>
              </c:extLst>
              <c:f>Charts!$K$78:$AU$78</c:f>
              <c:numCache>
                <c:formatCode>###0_);\(###0\);"-  ";" "@" "</c:formatCode>
                <c:ptCount val="37"/>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numCache>
            </c:numRef>
          </c:cat>
          <c:val>
            <c:numRef>
              <c:extLst>
                <c:ext xmlns:c15="http://schemas.microsoft.com/office/drawing/2012/chart" uri="{02D57815-91ED-43cb-92C2-25804820EDAC}">
                  <c15:fullRef>
                    <c15:sqref>Charts!$K$84:$AX$84</c15:sqref>
                  </c15:fullRef>
                </c:ext>
              </c:extLst>
              <c:f>Charts!$K$84:$AU$84</c:f>
              <c:numCache>
                <c:formatCode>#,##0_);\(#,##0\);"-  ";" "@" "</c:formatCode>
                <c:ptCount val="37"/>
                <c:pt idx="0">
                  <c:v>0</c:v>
                </c:pt>
                <c:pt idx="1">
                  <c:v>0</c:v>
                </c:pt>
                <c:pt idx="2">
                  <c:v>0</c:v>
                </c:pt>
                <c:pt idx="3">
                  <c:v>0</c:v>
                </c:pt>
                <c:pt idx="4">
                  <c:v>4.5</c:v>
                </c:pt>
                <c:pt idx="5">
                  <c:v>33.75</c:v>
                </c:pt>
                <c:pt idx="6">
                  <c:v>67.5</c:v>
                </c:pt>
                <c:pt idx="7">
                  <c:v>67.5</c:v>
                </c:pt>
                <c:pt idx="8">
                  <c:v>67.5</c:v>
                </c:pt>
                <c:pt idx="9">
                  <c:v>67.5</c:v>
                </c:pt>
                <c:pt idx="10">
                  <c:v>67.5</c:v>
                </c:pt>
                <c:pt idx="11">
                  <c:v>67.5</c:v>
                </c:pt>
                <c:pt idx="12">
                  <c:v>67.5</c:v>
                </c:pt>
                <c:pt idx="13">
                  <c:v>67.5</c:v>
                </c:pt>
                <c:pt idx="14">
                  <c:v>67.5</c:v>
                </c:pt>
                <c:pt idx="15">
                  <c:v>67.5</c:v>
                </c:pt>
                <c:pt idx="16">
                  <c:v>56.25</c:v>
                </c:pt>
                <c:pt idx="17">
                  <c:v>45</c:v>
                </c:pt>
                <c:pt idx="18">
                  <c:v>33.75</c:v>
                </c:pt>
                <c:pt idx="19">
                  <c:v>29.25</c:v>
                </c:pt>
                <c:pt idx="20">
                  <c:v>22.5</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4-4AD6-43F8-9EFD-7FF45095989A}"/>
            </c:ext>
          </c:extLst>
        </c:ser>
        <c:ser>
          <c:idx val="4"/>
          <c:order val="4"/>
          <c:tx>
            <c:strRef>
              <c:f>Charts!$E$85</c:f>
              <c:strCache>
                <c:ptCount val="1"/>
                <c:pt idx="0">
                  <c:v> Decommissioning costs, after ELT </c:v>
                </c:pt>
              </c:strCache>
            </c:strRef>
          </c:tx>
          <c:spPr>
            <a:solidFill>
              <a:schemeClr val="accent5"/>
            </a:solidFill>
            <a:ln>
              <a:noFill/>
            </a:ln>
            <a:effectLst/>
          </c:spPr>
          <c:invertIfNegative val="0"/>
          <c:cat>
            <c:numRef>
              <c:extLst>
                <c:ext xmlns:c15="http://schemas.microsoft.com/office/drawing/2012/chart" uri="{02D57815-91ED-43cb-92C2-25804820EDAC}">
                  <c15:fullRef>
                    <c15:sqref>Charts!$K$78:$AX$78</c15:sqref>
                  </c15:fullRef>
                </c:ext>
              </c:extLst>
              <c:f>Charts!$K$78:$AU$78</c:f>
              <c:numCache>
                <c:formatCode>###0_);\(###0\);"-  ";" "@" "</c:formatCode>
                <c:ptCount val="37"/>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numCache>
            </c:numRef>
          </c:cat>
          <c:val>
            <c:numRef>
              <c:extLst>
                <c:ext xmlns:c15="http://schemas.microsoft.com/office/drawing/2012/chart" uri="{02D57815-91ED-43cb-92C2-25804820EDAC}">
                  <c15:fullRef>
                    <c15:sqref>Charts!$K$85:$AX$85</c15:sqref>
                  </c15:fullRef>
                </c:ext>
              </c:extLst>
              <c:f>Charts!$K$85:$AU$85</c:f>
              <c:numCache>
                <c:formatCode>#,##0_);\(#,##0\);"-  ";" "@" "</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5-4AD6-43F8-9EFD-7FF45095989A}"/>
            </c:ext>
          </c:extLst>
        </c:ser>
        <c:dLbls>
          <c:showLegendKey val="0"/>
          <c:showVal val="0"/>
          <c:showCatName val="0"/>
          <c:showSerName val="0"/>
          <c:showPercent val="0"/>
          <c:showBubbleSize val="0"/>
        </c:dLbls>
        <c:gapWidth val="17"/>
        <c:overlap val="100"/>
        <c:axId val="265489792"/>
        <c:axId val="265503872"/>
      </c:barChart>
      <c:lineChart>
        <c:grouping val="standard"/>
        <c:varyColors val="0"/>
        <c:ser>
          <c:idx val="6"/>
          <c:order val="6"/>
          <c:tx>
            <c:strRef>
              <c:f>Charts!$E$87</c:f>
              <c:strCache>
                <c:ptCount val="1"/>
                <c:pt idx="0">
                  <c:v> Project cashflows: real, after ELT </c:v>
                </c:pt>
              </c:strCache>
              <c:extLst xmlns:c15="http://schemas.microsoft.com/office/drawing/2012/chart"/>
            </c:strRef>
          </c:tx>
          <c:spPr>
            <a:ln w="28575" cap="rnd">
              <a:solidFill>
                <a:schemeClr val="accent1">
                  <a:lumMod val="60000"/>
                </a:schemeClr>
              </a:solidFill>
              <a:round/>
            </a:ln>
            <a:effectLst/>
          </c:spPr>
          <c:marker>
            <c:symbol val="none"/>
          </c:marker>
          <c:cat>
            <c:strLit>
              <c:ptCount val="37"/>
              <c:pt idx="0">
                <c:v>2021 </c:v>
              </c:pt>
              <c:pt idx="1">
                <c:v>2022 </c:v>
              </c:pt>
              <c:pt idx="2">
                <c:v>2023 </c:v>
              </c:pt>
              <c:pt idx="3">
                <c:v>2024 </c:v>
              </c:pt>
              <c:pt idx="4">
                <c:v>2025 </c:v>
              </c:pt>
              <c:pt idx="5">
                <c:v>2026 </c:v>
              </c:pt>
              <c:pt idx="6">
                <c:v>2027 </c:v>
              </c:pt>
              <c:pt idx="7">
                <c:v>2028 </c:v>
              </c:pt>
              <c:pt idx="8">
                <c:v>2029 </c:v>
              </c:pt>
              <c:pt idx="9">
                <c:v>2030 </c:v>
              </c:pt>
              <c:pt idx="10">
                <c:v>2031 </c:v>
              </c:pt>
              <c:pt idx="11">
                <c:v>2032 </c:v>
              </c:pt>
              <c:pt idx="12">
                <c:v>2033 </c:v>
              </c:pt>
              <c:pt idx="13">
                <c:v>2034 </c:v>
              </c:pt>
              <c:pt idx="14">
                <c:v>2035 </c:v>
              </c:pt>
              <c:pt idx="15">
                <c:v>2036 </c:v>
              </c:pt>
              <c:pt idx="16">
                <c:v>2037 </c:v>
              </c:pt>
              <c:pt idx="17">
                <c:v>2038 </c:v>
              </c:pt>
              <c:pt idx="18">
                <c:v>2039 </c:v>
              </c:pt>
              <c:pt idx="19">
                <c:v>2040 </c:v>
              </c:pt>
              <c:pt idx="20">
                <c:v>2041 </c:v>
              </c:pt>
              <c:pt idx="21">
                <c:v>2042 </c:v>
              </c:pt>
              <c:pt idx="22">
                <c:v>2043 </c:v>
              </c:pt>
              <c:pt idx="23">
                <c:v>2044 </c:v>
              </c:pt>
              <c:pt idx="24">
                <c:v>2045 </c:v>
              </c:pt>
              <c:pt idx="25">
                <c:v>2046 </c:v>
              </c:pt>
              <c:pt idx="26">
                <c:v>2047 </c:v>
              </c:pt>
              <c:pt idx="27">
                <c:v>2048 </c:v>
              </c:pt>
              <c:pt idx="28">
                <c:v>2049 </c:v>
              </c:pt>
              <c:pt idx="29">
                <c:v>2050 </c:v>
              </c:pt>
              <c:pt idx="30">
                <c:v>2051 </c:v>
              </c:pt>
              <c:pt idx="31">
                <c:v>2052 </c:v>
              </c:pt>
              <c:pt idx="32">
                <c:v>2053 </c:v>
              </c:pt>
              <c:pt idx="33">
                <c:v>2054 </c:v>
              </c:pt>
              <c:pt idx="34">
                <c:v>2055 </c:v>
              </c:pt>
              <c:pt idx="35">
                <c:v>2056 </c:v>
              </c:pt>
              <c:pt idx="36">
                <c:v>2057 </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Charts!$K$87:$AX$87</c15:sqref>
                  </c15:fullRef>
                </c:ext>
              </c:extLst>
              <c:f>Charts!$K$87:$AU$87</c:f>
              <c:numCache>
                <c:formatCode>#,##0_);\(#,##0\);"-  ";" "@" "</c:formatCode>
                <c:ptCount val="37"/>
                <c:pt idx="0">
                  <c:v>-10</c:v>
                </c:pt>
                <c:pt idx="1">
                  <c:v>-10</c:v>
                </c:pt>
                <c:pt idx="2">
                  <c:v>-10</c:v>
                </c:pt>
                <c:pt idx="3">
                  <c:v>-50</c:v>
                </c:pt>
                <c:pt idx="4">
                  <c:v>-239.75</c:v>
                </c:pt>
                <c:pt idx="5">
                  <c:v>-31.125</c:v>
                </c:pt>
                <c:pt idx="6">
                  <c:v>145.75</c:v>
                </c:pt>
                <c:pt idx="7">
                  <c:v>145.75</c:v>
                </c:pt>
                <c:pt idx="8">
                  <c:v>145.75</c:v>
                </c:pt>
                <c:pt idx="9">
                  <c:v>145.75</c:v>
                </c:pt>
                <c:pt idx="10">
                  <c:v>145.75</c:v>
                </c:pt>
                <c:pt idx="11">
                  <c:v>145.75</c:v>
                </c:pt>
                <c:pt idx="12">
                  <c:v>145.75</c:v>
                </c:pt>
                <c:pt idx="13">
                  <c:v>145.75</c:v>
                </c:pt>
                <c:pt idx="14">
                  <c:v>145.75</c:v>
                </c:pt>
                <c:pt idx="15">
                  <c:v>145.75</c:v>
                </c:pt>
                <c:pt idx="16">
                  <c:v>120.125</c:v>
                </c:pt>
                <c:pt idx="17">
                  <c:v>102.5</c:v>
                </c:pt>
                <c:pt idx="18">
                  <c:v>76.875</c:v>
                </c:pt>
                <c:pt idx="19">
                  <c:v>66.625</c:v>
                </c:pt>
                <c:pt idx="20">
                  <c:v>51.25</c:v>
                </c:pt>
                <c:pt idx="21">
                  <c:v>-20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xmlns:c15="http://schemas.microsoft.com/office/drawing/2012/chart">
            <c:ext xmlns:c16="http://schemas.microsoft.com/office/drawing/2014/chart" uri="{C3380CC4-5D6E-409C-BE32-E72D297353CC}">
              <c16:uniqueId val="{00000006-4AD6-43F8-9EFD-7FF45095989A}"/>
            </c:ext>
          </c:extLst>
        </c:ser>
        <c:dLbls>
          <c:showLegendKey val="0"/>
          <c:showVal val="0"/>
          <c:showCatName val="0"/>
          <c:showSerName val="0"/>
          <c:showPercent val="0"/>
          <c:showBubbleSize val="0"/>
        </c:dLbls>
        <c:marker val="1"/>
        <c:smooth val="0"/>
        <c:axId val="265489792"/>
        <c:axId val="265503872"/>
        <c:extLst/>
      </c:lineChart>
      <c:catAx>
        <c:axId val="2654897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65503872"/>
        <c:crosses val="autoZero"/>
        <c:auto val="1"/>
        <c:lblAlgn val="ctr"/>
        <c:lblOffset val="100"/>
        <c:noMultiLvlLbl val="0"/>
      </c:catAx>
      <c:valAx>
        <c:axId val="265503872"/>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Charts!$F$75</c:f>
              <c:strCache>
                <c:ptCount val="1"/>
                <c:pt idx="0">
                  <c:v> US$ mn 2021 </c:v>
                </c:pt>
              </c:strCache>
            </c:strRef>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6548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1-2C13-4CA8-AA3B-2C266C5FCFD3}"/>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2C13-4CA8-AA3B-2C266C5FCFD3}"/>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2C13-4CA8-AA3B-2C266C5FCFD3}"/>
              </c:ext>
            </c:extLst>
          </c:dPt>
          <c:dPt>
            <c:idx val="3"/>
            <c:bubble3D val="0"/>
            <c:spPr>
              <a:solidFill>
                <a:srgbClr val="FFFF00"/>
              </a:solidFill>
              <a:ln w="19050">
                <a:solidFill>
                  <a:schemeClr val="lt1"/>
                </a:solidFill>
              </a:ln>
              <a:effectLst/>
            </c:spPr>
            <c:extLst>
              <c:ext xmlns:c16="http://schemas.microsoft.com/office/drawing/2014/chart" uri="{C3380CC4-5D6E-409C-BE32-E72D297353CC}">
                <c16:uniqueId val="{00000007-2C13-4CA8-AA3B-2C266C5FCFD3}"/>
              </c:ext>
            </c:extLst>
          </c:dPt>
          <c:dPt>
            <c:idx val="4"/>
            <c:bubble3D val="0"/>
            <c:spPr>
              <a:solidFill>
                <a:srgbClr val="4BACC6"/>
              </a:solidFill>
              <a:ln w="19050">
                <a:solidFill>
                  <a:schemeClr val="lt1"/>
                </a:solidFill>
              </a:ln>
              <a:effectLst/>
            </c:spPr>
            <c:extLst>
              <c:ext xmlns:c16="http://schemas.microsoft.com/office/drawing/2014/chart" uri="{C3380CC4-5D6E-409C-BE32-E72D297353CC}">
                <c16:uniqueId val="{00000009-2C13-4CA8-AA3B-2C266C5FCFD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C13-4CA8-AA3B-2C266C5FCFD3}"/>
              </c:ext>
            </c:extLst>
          </c:dPt>
          <c:dPt>
            <c:idx val="6"/>
            <c:bubble3D val="0"/>
            <c:spPr>
              <a:solidFill>
                <a:srgbClr val="1F497D"/>
              </a:solidFill>
              <a:ln w="19050">
                <a:solidFill>
                  <a:schemeClr val="lt1"/>
                </a:solidFill>
              </a:ln>
              <a:effectLst/>
            </c:spPr>
            <c:extLst>
              <c:ext xmlns:c16="http://schemas.microsoft.com/office/drawing/2014/chart" uri="{C3380CC4-5D6E-409C-BE32-E72D297353CC}">
                <c16:uniqueId val="{0000000D-2C13-4CA8-AA3B-2C266C5FCFD3}"/>
              </c:ext>
            </c:extLst>
          </c:dPt>
          <c:dPt>
            <c:idx val="7"/>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0F-2C13-4CA8-AA3B-2C266C5FCFD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AC2-46A4-A2B6-FA505C00E7A9}"/>
              </c:ext>
            </c:extLst>
          </c:dPt>
          <c:dLbls>
            <c:dLbl>
              <c:idx val="1"/>
              <c:showLegendKey val="0"/>
              <c:showVal val="1"/>
              <c:showCatName val="0"/>
              <c:showSerName val="0"/>
              <c:showPercent val="0"/>
              <c:showBubbleSize val="0"/>
              <c:extLst>
                <c:ext xmlns:c15="http://schemas.microsoft.com/office/drawing/2012/chart" uri="{CE6537A1-D6FC-4f65-9D91-7224C49458BB}">
                  <c15:layout>
                    <c:manualLayout>
                      <c:w val="0.32380950173436263"/>
                      <c:h val="0.11293707537438195"/>
                    </c:manualLayout>
                  </c15:layout>
                </c:ext>
                <c:ext xmlns:c16="http://schemas.microsoft.com/office/drawing/2014/chart" uri="{C3380CC4-5D6E-409C-BE32-E72D297353CC}">
                  <c16:uniqueId val="{00000003-2C13-4CA8-AA3B-2C266C5FCFD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Charts!$E$60:$E$68</c:f>
              <c:strCache>
                <c:ptCount val="9"/>
                <c:pt idx="0">
                  <c:v> Signature bonus </c:v>
                </c:pt>
                <c:pt idx="1">
                  <c:v> Royalty </c:v>
                </c:pt>
                <c:pt idx="2">
                  <c:v> Carbon tax </c:v>
                </c:pt>
                <c:pt idx="3">
                  <c:v> CIT: Mining company </c:v>
                </c:pt>
                <c:pt idx="4">
                  <c:v> RRT: Mining company </c:v>
                </c:pt>
                <c:pt idx="5">
                  <c:v> Dividend withholding tax </c:v>
                </c:pt>
                <c:pt idx="6">
                  <c:v> Interest withholding tax </c:v>
                </c:pt>
                <c:pt idx="7">
                  <c:v> VAT cashflow: government </c:v>
                </c:pt>
                <c:pt idx="8">
                  <c:v> State participation cashflows including share of loan </c:v>
                </c:pt>
              </c:strCache>
            </c:strRef>
          </c:cat>
          <c:val>
            <c:numRef>
              <c:f>Charts!$G$60:$G$68</c:f>
              <c:numCache>
                <c:formatCode>0.00%_);\-0.00%_);"-  ";" "@" "</c:formatCode>
                <c:ptCount val="9"/>
                <c:pt idx="0" formatCode="0%_);\-0%_);&quot;-  &quot;;&quot; &quot;@&quot; &quot;">
                  <c:v>0</c:v>
                </c:pt>
                <c:pt idx="1">
                  <c:v>0.24109481382811024</c:v>
                </c:pt>
                <c:pt idx="2">
                  <c:v>0</c:v>
                </c:pt>
                <c:pt idx="3" formatCode="0%_);\-0%_);&quot;-  &quot;;&quot; &quot;@&quot; &quot;">
                  <c:v>0.59237694160265886</c:v>
                </c:pt>
                <c:pt idx="4" formatCode="0%_);\-0%_);&quot;-  &quot;;&quot; &quot;@&quot; &quot;">
                  <c:v>0</c:v>
                </c:pt>
                <c:pt idx="5" formatCode="0%_);\-0%_);&quot;-  &quot;;&quot; &quot;@&quot; &quot;">
                  <c:v>0.15646182958205171</c:v>
                </c:pt>
                <c:pt idx="6" formatCode="0%_);\-0%_);&quot;-  &quot;;&quot; &quot;@&quot; &quot;">
                  <c:v>1.0066414987179143E-2</c:v>
                </c:pt>
                <c:pt idx="7" formatCode="0%_);\-0%_);&quot;-  &quot;;&quot; &quot;@&quot; &quot;">
                  <c:v>0</c:v>
                </c:pt>
                <c:pt idx="8" formatCode="0%_);\-0%_);&quot;-  &quot;;&quot; &quot;@&quot; &quot;">
                  <c:v>0</c:v>
                </c:pt>
              </c:numCache>
            </c:numRef>
          </c:val>
          <c:extLst>
            <c:ext xmlns:c16="http://schemas.microsoft.com/office/drawing/2014/chart" uri="{C3380CC4-5D6E-409C-BE32-E72D297353CC}">
              <c16:uniqueId val="{00000010-2C13-4CA8-AA3B-2C266C5FCFD3}"/>
            </c:ext>
          </c:extLst>
        </c:ser>
        <c:dLbls>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Charts!$A$4</c:f>
          <c:strCache>
            <c:ptCount val="1"/>
            <c:pt idx="0">
              <c:v> Government revenues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Charts!$E$25</c:f>
              <c:strCache>
                <c:ptCount val="1"/>
                <c:pt idx="0">
                  <c:v> Signature bonus </c:v>
                </c:pt>
              </c:strCache>
            </c:strRef>
          </c:tx>
          <c:spPr>
            <a:solidFill>
              <a:schemeClr val="bg1">
                <a:lumMod val="65000"/>
              </a:schemeClr>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Charts!$K$25:$AX$25</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1-0FEB-403B-94BE-D3769819A8DA}"/>
            </c:ext>
          </c:extLst>
        </c:ser>
        <c:ser>
          <c:idx val="0"/>
          <c:order val="1"/>
          <c:tx>
            <c:strRef>
              <c:f>Charts!$E$26</c:f>
              <c:strCache>
                <c:ptCount val="1"/>
                <c:pt idx="0">
                  <c:v> Royalty </c:v>
                </c:pt>
              </c:strCache>
            </c:strRef>
          </c:tx>
          <c:spPr>
            <a:solidFill>
              <a:srgbClr val="0070C0"/>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Charts!$K$26:$AX$26</c:f>
              <c:numCache>
                <c:formatCode>#,##0_);\(#,##0\);"-  ";" "@" "</c:formatCode>
                <c:ptCount val="40"/>
                <c:pt idx="0">
                  <c:v>0</c:v>
                </c:pt>
                <c:pt idx="1">
                  <c:v>0</c:v>
                </c:pt>
                <c:pt idx="2">
                  <c:v>0</c:v>
                </c:pt>
                <c:pt idx="3">
                  <c:v>0</c:v>
                </c:pt>
                <c:pt idx="4">
                  <c:v>0.73750000000000004</c:v>
                </c:pt>
                <c:pt idx="5">
                  <c:v>5.53125</c:v>
                </c:pt>
                <c:pt idx="6">
                  <c:v>11.062500000000002</c:v>
                </c:pt>
                <c:pt idx="7">
                  <c:v>11.0625</c:v>
                </c:pt>
                <c:pt idx="8">
                  <c:v>11.0625</c:v>
                </c:pt>
                <c:pt idx="9">
                  <c:v>11.062500000000002</c:v>
                </c:pt>
                <c:pt idx="10">
                  <c:v>11.0625</c:v>
                </c:pt>
                <c:pt idx="11">
                  <c:v>11.0625</c:v>
                </c:pt>
                <c:pt idx="12">
                  <c:v>11.0625</c:v>
                </c:pt>
                <c:pt idx="13">
                  <c:v>11.0625</c:v>
                </c:pt>
                <c:pt idx="14">
                  <c:v>11.062500000000002</c:v>
                </c:pt>
                <c:pt idx="15">
                  <c:v>11.0625</c:v>
                </c:pt>
                <c:pt idx="16">
                  <c:v>9.2187500000000018</c:v>
                </c:pt>
                <c:pt idx="17">
                  <c:v>7.3750000000000009</c:v>
                </c:pt>
                <c:pt idx="18">
                  <c:v>5.53125</c:v>
                </c:pt>
                <c:pt idx="19">
                  <c:v>4.7937500000000002</c:v>
                </c:pt>
                <c:pt idx="20">
                  <c:v>3.6875</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0FEB-403B-94BE-D3769819A8DA}"/>
            </c:ext>
          </c:extLst>
        </c:ser>
        <c:ser>
          <c:idx val="2"/>
          <c:order val="2"/>
          <c:tx>
            <c:strRef>
              <c:f>Charts!$E$27</c:f>
              <c:strCache>
                <c:ptCount val="1"/>
                <c:pt idx="0">
                  <c:v> Carbon tax </c:v>
                </c:pt>
              </c:strCache>
            </c:strRef>
          </c:tx>
          <c:spPr>
            <a:solidFill>
              <a:schemeClr val="tx1"/>
            </a:solidFill>
            <a:ln>
              <a:noFill/>
            </a:ln>
            <a:effectLst/>
          </c:spPr>
          <c:invertIfNegative val="0"/>
          <c:val>
            <c:numRef>
              <c:f>Charts!$K$27:$AX$27</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EAF3-4181-826C-E9D13CB1B236}"/>
            </c:ext>
          </c:extLst>
        </c:ser>
        <c:ser>
          <c:idx val="3"/>
          <c:order val="3"/>
          <c:tx>
            <c:strRef>
              <c:f>Charts!$E$28</c:f>
              <c:strCache>
                <c:ptCount val="1"/>
                <c:pt idx="0">
                  <c:v> CIT: Mining company </c:v>
                </c:pt>
              </c:strCache>
            </c:strRef>
          </c:tx>
          <c:spPr>
            <a:solidFill>
              <a:srgbClr val="FFFF00"/>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Charts!$K$28:$AX$28</c:f>
              <c:numCache>
                <c:formatCode>#,##0_);\(#,##0\);"-  ";" "@" "</c:formatCode>
                <c:ptCount val="40"/>
                <c:pt idx="0">
                  <c:v>0</c:v>
                </c:pt>
                <c:pt idx="1">
                  <c:v>0</c:v>
                </c:pt>
                <c:pt idx="2">
                  <c:v>0</c:v>
                </c:pt>
                <c:pt idx="3">
                  <c:v>0</c:v>
                </c:pt>
                <c:pt idx="4">
                  <c:v>0</c:v>
                </c:pt>
                <c:pt idx="5">
                  <c:v>0</c:v>
                </c:pt>
                <c:pt idx="6">
                  <c:v>0</c:v>
                </c:pt>
                <c:pt idx="7">
                  <c:v>0</c:v>
                </c:pt>
                <c:pt idx="8">
                  <c:v>7.8619013256185006</c:v>
                </c:pt>
                <c:pt idx="9">
                  <c:v>30.401228446335146</c:v>
                </c:pt>
                <c:pt idx="10">
                  <c:v>36.708502880782994</c:v>
                </c:pt>
                <c:pt idx="11">
                  <c:v>37.798637542993923</c:v>
                </c:pt>
                <c:pt idx="12">
                  <c:v>37.798637542993923</c:v>
                </c:pt>
                <c:pt idx="13">
                  <c:v>37.034182667844838</c:v>
                </c:pt>
                <c:pt idx="14">
                  <c:v>37.049171979122292</c:v>
                </c:pt>
                <c:pt idx="15">
                  <c:v>37.063867382335445</c:v>
                </c:pt>
                <c:pt idx="16">
                  <c:v>30.419524640387579</c:v>
                </c:pt>
                <c:pt idx="17">
                  <c:v>24.222899403183778</c:v>
                </c:pt>
                <c:pt idx="18">
                  <c:v>18.017212896121233</c:v>
                </c:pt>
                <c:pt idx="19">
                  <c:v>15.797892791157951</c:v>
                </c:pt>
                <c:pt idx="20">
                  <c:v>12.238113276488066</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3-0FEB-403B-94BE-D3769819A8DA}"/>
            </c:ext>
          </c:extLst>
        </c:ser>
        <c:ser>
          <c:idx val="7"/>
          <c:order val="4"/>
          <c:tx>
            <c:strRef>
              <c:f>Charts!$E$29</c:f>
              <c:strCache>
                <c:ptCount val="1"/>
                <c:pt idx="0">
                  <c:v> RRT: Mining company </c:v>
                </c:pt>
              </c:strCache>
            </c:strRef>
          </c:tx>
          <c:spPr>
            <a:solidFill>
              <a:srgbClr val="4BACC6"/>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Charts!$K$29:$AX$29</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6C62-497B-9EFB-7BE25F9D0E0D}"/>
            </c:ext>
          </c:extLst>
        </c:ser>
        <c:ser>
          <c:idx val="4"/>
          <c:order val="5"/>
          <c:tx>
            <c:strRef>
              <c:f>Charts!$E$30</c:f>
              <c:strCache>
                <c:ptCount val="1"/>
                <c:pt idx="0">
                  <c:v> Dividend withholding tax </c:v>
                </c:pt>
              </c:strCache>
            </c:strRef>
          </c:tx>
          <c:spPr>
            <a:solidFill>
              <a:schemeClr val="accent6"/>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Charts!$K$30:$AX$30</c:f>
              <c:numCache>
                <c:formatCode>#,##0_);\(#,##0\);"-  ";" "@" "</c:formatCode>
                <c:ptCount val="40"/>
                <c:pt idx="0">
                  <c:v>0</c:v>
                </c:pt>
                <c:pt idx="1">
                  <c:v>0</c:v>
                </c:pt>
                <c:pt idx="2">
                  <c:v>0</c:v>
                </c:pt>
                <c:pt idx="3">
                  <c:v>0</c:v>
                </c:pt>
                <c:pt idx="4">
                  <c:v>0</c:v>
                </c:pt>
                <c:pt idx="5">
                  <c:v>3.3343749999999988</c:v>
                </c:pt>
                <c:pt idx="6">
                  <c:v>5.4260151550245039</c:v>
                </c:pt>
                <c:pt idx="7">
                  <c:v>5.9968799899077201</c:v>
                </c:pt>
                <c:pt idx="8">
                  <c:v>5.7622600062186704</c:v>
                </c:pt>
                <c:pt idx="9">
                  <c:v>4.0411399323796893</c:v>
                </c:pt>
                <c:pt idx="10">
                  <c:v>3.9249911443769259</c:v>
                </c:pt>
                <c:pt idx="11">
                  <c:v>9.6888862457006049</c:v>
                </c:pt>
                <c:pt idx="12">
                  <c:v>9.6888862457006102</c:v>
                </c:pt>
                <c:pt idx="13">
                  <c:v>9.4923121349479906</c:v>
                </c:pt>
                <c:pt idx="14">
                  <c:v>9.4961665292764739</c:v>
                </c:pt>
                <c:pt idx="15">
                  <c:v>9.4999453472455748</c:v>
                </c:pt>
                <c:pt idx="16">
                  <c:v>7.7914000707446958</c:v>
                </c:pt>
                <c:pt idx="17">
                  <c:v>6.8379821526065729</c:v>
                </c:pt>
                <c:pt idx="18">
                  <c:v>4.7409346414889759</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4-0FEB-403B-94BE-D3769819A8DA}"/>
            </c:ext>
          </c:extLst>
        </c:ser>
        <c:ser>
          <c:idx val="5"/>
          <c:order val="6"/>
          <c:tx>
            <c:strRef>
              <c:f>Charts!$E$31</c:f>
              <c:strCache>
                <c:ptCount val="1"/>
                <c:pt idx="0">
                  <c:v> Interest withholding tax </c:v>
                </c:pt>
              </c:strCache>
            </c:strRef>
          </c:tx>
          <c:spPr>
            <a:solidFill>
              <a:srgbClr val="1F497D"/>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Charts!$K$31:$AX$31</c:f>
              <c:numCache>
                <c:formatCode>#,##0_);\(#,##0\);"-  ";" "@" "</c:formatCode>
                <c:ptCount val="40"/>
                <c:pt idx="0">
                  <c:v>0</c:v>
                </c:pt>
                <c:pt idx="1">
                  <c:v>0</c:v>
                </c:pt>
                <c:pt idx="2">
                  <c:v>0</c:v>
                </c:pt>
                <c:pt idx="3">
                  <c:v>0</c:v>
                </c:pt>
                <c:pt idx="4">
                  <c:v>0</c:v>
                </c:pt>
                <c:pt idx="5">
                  <c:v>0</c:v>
                </c:pt>
                <c:pt idx="6">
                  <c:v>2.1071371734068678</c:v>
                </c:pt>
                <c:pt idx="7">
                  <c:v>1.6526566065936219</c:v>
                </c:pt>
                <c:pt idx="8">
                  <c:v>1.2151886813188395</c:v>
                </c:pt>
                <c:pt idx="9">
                  <c:v>0.7942409681822481</c:v>
                </c:pt>
                <c:pt idx="10">
                  <c:v>0.38933380793247452</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5-0FEB-403B-94BE-D3769819A8DA}"/>
            </c:ext>
          </c:extLst>
        </c:ser>
        <c:ser>
          <c:idx val="8"/>
          <c:order val="7"/>
          <c:tx>
            <c:strRef>
              <c:f>Charts!$E$32</c:f>
              <c:strCache>
                <c:ptCount val="1"/>
                <c:pt idx="0">
                  <c:v> VAT cashflow: government </c:v>
                </c:pt>
              </c:strCache>
            </c:strRef>
          </c:tx>
          <c:spPr>
            <a:solidFill>
              <a:schemeClr val="accent3">
                <a:lumMod val="60000"/>
              </a:schemeClr>
            </a:solidFill>
            <a:ln>
              <a:noFill/>
            </a:ln>
            <a:effectLst/>
          </c:spPr>
          <c:invertIfNegative val="0"/>
          <c:val>
            <c:numRef>
              <c:f>Charts!$K$32:$AX$32</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1-472A-4E5B-9F2F-AF0017C4C8AB}"/>
            </c:ext>
          </c:extLst>
        </c:ser>
        <c:ser>
          <c:idx val="6"/>
          <c:order val="8"/>
          <c:tx>
            <c:strRef>
              <c:f>Charts!$E$33</c:f>
              <c:strCache>
                <c:ptCount val="1"/>
                <c:pt idx="0">
                  <c:v> State participation cashflows including share of loan </c:v>
                </c:pt>
              </c:strCache>
            </c:strRef>
          </c:tx>
          <c:spPr>
            <a:solidFill>
              <a:schemeClr val="accent3">
                <a:lumMod val="50000"/>
              </a:schemeClr>
            </a:solidFill>
            <a:ln>
              <a:noFill/>
            </a:ln>
            <a:effectLst/>
          </c:spPr>
          <c:invertIfNegative val="0"/>
          <c:cat>
            <c:numRef>
              <c:f>Charts!$K$10:$AX$10</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Charts!$K$33:$AX$33</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6-0FEB-403B-94BE-D3769819A8DA}"/>
            </c:ext>
          </c:extLst>
        </c:ser>
        <c:dLbls>
          <c:showLegendKey val="0"/>
          <c:showVal val="0"/>
          <c:showCatName val="0"/>
          <c:showSerName val="0"/>
          <c:showPercent val="0"/>
          <c:showBubbleSize val="0"/>
        </c:dLbls>
        <c:gapWidth val="18"/>
        <c:overlap val="100"/>
        <c:axId val="252344576"/>
        <c:axId val="252346752"/>
      </c:barChart>
      <c:catAx>
        <c:axId val="252344576"/>
        <c:scaling>
          <c:orientation val="minMax"/>
        </c:scaling>
        <c:delete val="0"/>
        <c:axPos val="b"/>
        <c:title>
          <c:tx>
            <c:strRef>
              <c:f>Charts!$F$7</c:f>
              <c:strCache>
                <c:ptCount val="1"/>
                <c:pt idx="0">
                  <c:v> Years </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46752"/>
        <c:crosses val="autoZero"/>
        <c:auto val="1"/>
        <c:lblAlgn val="ctr"/>
        <c:lblOffset val="100"/>
        <c:noMultiLvlLbl val="0"/>
      </c:catAx>
      <c:valAx>
        <c:axId val="252346752"/>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Charts!$F$8</c:f>
              <c:strCache>
                <c:ptCount val="1"/>
                <c:pt idx="0">
                  <c:v> US$ mn 2021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4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Charts!$F$6</c:f>
          <c:strCache>
            <c:ptCount val="1"/>
            <c:pt idx="0">
              <c:v>Government revenues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1-12DC-4900-BFFA-E2EF6CCEDEBA}"/>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12DC-4900-BFFA-E2EF6CCEDEBA}"/>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12DC-4900-BFFA-E2EF6CCEDEBA}"/>
              </c:ext>
            </c:extLst>
          </c:dPt>
          <c:dPt>
            <c:idx val="3"/>
            <c:bubble3D val="0"/>
            <c:spPr>
              <a:solidFill>
                <a:srgbClr val="FFFF00"/>
              </a:solidFill>
              <a:ln w="19050">
                <a:solidFill>
                  <a:schemeClr val="lt1"/>
                </a:solidFill>
              </a:ln>
              <a:effectLst/>
            </c:spPr>
            <c:extLst>
              <c:ext xmlns:c16="http://schemas.microsoft.com/office/drawing/2014/chart" uri="{C3380CC4-5D6E-409C-BE32-E72D297353CC}">
                <c16:uniqueId val="{00000007-12DC-4900-BFFA-E2EF6CCEDEBA}"/>
              </c:ext>
            </c:extLst>
          </c:dPt>
          <c:dPt>
            <c:idx val="4"/>
            <c:bubble3D val="0"/>
            <c:spPr>
              <a:solidFill>
                <a:srgbClr val="4BACC6"/>
              </a:solidFill>
              <a:ln w="19050">
                <a:solidFill>
                  <a:schemeClr val="lt1"/>
                </a:solidFill>
              </a:ln>
              <a:effectLst/>
            </c:spPr>
            <c:extLst>
              <c:ext xmlns:c16="http://schemas.microsoft.com/office/drawing/2014/chart" uri="{C3380CC4-5D6E-409C-BE32-E72D297353CC}">
                <c16:uniqueId val="{00000009-12DC-4900-BFFA-E2EF6CCEDEB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2DC-4900-BFFA-E2EF6CCEDEBA}"/>
              </c:ext>
            </c:extLst>
          </c:dPt>
          <c:dPt>
            <c:idx val="6"/>
            <c:bubble3D val="0"/>
            <c:spPr>
              <a:solidFill>
                <a:srgbClr val="1F497D"/>
              </a:solidFill>
              <a:ln w="19050">
                <a:solidFill>
                  <a:schemeClr val="lt1"/>
                </a:solidFill>
              </a:ln>
              <a:effectLst/>
            </c:spPr>
            <c:extLst>
              <c:ext xmlns:c16="http://schemas.microsoft.com/office/drawing/2014/chart" uri="{C3380CC4-5D6E-409C-BE32-E72D297353CC}">
                <c16:uniqueId val="{0000000D-12DC-4900-BFFA-E2EF6CCEDEBA}"/>
              </c:ext>
            </c:extLst>
          </c:dPt>
          <c:dPt>
            <c:idx val="7"/>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0F-9AC4-4D72-AB8E-247800F9331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E91A-4FDB-B2AE-AD777E07AC6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Charts!$E$60:$E$68</c:f>
              <c:strCache>
                <c:ptCount val="9"/>
                <c:pt idx="0">
                  <c:v> Signature bonus </c:v>
                </c:pt>
                <c:pt idx="1">
                  <c:v> Royalty </c:v>
                </c:pt>
                <c:pt idx="2">
                  <c:v> Carbon tax </c:v>
                </c:pt>
                <c:pt idx="3">
                  <c:v> CIT: Mining company </c:v>
                </c:pt>
                <c:pt idx="4">
                  <c:v> RRT: Mining company </c:v>
                </c:pt>
                <c:pt idx="5">
                  <c:v> Dividend withholding tax </c:v>
                </c:pt>
                <c:pt idx="6">
                  <c:v> Interest withholding tax </c:v>
                </c:pt>
                <c:pt idx="7">
                  <c:v> VAT cashflow: government </c:v>
                </c:pt>
                <c:pt idx="8">
                  <c:v> State participation cashflows including share of loan </c:v>
                </c:pt>
              </c:strCache>
            </c:strRef>
          </c:cat>
          <c:val>
            <c:numRef>
              <c:f>Charts!$G$60:$G$68</c:f>
              <c:numCache>
                <c:formatCode>0.00%_);\-0.00%_);"-  ";" "@" "</c:formatCode>
                <c:ptCount val="9"/>
                <c:pt idx="0" formatCode="0%_);\-0%_);&quot;-  &quot;;&quot; &quot;@&quot; &quot;">
                  <c:v>0</c:v>
                </c:pt>
                <c:pt idx="1">
                  <c:v>0.24109481382811024</c:v>
                </c:pt>
                <c:pt idx="2">
                  <c:v>0</c:v>
                </c:pt>
                <c:pt idx="3" formatCode="0%_);\-0%_);&quot;-  &quot;;&quot; &quot;@&quot; &quot;">
                  <c:v>0.59237694160265886</c:v>
                </c:pt>
                <c:pt idx="4" formatCode="0%_);\-0%_);&quot;-  &quot;;&quot; &quot;@&quot; &quot;">
                  <c:v>0</c:v>
                </c:pt>
                <c:pt idx="5" formatCode="0%_);\-0%_);&quot;-  &quot;;&quot; &quot;@&quot; &quot;">
                  <c:v>0.15646182958205171</c:v>
                </c:pt>
                <c:pt idx="6" formatCode="0%_);\-0%_);&quot;-  &quot;;&quot; &quot;@&quot; &quot;">
                  <c:v>1.0066414987179143E-2</c:v>
                </c:pt>
                <c:pt idx="7" formatCode="0%_);\-0%_);&quot;-  &quot;;&quot; &quot;@&quot; &quot;">
                  <c:v>0</c:v>
                </c:pt>
                <c:pt idx="8" formatCode="0%_);\-0%_);&quot;-  &quot;;&quot; &quot;@&quot; &quot;">
                  <c:v>0</c:v>
                </c:pt>
              </c:numCache>
            </c:numRef>
          </c:val>
          <c:extLst>
            <c:ext xmlns:c16="http://schemas.microsoft.com/office/drawing/2014/chart" uri="{C3380CC4-5D6E-409C-BE32-E72D297353CC}">
              <c16:uniqueId val="{00000000-590E-42AB-B9FF-0C8B1DAA5E6A}"/>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Charts!$F$73</c:f>
          <c:strCache>
            <c:ptCount val="1"/>
            <c:pt idx="0">
              <c:v>Project revenues and costs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5"/>
          <c:order val="5"/>
          <c:tx>
            <c:strRef>
              <c:f>Charts!$E$80</c:f>
              <c:strCache>
                <c:ptCount val="1"/>
                <c:pt idx="0">
                  <c:v> Sales revenues: net, after ELT </c:v>
                </c:pt>
              </c:strCache>
            </c:strRef>
          </c:tx>
          <c:spPr>
            <a:solidFill>
              <a:srgbClr val="00B050">
                <a:alpha val="25000"/>
              </a:srgbClr>
            </a:solidFill>
            <a:ln>
              <a:noFill/>
            </a:ln>
            <a:effectLst/>
          </c:spPr>
          <c:val>
            <c:numRef>
              <c:f>Charts!$K$80:$XFD$80</c:f>
              <c:numCache>
                <c:formatCode>#,##0_);\(#,##0\);"-  ";" "@" "</c:formatCode>
                <c:ptCount val="40"/>
                <c:pt idx="0">
                  <c:v>0</c:v>
                </c:pt>
                <c:pt idx="1">
                  <c:v>0</c:v>
                </c:pt>
                <c:pt idx="2">
                  <c:v>0</c:v>
                </c:pt>
                <c:pt idx="3">
                  <c:v>0</c:v>
                </c:pt>
                <c:pt idx="4">
                  <c:v>14.75</c:v>
                </c:pt>
                <c:pt idx="5">
                  <c:v>110.625</c:v>
                </c:pt>
                <c:pt idx="6">
                  <c:v>221.25</c:v>
                </c:pt>
                <c:pt idx="7">
                  <c:v>221.25</c:v>
                </c:pt>
                <c:pt idx="8">
                  <c:v>221.25</c:v>
                </c:pt>
                <c:pt idx="9">
                  <c:v>221.25</c:v>
                </c:pt>
                <c:pt idx="10">
                  <c:v>221.25</c:v>
                </c:pt>
                <c:pt idx="11">
                  <c:v>221.25</c:v>
                </c:pt>
                <c:pt idx="12">
                  <c:v>221.25</c:v>
                </c:pt>
                <c:pt idx="13">
                  <c:v>221.25</c:v>
                </c:pt>
                <c:pt idx="14">
                  <c:v>221.25</c:v>
                </c:pt>
                <c:pt idx="15">
                  <c:v>221.25</c:v>
                </c:pt>
                <c:pt idx="16">
                  <c:v>184.375</c:v>
                </c:pt>
                <c:pt idx="17">
                  <c:v>147.5</c:v>
                </c:pt>
                <c:pt idx="18">
                  <c:v>110.625</c:v>
                </c:pt>
                <c:pt idx="19">
                  <c:v>95.875</c:v>
                </c:pt>
                <c:pt idx="20">
                  <c:v>73.75</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5-92C8-47CA-A162-467BF45DF32C}"/>
            </c:ext>
          </c:extLst>
        </c:ser>
        <c:dLbls>
          <c:showLegendKey val="0"/>
          <c:showVal val="0"/>
          <c:showCatName val="0"/>
          <c:showSerName val="0"/>
          <c:showPercent val="0"/>
          <c:showBubbleSize val="0"/>
        </c:dLbls>
        <c:axId val="265489792"/>
        <c:axId val="265503872"/>
      </c:areaChart>
      <c:barChart>
        <c:barDir val="col"/>
        <c:grouping val="stacked"/>
        <c:varyColors val="0"/>
        <c:ser>
          <c:idx val="0"/>
          <c:order val="0"/>
          <c:tx>
            <c:strRef>
              <c:f>Charts!$E$81</c:f>
              <c:strCache>
                <c:ptCount val="1"/>
                <c:pt idx="0">
                  <c:v> Exploration costs, after ELT </c:v>
                </c:pt>
              </c:strCache>
            </c:strRef>
          </c:tx>
          <c:spPr>
            <a:solidFill>
              <a:schemeClr val="accent1"/>
            </a:solidFill>
            <a:ln>
              <a:noFill/>
            </a:ln>
            <a:effectLst/>
          </c:spPr>
          <c:invertIfNegative val="0"/>
          <c:cat>
            <c:numRef>
              <c:f>Charts!$K$78:$AX$78</c:f>
              <c:numCache>
                <c:formatCode>###0_);\(###0\);"-  ";" "@" "</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Charts!$K$81:$AX$81</c:f>
              <c:numCache>
                <c:formatCode>#,##0_);\(#,##0\);"-  ";" "@" "</c:formatCode>
                <c:ptCount val="40"/>
                <c:pt idx="0">
                  <c:v>10</c:v>
                </c:pt>
                <c:pt idx="1">
                  <c:v>10</c:v>
                </c:pt>
                <c:pt idx="2">
                  <c:v>10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92C8-47CA-A162-467BF45DF32C}"/>
            </c:ext>
          </c:extLst>
        </c:ser>
        <c:ser>
          <c:idx val="1"/>
          <c:order val="1"/>
          <c:tx>
            <c:strRef>
              <c:f>Charts!$E$82</c:f>
              <c:strCache>
                <c:ptCount val="1"/>
                <c:pt idx="0">
                  <c:v> Development costs, after ELT </c:v>
                </c:pt>
              </c:strCache>
            </c:strRef>
          </c:tx>
          <c:spPr>
            <a:solidFill>
              <a:schemeClr val="accent2"/>
            </a:solidFill>
            <a:ln>
              <a:noFill/>
            </a:ln>
            <a:effectLst/>
          </c:spPr>
          <c:invertIfNegative val="0"/>
          <c:cat>
            <c:numRef>
              <c:f>Charts!$K$78:$AX$78</c:f>
              <c:numCache>
                <c:formatCode>###0_);\(###0\);"-  ";" "@" "</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Charts!$K$82:$AX$82</c:f>
              <c:numCache>
                <c:formatCode>#,##0_);\(#,##0\);"-  ";" "@" "</c:formatCode>
                <c:ptCount val="40"/>
                <c:pt idx="0">
                  <c:v>0</c:v>
                </c:pt>
                <c:pt idx="1">
                  <c:v>0</c:v>
                </c:pt>
                <c:pt idx="2">
                  <c:v>0</c:v>
                </c:pt>
                <c:pt idx="3">
                  <c:v>50</c:v>
                </c:pt>
                <c:pt idx="4">
                  <c:v>250</c:v>
                </c:pt>
                <c:pt idx="5">
                  <c:v>100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1-92C8-47CA-A162-467BF45DF32C}"/>
            </c:ext>
          </c:extLst>
        </c:ser>
        <c:ser>
          <c:idx val="2"/>
          <c:order val="2"/>
          <c:tx>
            <c:strRef>
              <c:f>Charts!$E$83</c:f>
              <c:strCache>
                <c:ptCount val="1"/>
                <c:pt idx="0">
                  <c:v> Replacement capital costs, after ELT </c:v>
                </c:pt>
              </c:strCache>
            </c:strRef>
          </c:tx>
          <c:spPr>
            <a:solidFill>
              <a:schemeClr val="accent3"/>
            </a:solidFill>
            <a:ln>
              <a:noFill/>
            </a:ln>
            <a:effectLst/>
          </c:spPr>
          <c:invertIfNegative val="0"/>
          <c:cat>
            <c:numRef>
              <c:f>Charts!$K$78:$AX$78</c:f>
              <c:numCache>
                <c:formatCode>###0_);\(###0\);"-  ";" "@" "</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Charts!$K$83:$AX$83</c:f>
              <c:numCache>
                <c:formatCode>#,##0_);\(#,##0\);"-  ";" "@" "</c:formatCode>
                <c:ptCount val="40"/>
                <c:pt idx="0">
                  <c:v>0</c:v>
                </c:pt>
                <c:pt idx="1">
                  <c:v>0</c:v>
                </c:pt>
                <c:pt idx="2">
                  <c:v>0</c:v>
                </c:pt>
                <c:pt idx="3">
                  <c:v>0</c:v>
                </c:pt>
                <c:pt idx="4">
                  <c:v>0</c:v>
                </c:pt>
                <c:pt idx="5">
                  <c:v>8</c:v>
                </c:pt>
                <c:pt idx="6">
                  <c:v>8</c:v>
                </c:pt>
                <c:pt idx="7">
                  <c:v>8</c:v>
                </c:pt>
                <c:pt idx="8">
                  <c:v>8</c:v>
                </c:pt>
                <c:pt idx="9">
                  <c:v>8</c:v>
                </c:pt>
                <c:pt idx="10">
                  <c:v>8</c:v>
                </c:pt>
                <c:pt idx="11">
                  <c:v>8</c:v>
                </c:pt>
                <c:pt idx="12">
                  <c:v>8</c:v>
                </c:pt>
                <c:pt idx="13">
                  <c:v>8</c:v>
                </c:pt>
                <c:pt idx="14">
                  <c:v>8</c:v>
                </c:pt>
                <c:pt idx="15">
                  <c:v>8</c:v>
                </c:pt>
                <c:pt idx="16">
                  <c:v>8</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92C8-47CA-A162-467BF45DF32C}"/>
            </c:ext>
          </c:extLst>
        </c:ser>
        <c:ser>
          <c:idx val="3"/>
          <c:order val="3"/>
          <c:tx>
            <c:strRef>
              <c:f>Charts!$E$84</c:f>
              <c:strCache>
                <c:ptCount val="1"/>
                <c:pt idx="0">
                  <c:v> Operating costs, after ELT </c:v>
                </c:pt>
              </c:strCache>
            </c:strRef>
          </c:tx>
          <c:spPr>
            <a:solidFill>
              <a:schemeClr val="accent4"/>
            </a:solidFill>
            <a:ln>
              <a:noFill/>
            </a:ln>
            <a:effectLst/>
          </c:spPr>
          <c:invertIfNegative val="0"/>
          <c:cat>
            <c:numRef>
              <c:f>Charts!$K$78:$AX$78</c:f>
              <c:numCache>
                <c:formatCode>###0_);\(###0\);"-  ";" "@" "</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Charts!$K$84:$AX$84</c:f>
              <c:numCache>
                <c:formatCode>#,##0_);\(#,##0\);"-  ";" "@" "</c:formatCode>
                <c:ptCount val="40"/>
                <c:pt idx="0">
                  <c:v>0</c:v>
                </c:pt>
                <c:pt idx="1">
                  <c:v>0</c:v>
                </c:pt>
                <c:pt idx="2">
                  <c:v>0</c:v>
                </c:pt>
                <c:pt idx="3">
                  <c:v>0</c:v>
                </c:pt>
                <c:pt idx="4">
                  <c:v>4.5</c:v>
                </c:pt>
                <c:pt idx="5">
                  <c:v>33.75</c:v>
                </c:pt>
                <c:pt idx="6">
                  <c:v>67.5</c:v>
                </c:pt>
                <c:pt idx="7">
                  <c:v>67.5</c:v>
                </c:pt>
                <c:pt idx="8">
                  <c:v>67.5</c:v>
                </c:pt>
                <c:pt idx="9">
                  <c:v>67.5</c:v>
                </c:pt>
                <c:pt idx="10">
                  <c:v>67.5</c:v>
                </c:pt>
                <c:pt idx="11">
                  <c:v>67.5</c:v>
                </c:pt>
                <c:pt idx="12">
                  <c:v>67.5</c:v>
                </c:pt>
                <c:pt idx="13">
                  <c:v>67.5</c:v>
                </c:pt>
                <c:pt idx="14">
                  <c:v>67.5</c:v>
                </c:pt>
                <c:pt idx="15">
                  <c:v>67.5</c:v>
                </c:pt>
                <c:pt idx="16">
                  <c:v>56.25</c:v>
                </c:pt>
                <c:pt idx="17">
                  <c:v>45</c:v>
                </c:pt>
                <c:pt idx="18">
                  <c:v>33.75</c:v>
                </c:pt>
                <c:pt idx="19">
                  <c:v>29.25</c:v>
                </c:pt>
                <c:pt idx="20">
                  <c:v>22.5</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3-92C8-47CA-A162-467BF45DF32C}"/>
            </c:ext>
          </c:extLst>
        </c:ser>
        <c:ser>
          <c:idx val="4"/>
          <c:order val="4"/>
          <c:tx>
            <c:strRef>
              <c:f>Charts!$E$85</c:f>
              <c:strCache>
                <c:ptCount val="1"/>
                <c:pt idx="0">
                  <c:v> Decommissioning costs, after ELT </c:v>
                </c:pt>
              </c:strCache>
            </c:strRef>
          </c:tx>
          <c:spPr>
            <a:solidFill>
              <a:schemeClr val="accent5"/>
            </a:solidFill>
            <a:ln>
              <a:noFill/>
            </a:ln>
            <a:effectLst/>
          </c:spPr>
          <c:invertIfNegative val="0"/>
          <c:cat>
            <c:numRef>
              <c:f>Charts!$K$78:$AX$78</c:f>
              <c:numCache>
                <c:formatCode>###0_);\(###0\);"-  ";" "@" "</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Charts!$K$85:$AX$85</c:f>
              <c:numCache>
                <c:formatCode>#,##0_);\(#,##0\);"-  ";" "@" "</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4-92C8-47CA-A162-467BF45DF32C}"/>
            </c:ext>
          </c:extLst>
        </c:ser>
        <c:dLbls>
          <c:showLegendKey val="0"/>
          <c:showVal val="0"/>
          <c:showCatName val="0"/>
          <c:showSerName val="0"/>
          <c:showPercent val="0"/>
          <c:showBubbleSize val="0"/>
        </c:dLbls>
        <c:gapWidth val="17"/>
        <c:overlap val="100"/>
        <c:axId val="265489792"/>
        <c:axId val="265503872"/>
      </c:barChart>
      <c:lineChart>
        <c:grouping val="standard"/>
        <c:varyColors val="0"/>
        <c:ser>
          <c:idx val="6"/>
          <c:order val="6"/>
          <c:tx>
            <c:strRef>
              <c:f>Charts!$E$87</c:f>
              <c:strCache>
                <c:ptCount val="1"/>
                <c:pt idx="0">
                  <c:v> Project cashflows: real, after ELT </c:v>
                </c:pt>
              </c:strCache>
            </c:strRef>
          </c:tx>
          <c:spPr>
            <a:ln w="28575" cap="rnd">
              <a:solidFill>
                <a:schemeClr val="accent1">
                  <a:lumMod val="60000"/>
                </a:schemeClr>
              </a:solidFill>
              <a:round/>
            </a:ln>
            <a:effectLst/>
          </c:spPr>
          <c:marker>
            <c:symbol val="none"/>
          </c:marker>
          <c:val>
            <c:numRef>
              <c:f>Charts!$K$87:$AX$87</c:f>
              <c:numCache>
                <c:formatCode>#,##0_);\(#,##0\);"-  ";" "@" "</c:formatCode>
                <c:ptCount val="40"/>
                <c:pt idx="0">
                  <c:v>-10</c:v>
                </c:pt>
                <c:pt idx="1">
                  <c:v>-10</c:v>
                </c:pt>
                <c:pt idx="2">
                  <c:v>-10</c:v>
                </c:pt>
                <c:pt idx="3">
                  <c:v>-50</c:v>
                </c:pt>
                <c:pt idx="4">
                  <c:v>-239.75</c:v>
                </c:pt>
                <c:pt idx="5">
                  <c:v>-31.125</c:v>
                </c:pt>
                <c:pt idx="6">
                  <c:v>145.75</c:v>
                </c:pt>
                <c:pt idx="7">
                  <c:v>145.75</c:v>
                </c:pt>
                <c:pt idx="8">
                  <c:v>145.75</c:v>
                </c:pt>
                <c:pt idx="9">
                  <c:v>145.75</c:v>
                </c:pt>
                <c:pt idx="10">
                  <c:v>145.75</c:v>
                </c:pt>
                <c:pt idx="11">
                  <c:v>145.75</c:v>
                </c:pt>
                <c:pt idx="12">
                  <c:v>145.75</c:v>
                </c:pt>
                <c:pt idx="13">
                  <c:v>145.75</c:v>
                </c:pt>
                <c:pt idx="14">
                  <c:v>145.75</c:v>
                </c:pt>
                <c:pt idx="15">
                  <c:v>145.75</c:v>
                </c:pt>
                <c:pt idx="16">
                  <c:v>120.125</c:v>
                </c:pt>
                <c:pt idx="17">
                  <c:v>102.5</c:v>
                </c:pt>
                <c:pt idx="18">
                  <c:v>76.875</c:v>
                </c:pt>
                <c:pt idx="19">
                  <c:v>66.625</c:v>
                </c:pt>
                <c:pt idx="20">
                  <c:v>51.25</c:v>
                </c:pt>
                <c:pt idx="21">
                  <c:v>-20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0-271B-4855-90A4-59039AED9AAD}"/>
            </c:ext>
          </c:extLst>
        </c:ser>
        <c:dLbls>
          <c:showLegendKey val="0"/>
          <c:showVal val="0"/>
          <c:showCatName val="0"/>
          <c:showSerName val="0"/>
          <c:showPercent val="0"/>
          <c:showBubbleSize val="0"/>
        </c:dLbls>
        <c:marker val="1"/>
        <c:smooth val="0"/>
        <c:axId val="265489792"/>
        <c:axId val="265503872"/>
      </c:lineChart>
      <c:catAx>
        <c:axId val="2654897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503872"/>
        <c:crosses val="autoZero"/>
        <c:auto val="1"/>
        <c:lblAlgn val="ctr"/>
        <c:lblOffset val="100"/>
        <c:noMultiLvlLbl val="0"/>
      </c:catAx>
      <c:valAx>
        <c:axId val="265503872"/>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Charts!$F$75</c:f>
              <c:strCache>
                <c:ptCount val="1"/>
                <c:pt idx="0">
                  <c:v> US$ mn 2021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48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Charts!$F$114</c:f>
          <c:strCache>
            <c:ptCount val="1"/>
            <c:pt idx="0">
              <c:v>Production Versus Unit Operating Costs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13670166229222"/>
          <c:y val="0.17171296296296296"/>
          <c:w val="0.73772659667541562"/>
          <c:h val="0.58162766112569275"/>
        </c:manualLayout>
      </c:layout>
      <c:areaChart>
        <c:grouping val="standard"/>
        <c:varyColors val="0"/>
        <c:ser>
          <c:idx val="1"/>
          <c:order val="1"/>
          <c:tx>
            <c:strRef>
              <c:f>Charts!$E$128</c:f>
              <c:strCache>
                <c:ptCount val="1"/>
                <c:pt idx="0">
                  <c:v> Gold sales, after ELT </c:v>
                </c:pt>
              </c:strCache>
            </c:strRef>
          </c:tx>
          <c:spPr>
            <a:solidFill>
              <a:srgbClr val="00B050">
                <a:alpha val="34000"/>
              </a:srgbClr>
            </a:solidFill>
            <a:ln>
              <a:noFill/>
            </a:ln>
            <a:effectLst/>
          </c:spPr>
          <c:val>
            <c:numRef>
              <c:f>Charts!$K$127:$AX$127</c:f>
              <c:numCache>
                <c:formatCode>#,##0_);\(#,##0\);"-  ";" "@" "</c:formatCode>
                <c:ptCount val="40"/>
                <c:pt idx="0">
                  <c:v>0</c:v>
                </c:pt>
                <c:pt idx="1">
                  <c:v>0</c:v>
                </c:pt>
                <c:pt idx="2">
                  <c:v>0</c:v>
                </c:pt>
                <c:pt idx="3">
                  <c:v>0</c:v>
                </c:pt>
                <c:pt idx="4">
                  <c:v>10</c:v>
                </c:pt>
                <c:pt idx="5">
                  <c:v>75</c:v>
                </c:pt>
                <c:pt idx="6">
                  <c:v>150</c:v>
                </c:pt>
                <c:pt idx="7">
                  <c:v>150</c:v>
                </c:pt>
                <c:pt idx="8">
                  <c:v>150</c:v>
                </c:pt>
                <c:pt idx="9">
                  <c:v>150</c:v>
                </c:pt>
                <c:pt idx="10">
                  <c:v>150</c:v>
                </c:pt>
                <c:pt idx="11">
                  <c:v>150</c:v>
                </c:pt>
                <c:pt idx="12">
                  <c:v>150</c:v>
                </c:pt>
                <c:pt idx="13">
                  <c:v>150</c:v>
                </c:pt>
                <c:pt idx="14">
                  <c:v>150</c:v>
                </c:pt>
                <c:pt idx="15">
                  <c:v>150</c:v>
                </c:pt>
                <c:pt idx="16">
                  <c:v>125</c:v>
                </c:pt>
                <c:pt idx="17">
                  <c:v>100</c:v>
                </c:pt>
                <c:pt idx="18">
                  <c:v>75</c:v>
                </c:pt>
                <c:pt idx="19">
                  <c:v>65</c:v>
                </c:pt>
                <c:pt idx="20">
                  <c:v>50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1-04B9-4BBF-99B2-7F59C389D2DA}"/>
            </c:ext>
          </c:extLst>
        </c:ser>
        <c:dLbls>
          <c:showLegendKey val="0"/>
          <c:showVal val="0"/>
          <c:showCatName val="0"/>
          <c:showSerName val="0"/>
          <c:showPercent val="0"/>
          <c:showBubbleSize val="0"/>
        </c:dLbls>
        <c:axId val="266484352"/>
        <c:axId val="266482432"/>
      </c:areaChart>
      <c:lineChart>
        <c:grouping val="standard"/>
        <c:varyColors val="0"/>
        <c:ser>
          <c:idx val="0"/>
          <c:order val="0"/>
          <c:tx>
            <c:strRef>
              <c:f>Charts!$E$130</c:f>
              <c:strCache>
                <c:ptCount val="1"/>
                <c:pt idx="0">
                  <c:v>Operating unit costs</c:v>
                </c:pt>
              </c:strCache>
            </c:strRef>
          </c:tx>
          <c:spPr>
            <a:ln w="28575" cap="rnd">
              <a:solidFill>
                <a:schemeClr val="accent1"/>
              </a:solidFill>
              <a:round/>
            </a:ln>
            <a:effectLst/>
          </c:spPr>
          <c:marker>
            <c:symbol val="none"/>
          </c:marker>
          <c:cat>
            <c:numRef>
              <c:f>Charts!$K$125:$AX$125</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Charts!$K$130:$AX$130</c:f>
              <c:numCache>
                <c:formatCode>#,##0_);\(#,##0\);"-  ";" "@" "</c:formatCode>
                <c:ptCount val="40"/>
                <c:pt idx="0">
                  <c:v>0</c:v>
                </c:pt>
                <c:pt idx="1">
                  <c:v>0</c:v>
                </c:pt>
                <c:pt idx="2">
                  <c:v>0</c:v>
                </c:pt>
                <c:pt idx="3">
                  <c:v>0</c:v>
                </c:pt>
                <c:pt idx="4">
                  <c:v>450</c:v>
                </c:pt>
                <c:pt idx="5">
                  <c:v>450</c:v>
                </c:pt>
                <c:pt idx="6">
                  <c:v>450</c:v>
                </c:pt>
                <c:pt idx="7">
                  <c:v>450</c:v>
                </c:pt>
                <c:pt idx="8">
                  <c:v>450</c:v>
                </c:pt>
                <c:pt idx="9">
                  <c:v>450</c:v>
                </c:pt>
                <c:pt idx="10">
                  <c:v>450</c:v>
                </c:pt>
                <c:pt idx="11">
                  <c:v>450</c:v>
                </c:pt>
                <c:pt idx="12">
                  <c:v>450</c:v>
                </c:pt>
                <c:pt idx="13">
                  <c:v>450</c:v>
                </c:pt>
                <c:pt idx="14">
                  <c:v>450</c:v>
                </c:pt>
                <c:pt idx="15">
                  <c:v>450</c:v>
                </c:pt>
                <c:pt idx="16">
                  <c:v>450.00000000000006</c:v>
                </c:pt>
                <c:pt idx="17">
                  <c:v>450</c:v>
                </c:pt>
                <c:pt idx="18">
                  <c:v>450</c:v>
                </c:pt>
                <c:pt idx="19">
                  <c:v>450</c:v>
                </c:pt>
                <c:pt idx="20">
                  <c:v>450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0-04B9-4BBF-99B2-7F59C389D2DA}"/>
            </c:ext>
          </c:extLst>
        </c:ser>
        <c:dLbls>
          <c:showLegendKey val="0"/>
          <c:showVal val="0"/>
          <c:showCatName val="0"/>
          <c:showSerName val="0"/>
          <c:showPercent val="0"/>
          <c:showBubbleSize val="0"/>
        </c:dLbls>
        <c:marker val="1"/>
        <c:smooth val="0"/>
        <c:axId val="266474240"/>
        <c:axId val="266476160"/>
      </c:lineChart>
      <c:catAx>
        <c:axId val="266474240"/>
        <c:scaling>
          <c:orientation val="minMax"/>
        </c:scaling>
        <c:delete val="0"/>
        <c:axPos val="b"/>
        <c:title>
          <c:tx>
            <c:strRef>
              <c:f>Charts!$F$115</c:f>
              <c:strCache>
                <c:ptCount val="1"/>
                <c:pt idx="0">
                  <c:v> Years </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476160"/>
        <c:crosses val="autoZero"/>
        <c:auto val="1"/>
        <c:lblAlgn val="ctr"/>
        <c:lblOffset val="100"/>
        <c:noMultiLvlLbl val="0"/>
      </c:catAx>
      <c:valAx>
        <c:axId val="266476160"/>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Charts!$F$116</c:f>
              <c:strCache>
                <c:ptCount val="1"/>
                <c:pt idx="0">
                  <c:v> US$ / ounce $2021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474240"/>
        <c:crosses val="autoZero"/>
        <c:crossBetween val="between"/>
      </c:valAx>
      <c:valAx>
        <c:axId val="266482432"/>
        <c:scaling>
          <c:orientation val="minMax"/>
        </c:scaling>
        <c:delete val="0"/>
        <c:axPos val="r"/>
        <c:title>
          <c:tx>
            <c:strRef>
              <c:f>Charts!$F$117</c:f>
              <c:strCache>
                <c:ptCount val="1"/>
                <c:pt idx="0">
                  <c:v> 000 ounce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484352"/>
        <c:crosses val="max"/>
        <c:crossBetween val="between"/>
      </c:valAx>
      <c:catAx>
        <c:axId val="266484352"/>
        <c:scaling>
          <c:orientation val="minMax"/>
        </c:scaling>
        <c:delete val="1"/>
        <c:axPos val="b"/>
        <c:majorTickMark val="out"/>
        <c:minorTickMark val="none"/>
        <c:tickLblPos val="nextTo"/>
        <c:crossAx val="2664824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'Gold(2MMoz)'!$E$50</c:f>
              <c:strCache>
                <c:ptCount val="1"/>
                <c:pt idx="0">
                  <c:v> #VALUE! </c:v>
                </c:pt>
              </c:strCache>
            </c:strRef>
          </c:tx>
          <c:spPr>
            <a:ln w="28575" cap="rnd">
              <a:solidFill>
                <a:schemeClr val="accent1"/>
              </a:solidFill>
              <a:round/>
            </a:ln>
            <a:effectLst/>
          </c:spPr>
          <c:marker>
            <c:symbol val="none"/>
          </c:marker>
          <c:cat>
            <c:numRef>
              <c:f>'Gold(2MMoz)'!$K$1:$AX$1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'Gold(2MMoz)'!$K$50:$AX$50</c:f>
              <c:numCache>
                <c:formatCode>#,##0_);\(#,##0\);"-  ";" "@" "</c:formatCode>
                <c:ptCount val="40"/>
                <c:pt idx="0">
                  <c:v>0</c:v>
                </c:pt>
                <c:pt idx="1">
                  <c:v>0</c:v>
                </c:pt>
                <c:pt idx="2">
                  <c:v>0</c:v>
                </c:pt>
                <c:pt idx="3">
                  <c:v>0</c:v>
                </c:pt>
                <c:pt idx="4">
                  <c:v>450</c:v>
                </c:pt>
                <c:pt idx="5">
                  <c:v>450</c:v>
                </c:pt>
                <c:pt idx="6">
                  <c:v>450</c:v>
                </c:pt>
                <c:pt idx="7">
                  <c:v>450</c:v>
                </c:pt>
                <c:pt idx="8">
                  <c:v>450</c:v>
                </c:pt>
                <c:pt idx="9">
                  <c:v>450</c:v>
                </c:pt>
                <c:pt idx="10">
                  <c:v>450</c:v>
                </c:pt>
                <c:pt idx="11">
                  <c:v>450</c:v>
                </c:pt>
                <c:pt idx="12">
                  <c:v>450</c:v>
                </c:pt>
                <c:pt idx="13">
                  <c:v>450</c:v>
                </c:pt>
                <c:pt idx="14">
                  <c:v>450</c:v>
                </c:pt>
                <c:pt idx="15">
                  <c:v>450</c:v>
                </c:pt>
                <c:pt idx="16">
                  <c:v>450</c:v>
                </c:pt>
                <c:pt idx="17">
                  <c:v>450</c:v>
                </c:pt>
                <c:pt idx="18">
                  <c:v>450</c:v>
                </c:pt>
                <c:pt idx="19">
                  <c:v>450</c:v>
                </c:pt>
                <c:pt idx="20">
                  <c:v>450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0-9C29-4858-ABF7-A2D2B40C15FB}"/>
            </c:ext>
          </c:extLst>
        </c:ser>
        <c:dLbls>
          <c:showLegendKey val="0"/>
          <c:showVal val="0"/>
          <c:showCatName val="0"/>
          <c:showSerName val="0"/>
          <c:showPercent val="0"/>
          <c:showBubbleSize val="0"/>
        </c:dLbls>
        <c:smooth val="0"/>
        <c:axId val="267223808"/>
        <c:axId val="267225728"/>
      </c:lineChart>
      <c:catAx>
        <c:axId val="267223808"/>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25728"/>
        <c:crosses val="autoZero"/>
        <c:auto val="1"/>
        <c:lblAlgn val="ctr"/>
        <c:lblOffset val="100"/>
        <c:noMultiLvlLbl val="0"/>
      </c:catAx>
      <c:valAx>
        <c:axId val="267225728"/>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'Gold(2MMoz)'!$G$50</c:f>
              <c:strCache>
                <c:ptCount val="1"/>
                <c:pt idx="0">
                  <c:v> US$ 2021 / ounce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23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'Gold(2MMoz)'!$A$1</c:f>
          <c:strCache>
            <c:ptCount val="1"/>
            <c:pt idx="0">
              <c:v> #VALUE!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6"/>
          <c:order val="5"/>
          <c:tx>
            <c:strRef>
              <c:f>'Gold(2MMoz)'!$E$12</c:f>
              <c:strCache>
                <c:ptCount val="1"/>
                <c:pt idx="0">
                  <c:v> Gold Production </c:v>
                </c:pt>
              </c:strCache>
            </c:strRef>
          </c:tx>
          <c:spPr>
            <a:solidFill>
              <a:schemeClr val="accent3">
                <a:lumMod val="60000"/>
                <a:lumOff val="40000"/>
                <a:alpha val="62000"/>
              </a:schemeClr>
            </a:solidFill>
            <a:ln>
              <a:noFill/>
            </a:ln>
            <a:effectLst/>
          </c:spPr>
          <c:val>
            <c:numRef>
              <c:f>'Gold(2MMoz)'!$K$12:$AX$12</c:f>
              <c:numCache>
                <c:formatCode>#,##0_);\(#,##0\);"-  ";" "@" "</c:formatCode>
                <c:ptCount val="40"/>
                <c:pt idx="0">
                  <c:v>0</c:v>
                </c:pt>
                <c:pt idx="1">
                  <c:v>0</c:v>
                </c:pt>
                <c:pt idx="2">
                  <c:v>0</c:v>
                </c:pt>
                <c:pt idx="3">
                  <c:v>0</c:v>
                </c:pt>
                <c:pt idx="4">
                  <c:v>10</c:v>
                </c:pt>
                <c:pt idx="5">
                  <c:v>75</c:v>
                </c:pt>
                <c:pt idx="6">
                  <c:v>150</c:v>
                </c:pt>
                <c:pt idx="7">
                  <c:v>150</c:v>
                </c:pt>
                <c:pt idx="8">
                  <c:v>150</c:v>
                </c:pt>
                <c:pt idx="9">
                  <c:v>150</c:v>
                </c:pt>
                <c:pt idx="10">
                  <c:v>150</c:v>
                </c:pt>
                <c:pt idx="11">
                  <c:v>150</c:v>
                </c:pt>
                <c:pt idx="12">
                  <c:v>150</c:v>
                </c:pt>
                <c:pt idx="13">
                  <c:v>150</c:v>
                </c:pt>
                <c:pt idx="14">
                  <c:v>150</c:v>
                </c:pt>
                <c:pt idx="15">
                  <c:v>150</c:v>
                </c:pt>
                <c:pt idx="16">
                  <c:v>125</c:v>
                </c:pt>
                <c:pt idx="17">
                  <c:v>100</c:v>
                </c:pt>
                <c:pt idx="18">
                  <c:v>75</c:v>
                </c:pt>
                <c:pt idx="19">
                  <c:v>65</c:v>
                </c:pt>
                <c:pt idx="20">
                  <c:v>50</c:v>
                </c:pt>
              </c:numCache>
            </c:numRef>
          </c:val>
          <c:extLst>
            <c:ext xmlns:c16="http://schemas.microsoft.com/office/drawing/2014/chart" uri="{C3380CC4-5D6E-409C-BE32-E72D297353CC}">
              <c16:uniqueId val="{00000005-163C-4C49-A849-479FF6CAD45A}"/>
            </c:ext>
          </c:extLst>
        </c:ser>
        <c:dLbls>
          <c:showLegendKey val="0"/>
          <c:showVal val="0"/>
          <c:showCatName val="0"/>
          <c:showSerName val="0"/>
          <c:showPercent val="0"/>
          <c:showBubbleSize val="0"/>
        </c:dLbls>
        <c:axId val="268828032"/>
        <c:axId val="268826496"/>
      </c:areaChart>
      <c:barChart>
        <c:barDir val="col"/>
        <c:grouping val="stacked"/>
        <c:varyColors val="0"/>
        <c:ser>
          <c:idx val="0"/>
          <c:order val="0"/>
          <c:tx>
            <c:strRef>
              <c:f>'Gold(2MMoz)'!$E$15</c:f>
              <c:strCache>
                <c:ptCount val="1"/>
                <c:pt idx="0">
                  <c:v> Exploration costs </c:v>
                </c:pt>
              </c:strCache>
            </c:strRef>
          </c:tx>
          <c:spPr>
            <a:solidFill>
              <a:schemeClr val="accent1"/>
            </a:solidFill>
            <a:ln>
              <a:noFill/>
            </a:ln>
            <a:effectLst/>
          </c:spPr>
          <c:invertIfNegative val="0"/>
          <c:cat>
            <c:numRef>
              <c:f>'Gold(2MMoz)'!$K$1:$AX$1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'Gold(2MMoz)'!$K$15:$AX$15</c:f>
              <c:numCache>
                <c:formatCode>#,##0_);\(#,##0\);"-  ";" "@" "</c:formatCode>
                <c:ptCount val="40"/>
                <c:pt idx="0">
                  <c:v>10</c:v>
                </c:pt>
                <c:pt idx="1">
                  <c:v>10</c:v>
                </c:pt>
                <c:pt idx="2">
                  <c:v>10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163C-4C49-A849-479FF6CAD45A}"/>
            </c:ext>
          </c:extLst>
        </c:ser>
        <c:ser>
          <c:idx val="1"/>
          <c:order val="1"/>
          <c:tx>
            <c:strRef>
              <c:f>'Gold(2MMoz)'!$E$16</c:f>
              <c:strCache>
                <c:ptCount val="1"/>
                <c:pt idx="0">
                  <c:v> Development costs </c:v>
                </c:pt>
              </c:strCache>
            </c:strRef>
          </c:tx>
          <c:spPr>
            <a:solidFill>
              <a:schemeClr val="accent2"/>
            </a:solidFill>
            <a:ln>
              <a:noFill/>
            </a:ln>
            <a:effectLst/>
          </c:spPr>
          <c:invertIfNegative val="0"/>
          <c:cat>
            <c:numRef>
              <c:f>'Gold(2MMoz)'!$K$1:$AX$1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'Gold(2MMoz)'!$K$16:$AX$16</c:f>
              <c:numCache>
                <c:formatCode>#,##0_);\(#,##0\);"-  ";" "@" "</c:formatCode>
                <c:ptCount val="40"/>
                <c:pt idx="0">
                  <c:v>0</c:v>
                </c:pt>
                <c:pt idx="1">
                  <c:v>0</c:v>
                </c:pt>
                <c:pt idx="2">
                  <c:v>0</c:v>
                </c:pt>
                <c:pt idx="3">
                  <c:v>50</c:v>
                </c:pt>
                <c:pt idx="4">
                  <c:v>250</c:v>
                </c:pt>
                <c:pt idx="5">
                  <c:v>100</c:v>
                </c:pt>
              </c:numCache>
            </c:numRef>
          </c:val>
          <c:extLst>
            <c:ext xmlns:c16="http://schemas.microsoft.com/office/drawing/2014/chart" uri="{C3380CC4-5D6E-409C-BE32-E72D297353CC}">
              <c16:uniqueId val="{00000001-163C-4C49-A849-479FF6CAD45A}"/>
            </c:ext>
          </c:extLst>
        </c:ser>
        <c:ser>
          <c:idx val="3"/>
          <c:order val="2"/>
          <c:tx>
            <c:strRef>
              <c:f>'Gold(2MMoz)'!$E$17</c:f>
              <c:strCache>
                <c:ptCount val="1"/>
                <c:pt idx="0">
                  <c:v> Replacement capital costs </c:v>
                </c:pt>
              </c:strCache>
            </c:strRef>
          </c:tx>
          <c:spPr>
            <a:solidFill>
              <a:schemeClr val="accent4"/>
            </a:solidFill>
            <a:ln>
              <a:noFill/>
            </a:ln>
            <a:effectLst/>
          </c:spPr>
          <c:invertIfNegative val="0"/>
          <c:cat>
            <c:numRef>
              <c:f>'Gold(2MMoz)'!$K$1:$AX$1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'Gold(2MMoz)'!$K$17:$AX$17</c:f>
              <c:numCache>
                <c:formatCode>#,##0_);\(#,##0\);"-  ";" "@" "</c:formatCode>
                <c:ptCount val="40"/>
                <c:pt idx="5">
                  <c:v>8</c:v>
                </c:pt>
                <c:pt idx="6">
                  <c:v>8</c:v>
                </c:pt>
                <c:pt idx="7">
                  <c:v>8</c:v>
                </c:pt>
                <c:pt idx="8">
                  <c:v>8</c:v>
                </c:pt>
                <c:pt idx="9">
                  <c:v>8</c:v>
                </c:pt>
                <c:pt idx="10">
                  <c:v>8</c:v>
                </c:pt>
                <c:pt idx="11">
                  <c:v>8</c:v>
                </c:pt>
                <c:pt idx="12">
                  <c:v>8</c:v>
                </c:pt>
                <c:pt idx="13">
                  <c:v>8</c:v>
                </c:pt>
                <c:pt idx="14">
                  <c:v>8</c:v>
                </c:pt>
                <c:pt idx="15">
                  <c:v>8</c:v>
                </c:pt>
                <c:pt idx="16">
                  <c:v>8</c:v>
                </c:pt>
              </c:numCache>
            </c:numRef>
          </c:val>
          <c:extLst>
            <c:ext xmlns:c16="http://schemas.microsoft.com/office/drawing/2014/chart" uri="{C3380CC4-5D6E-409C-BE32-E72D297353CC}">
              <c16:uniqueId val="{00000002-163C-4C49-A849-479FF6CAD45A}"/>
            </c:ext>
          </c:extLst>
        </c:ser>
        <c:ser>
          <c:idx val="4"/>
          <c:order val="3"/>
          <c:tx>
            <c:strRef>
              <c:f>'Gold(2MMoz)'!$E$18</c:f>
              <c:strCache>
                <c:ptCount val="1"/>
                <c:pt idx="0">
                  <c:v> Operating costs </c:v>
                </c:pt>
              </c:strCache>
            </c:strRef>
          </c:tx>
          <c:spPr>
            <a:solidFill>
              <a:schemeClr val="accent5"/>
            </a:solidFill>
            <a:ln>
              <a:noFill/>
            </a:ln>
            <a:effectLst/>
          </c:spPr>
          <c:invertIfNegative val="0"/>
          <c:cat>
            <c:numRef>
              <c:f>'Gold(2MMoz)'!$K$1:$AX$1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'Gold(2MMoz)'!$K$18:$AX$18</c:f>
              <c:numCache>
                <c:formatCode>#,##0_);\(#,##0\);"-  ";" "@" "</c:formatCode>
                <c:ptCount val="40"/>
                <c:pt idx="0">
                  <c:v>0</c:v>
                </c:pt>
                <c:pt idx="1">
                  <c:v>0</c:v>
                </c:pt>
                <c:pt idx="2">
                  <c:v>0</c:v>
                </c:pt>
                <c:pt idx="3">
                  <c:v>0</c:v>
                </c:pt>
                <c:pt idx="4">
                  <c:v>4.5</c:v>
                </c:pt>
                <c:pt idx="5">
                  <c:v>33.75</c:v>
                </c:pt>
                <c:pt idx="6">
                  <c:v>67.5</c:v>
                </c:pt>
                <c:pt idx="7">
                  <c:v>67.5</c:v>
                </c:pt>
                <c:pt idx="8">
                  <c:v>67.5</c:v>
                </c:pt>
                <c:pt idx="9">
                  <c:v>67.5</c:v>
                </c:pt>
                <c:pt idx="10">
                  <c:v>67.5</c:v>
                </c:pt>
                <c:pt idx="11">
                  <c:v>67.5</c:v>
                </c:pt>
                <c:pt idx="12">
                  <c:v>67.5</c:v>
                </c:pt>
                <c:pt idx="13">
                  <c:v>67.5</c:v>
                </c:pt>
                <c:pt idx="14">
                  <c:v>67.5</c:v>
                </c:pt>
                <c:pt idx="15">
                  <c:v>67.5</c:v>
                </c:pt>
                <c:pt idx="16">
                  <c:v>56.25</c:v>
                </c:pt>
                <c:pt idx="17">
                  <c:v>45</c:v>
                </c:pt>
                <c:pt idx="18">
                  <c:v>33.75</c:v>
                </c:pt>
                <c:pt idx="19">
                  <c:v>29.25</c:v>
                </c:pt>
                <c:pt idx="20">
                  <c:v>22.5</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3-163C-4C49-A849-479FF6CAD45A}"/>
            </c:ext>
          </c:extLst>
        </c:ser>
        <c:ser>
          <c:idx val="5"/>
          <c:order val="4"/>
          <c:tx>
            <c:strRef>
              <c:f>'Gold(2MMoz)'!$E$19</c:f>
              <c:strCache>
                <c:ptCount val="1"/>
                <c:pt idx="0">
                  <c:v> Decommissioning costs </c:v>
                </c:pt>
              </c:strCache>
            </c:strRef>
          </c:tx>
          <c:spPr>
            <a:solidFill>
              <a:schemeClr val="accent6"/>
            </a:solidFill>
            <a:ln>
              <a:noFill/>
            </a:ln>
            <a:effectLst/>
          </c:spPr>
          <c:invertIfNegative val="0"/>
          <c:cat>
            <c:numRef>
              <c:f>'Gold(2MMoz)'!$K$1:$AX$1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'Gold(2MMoz)'!$K$19:$AW$19</c:f>
              <c:numCache>
                <c:formatCode>#,##0_);\(#,##0\);"-  ";" "@" "</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val>
          <c:extLst>
            <c:ext xmlns:c16="http://schemas.microsoft.com/office/drawing/2014/chart" uri="{C3380CC4-5D6E-409C-BE32-E72D297353CC}">
              <c16:uniqueId val="{00000004-163C-4C49-A849-479FF6CAD45A}"/>
            </c:ext>
          </c:extLst>
        </c:ser>
        <c:dLbls>
          <c:showLegendKey val="0"/>
          <c:showVal val="0"/>
          <c:showCatName val="0"/>
          <c:showSerName val="0"/>
          <c:showPercent val="0"/>
          <c:showBubbleSize val="0"/>
        </c:dLbls>
        <c:gapWidth val="50"/>
        <c:overlap val="100"/>
        <c:axId val="268814976"/>
        <c:axId val="268824960"/>
      </c:barChart>
      <c:catAx>
        <c:axId val="26881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24960"/>
        <c:crosses val="autoZero"/>
        <c:auto val="1"/>
        <c:lblAlgn val="ctr"/>
        <c:lblOffset val="100"/>
        <c:noMultiLvlLbl val="0"/>
      </c:catAx>
      <c:valAx>
        <c:axId val="268824960"/>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'Gold(2MMoz)'!$G$49</c:f>
              <c:strCache>
                <c:ptCount val="1"/>
                <c:pt idx="0">
                  <c:v> US$ mn 2021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14976"/>
        <c:crosses val="autoZero"/>
        <c:crossBetween val="between"/>
      </c:valAx>
      <c:valAx>
        <c:axId val="268826496"/>
        <c:scaling>
          <c:orientation val="minMax"/>
        </c:scaling>
        <c:delete val="0"/>
        <c:axPos val="r"/>
        <c:title>
          <c:tx>
            <c:strRef>
              <c:f>'Gold(2MMoz)'!$G$46</c:f>
              <c:strCache>
                <c:ptCount val="1"/>
                <c:pt idx="0">
                  <c:v> Thousand ounce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28032"/>
        <c:crosses val="max"/>
        <c:crossBetween val="between"/>
      </c:valAx>
      <c:catAx>
        <c:axId val="268828032"/>
        <c:scaling>
          <c:orientation val="minMax"/>
        </c:scaling>
        <c:delete val="1"/>
        <c:axPos val="b"/>
        <c:majorTickMark val="out"/>
        <c:minorTickMark val="none"/>
        <c:tickLblPos val="nextTo"/>
        <c:crossAx val="268826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'IronOre(250MMt)'!$E$50</c:f>
              <c:strCache>
                <c:ptCount val="1"/>
                <c:pt idx="0">
                  <c:v> #VALUE! </c:v>
                </c:pt>
              </c:strCache>
            </c:strRef>
          </c:tx>
          <c:spPr>
            <a:ln w="28575" cap="rnd">
              <a:solidFill>
                <a:schemeClr val="accent1"/>
              </a:solidFill>
              <a:round/>
            </a:ln>
            <a:effectLst/>
          </c:spPr>
          <c:marker>
            <c:symbol val="none"/>
          </c:marker>
          <c:cat>
            <c:numRef>
              <c:f>'IronOre(250MMt)'!$K$1:$AX$1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'IronOre(250MMt)'!$K$50:$AX$50</c:f>
              <c:numCache>
                <c:formatCode>#,##0_);\(#,##0\);"-  ";" "@" "</c:formatCode>
                <c:ptCount val="40"/>
                <c:pt idx="0">
                  <c:v>0</c:v>
                </c:pt>
                <c:pt idx="1">
                  <c:v>0</c:v>
                </c:pt>
                <c:pt idx="2">
                  <c:v>0</c:v>
                </c:pt>
                <c:pt idx="3">
                  <c:v>0</c:v>
                </c:pt>
                <c:pt idx="4">
                  <c:v>0</c:v>
                </c:pt>
                <c:pt idx="5">
                  <c:v>0</c:v>
                </c:pt>
                <c:pt idx="6">
                  <c:v>30</c:v>
                </c:pt>
                <c:pt idx="7">
                  <c:v>30</c:v>
                </c:pt>
                <c:pt idx="8">
                  <c:v>30</c:v>
                </c:pt>
                <c:pt idx="9">
                  <c:v>30</c:v>
                </c:pt>
                <c:pt idx="10">
                  <c:v>30</c:v>
                </c:pt>
                <c:pt idx="11">
                  <c:v>30</c:v>
                </c:pt>
                <c:pt idx="12">
                  <c:v>30</c:v>
                </c:pt>
                <c:pt idx="13">
                  <c:v>30</c:v>
                </c:pt>
                <c:pt idx="14">
                  <c:v>30</c:v>
                </c:pt>
                <c:pt idx="15">
                  <c:v>30</c:v>
                </c:pt>
                <c:pt idx="16">
                  <c:v>30</c:v>
                </c:pt>
                <c:pt idx="17">
                  <c:v>30</c:v>
                </c:pt>
                <c:pt idx="18">
                  <c:v>30</c:v>
                </c:pt>
                <c:pt idx="19">
                  <c:v>30</c:v>
                </c:pt>
                <c:pt idx="20">
                  <c:v>30</c:v>
                </c:pt>
                <c:pt idx="21">
                  <c:v>30</c:v>
                </c:pt>
                <c:pt idx="22">
                  <c:v>30</c:v>
                </c:pt>
                <c:pt idx="23">
                  <c:v>30</c:v>
                </c:pt>
                <c:pt idx="24">
                  <c:v>30</c:v>
                </c:pt>
                <c:pt idx="25">
                  <c:v>30</c:v>
                </c:pt>
                <c:pt idx="26">
                  <c:v>30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0-DF5B-46CA-89EF-FD2FFB3BFF53}"/>
            </c:ext>
          </c:extLst>
        </c:ser>
        <c:dLbls>
          <c:showLegendKey val="0"/>
          <c:showVal val="0"/>
          <c:showCatName val="0"/>
          <c:showSerName val="0"/>
          <c:showPercent val="0"/>
          <c:showBubbleSize val="0"/>
        </c:dLbls>
        <c:smooth val="0"/>
        <c:axId val="267223808"/>
        <c:axId val="267225728"/>
      </c:lineChart>
      <c:catAx>
        <c:axId val="267223808"/>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25728"/>
        <c:crosses val="autoZero"/>
        <c:auto val="1"/>
        <c:lblAlgn val="ctr"/>
        <c:lblOffset val="100"/>
        <c:noMultiLvlLbl val="0"/>
      </c:catAx>
      <c:valAx>
        <c:axId val="267225728"/>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'IronOre(250MMt)'!$G$50</c:f>
              <c:strCache>
                <c:ptCount val="1"/>
                <c:pt idx="0">
                  <c:v> US$ 2021 / DMT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23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'IronOre(250MMt)'!$A$1</c:f>
          <c:strCache>
            <c:ptCount val="1"/>
            <c:pt idx="0">
              <c:v> #VALUE!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6"/>
          <c:order val="5"/>
          <c:tx>
            <c:strRef>
              <c:f>'IronOre(250MMt)'!$E$12</c:f>
              <c:strCache>
                <c:ptCount val="1"/>
                <c:pt idx="0">
                  <c:v> Iron Ore Production </c:v>
                </c:pt>
              </c:strCache>
            </c:strRef>
          </c:tx>
          <c:spPr>
            <a:solidFill>
              <a:schemeClr val="accent3">
                <a:lumMod val="60000"/>
                <a:lumOff val="40000"/>
                <a:alpha val="62000"/>
              </a:schemeClr>
            </a:solidFill>
            <a:ln>
              <a:noFill/>
            </a:ln>
            <a:effectLst/>
          </c:spPr>
          <c:val>
            <c:numRef>
              <c:f>'IronOre(250MMt)'!$K$12:$AX$12</c:f>
              <c:numCache>
                <c:formatCode>#,##0_);\(#,##0\);"-  ";" "@" "</c:formatCode>
                <c:ptCount val="40"/>
                <c:pt idx="0">
                  <c:v>0</c:v>
                </c:pt>
                <c:pt idx="1">
                  <c:v>0</c:v>
                </c:pt>
                <c:pt idx="2">
                  <c:v>0</c:v>
                </c:pt>
                <c:pt idx="3">
                  <c:v>0</c:v>
                </c:pt>
                <c:pt idx="4">
                  <c:v>0</c:v>
                </c:pt>
                <c:pt idx="5">
                  <c:v>0</c:v>
                </c:pt>
                <c:pt idx="6">
                  <c:v>5000</c:v>
                </c:pt>
                <c:pt idx="7">
                  <c:v>10000</c:v>
                </c:pt>
                <c:pt idx="8">
                  <c:v>10000</c:v>
                </c:pt>
                <c:pt idx="9">
                  <c:v>12500</c:v>
                </c:pt>
                <c:pt idx="10">
                  <c:v>12500</c:v>
                </c:pt>
                <c:pt idx="11">
                  <c:v>12500</c:v>
                </c:pt>
                <c:pt idx="12">
                  <c:v>12500</c:v>
                </c:pt>
                <c:pt idx="13">
                  <c:v>12500</c:v>
                </c:pt>
                <c:pt idx="14">
                  <c:v>12500</c:v>
                </c:pt>
                <c:pt idx="15">
                  <c:v>12500</c:v>
                </c:pt>
                <c:pt idx="16">
                  <c:v>12500</c:v>
                </c:pt>
                <c:pt idx="17">
                  <c:v>12500</c:v>
                </c:pt>
                <c:pt idx="18">
                  <c:v>12500</c:v>
                </c:pt>
                <c:pt idx="19">
                  <c:v>12500</c:v>
                </c:pt>
                <c:pt idx="20">
                  <c:v>12500</c:v>
                </c:pt>
                <c:pt idx="21">
                  <c:v>12500</c:v>
                </c:pt>
                <c:pt idx="22">
                  <c:v>12500</c:v>
                </c:pt>
                <c:pt idx="23">
                  <c:v>12500</c:v>
                </c:pt>
                <c:pt idx="24">
                  <c:v>12500</c:v>
                </c:pt>
                <c:pt idx="25">
                  <c:v>12500</c:v>
                </c:pt>
                <c:pt idx="26">
                  <c:v>12500</c:v>
                </c:pt>
              </c:numCache>
            </c:numRef>
          </c:val>
          <c:extLst>
            <c:ext xmlns:c16="http://schemas.microsoft.com/office/drawing/2014/chart" uri="{C3380CC4-5D6E-409C-BE32-E72D297353CC}">
              <c16:uniqueId val="{00000000-5B4C-4202-A1EC-43E77AF1E853}"/>
            </c:ext>
          </c:extLst>
        </c:ser>
        <c:dLbls>
          <c:showLegendKey val="0"/>
          <c:showVal val="0"/>
          <c:showCatName val="0"/>
          <c:showSerName val="0"/>
          <c:showPercent val="0"/>
          <c:showBubbleSize val="0"/>
        </c:dLbls>
        <c:axId val="268828032"/>
        <c:axId val="268826496"/>
      </c:areaChart>
      <c:barChart>
        <c:barDir val="col"/>
        <c:grouping val="stacked"/>
        <c:varyColors val="0"/>
        <c:ser>
          <c:idx val="0"/>
          <c:order val="0"/>
          <c:tx>
            <c:strRef>
              <c:f>'IronOre(250MMt)'!$E$15</c:f>
              <c:strCache>
                <c:ptCount val="1"/>
                <c:pt idx="0">
                  <c:v> Exploration costs </c:v>
                </c:pt>
              </c:strCache>
            </c:strRef>
          </c:tx>
          <c:spPr>
            <a:solidFill>
              <a:schemeClr val="accent1"/>
            </a:solidFill>
            <a:ln>
              <a:noFill/>
            </a:ln>
            <a:effectLst/>
          </c:spPr>
          <c:invertIfNegative val="0"/>
          <c:cat>
            <c:numRef>
              <c:f>'IronOre(250MMt)'!$K$1:$AX$1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'IronOre(250MMt)'!$K$15:$AX$15</c:f>
              <c:numCache>
                <c:formatCode>#,##0_);\(#,##0\);"-  ";" "@" "</c:formatCode>
                <c:ptCount val="40"/>
                <c:pt idx="0">
                  <c:v>10</c:v>
                </c:pt>
                <c:pt idx="1">
                  <c:v>10</c:v>
                </c:pt>
                <c:pt idx="2">
                  <c:v>10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1-5B4C-4202-A1EC-43E77AF1E853}"/>
            </c:ext>
          </c:extLst>
        </c:ser>
        <c:ser>
          <c:idx val="1"/>
          <c:order val="1"/>
          <c:tx>
            <c:strRef>
              <c:f>'IronOre(250MMt)'!$E$16</c:f>
              <c:strCache>
                <c:ptCount val="1"/>
                <c:pt idx="0">
                  <c:v> Development costs </c:v>
                </c:pt>
              </c:strCache>
            </c:strRef>
          </c:tx>
          <c:spPr>
            <a:solidFill>
              <a:schemeClr val="accent2"/>
            </a:solidFill>
            <a:ln>
              <a:noFill/>
            </a:ln>
            <a:effectLst/>
          </c:spPr>
          <c:invertIfNegative val="0"/>
          <c:cat>
            <c:numRef>
              <c:f>'IronOre(250MMt)'!$K$1:$AX$1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'IronOre(250MMt)'!$K$16:$AX$16</c:f>
              <c:numCache>
                <c:formatCode>#,##0_);\(#,##0\);"-  ";" "@" "</c:formatCode>
                <c:ptCount val="40"/>
                <c:pt idx="0">
                  <c:v>0</c:v>
                </c:pt>
                <c:pt idx="1">
                  <c:v>0</c:v>
                </c:pt>
                <c:pt idx="2">
                  <c:v>0</c:v>
                </c:pt>
                <c:pt idx="3">
                  <c:v>400</c:v>
                </c:pt>
                <c:pt idx="4">
                  <c:v>500</c:v>
                </c:pt>
                <c:pt idx="5">
                  <c:v>1000</c:v>
                </c:pt>
                <c:pt idx="6">
                  <c:v>500</c:v>
                </c:pt>
                <c:pt idx="7">
                  <c:v>150</c:v>
                </c:pt>
                <c:pt idx="8">
                  <c:v>25</c:v>
                </c:pt>
              </c:numCache>
            </c:numRef>
          </c:val>
          <c:extLst>
            <c:ext xmlns:c16="http://schemas.microsoft.com/office/drawing/2014/chart" uri="{C3380CC4-5D6E-409C-BE32-E72D297353CC}">
              <c16:uniqueId val="{00000002-5B4C-4202-A1EC-43E77AF1E853}"/>
            </c:ext>
          </c:extLst>
        </c:ser>
        <c:ser>
          <c:idx val="3"/>
          <c:order val="2"/>
          <c:tx>
            <c:strRef>
              <c:f>'IronOre(250MMt)'!$E$17</c:f>
              <c:strCache>
                <c:ptCount val="1"/>
                <c:pt idx="0">
                  <c:v> Replacement capital costs </c:v>
                </c:pt>
              </c:strCache>
            </c:strRef>
          </c:tx>
          <c:spPr>
            <a:solidFill>
              <a:schemeClr val="accent4"/>
            </a:solidFill>
            <a:ln>
              <a:noFill/>
            </a:ln>
            <a:effectLst/>
          </c:spPr>
          <c:invertIfNegative val="0"/>
          <c:cat>
            <c:numRef>
              <c:f>'IronOre(250MMt)'!$K$1:$AX$1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'IronOre(250MMt)'!$K$17:$AX$17</c:f>
              <c:numCache>
                <c:formatCode>#,##0_);\(#,##0\);"-  ";" "@" "</c:formatCode>
                <c:ptCount val="40"/>
                <c:pt idx="7">
                  <c:v>25.75</c:v>
                </c:pt>
                <c:pt idx="8">
                  <c:v>25.75</c:v>
                </c:pt>
                <c:pt idx="9">
                  <c:v>25.75</c:v>
                </c:pt>
                <c:pt idx="10">
                  <c:v>25.75</c:v>
                </c:pt>
                <c:pt idx="11">
                  <c:v>25.75</c:v>
                </c:pt>
                <c:pt idx="12">
                  <c:v>25.75</c:v>
                </c:pt>
                <c:pt idx="13">
                  <c:v>25.75</c:v>
                </c:pt>
                <c:pt idx="14">
                  <c:v>25.75</c:v>
                </c:pt>
                <c:pt idx="15">
                  <c:v>25.75</c:v>
                </c:pt>
                <c:pt idx="16">
                  <c:v>25.75</c:v>
                </c:pt>
                <c:pt idx="17">
                  <c:v>25.75</c:v>
                </c:pt>
                <c:pt idx="18">
                  <c:v>25.75</c:v>
                </c:pt>
                <c:pt idx="19">
                  <c:v>25.75</c:v>
                </c:pt>
                <c:pt idx="20">
                  <c:v>25.75</c:v>
                </c:pt>
                <c:pt idx="21">
                  <c:v>25.75</c:v>
                </c:pt>
                <c:pt idx="22">
                  <c:v>25.75</c:v>
                </c:pt>
                <c:pt idx="23">
                  <c:v>25.75</c:v>
                </c:pt>
                <c:pt idx="24">
                  <c:v>25.75</c:v>
                </c:pt>
              </c:numCache>
            </c:numRef>
          </c:val>
          <c:extLst>
            <c:ext xmlns:c16="http://schemas.microsoft.com/office/drawing/2014/chart" uri="{C3380CC4-5D6E-409C-BE32-E72D297353CC}">
              <c16:uniqueId val="{00000003-5B4C-4202-A1EC-43E77AF1E853}"/>
            </c:ext>
          </c:extLst>
        </c:ser>
        <c:ser>
          <c:idx val="4"/>
          <c:order val="3"/>
          <c:tx>
            <c:strRef>
              <c:f>'IronOre(250MMt)'!$E$18</c:f>
              <c:strCache>
                <c:ptCount val="1"/>
                <c:pt idx="0">
                  <c:v> Operating costs </c:v>
                </c:pt>
              </c:strCache>
            </c:strRef>
          </c:tx>
          <c:spPr>
            <a:solidFill>
              <a:schemeClr val="accent5"/>
            </a:solidFill>
            <a:ln>
              <a:noFill/>
            </a:ln>
            <a:effectLst/>
          </c:spPr>
          <c:invertIfNegative val="0"/>
          <c:cat>
            <c:numRef>
              <c:f>'IronOre(250MMt)'!$K$1:$AX$1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'IronOre(250MMt)'!$K$18:$AX$18</c:f>
              <c:numCache>
                <c:formatCode>#,##0_);\(#,##0\);"-  ";" "@" "</c:formatCode>
                <c:ptCount val="40"/>
                <c:pt idx="0">
                  <c:v>0</c:v>
                </c:pt>
                <c:pt idx="1">
                  <c:v>0</c:v>
                </c:pt>
                <c:pt idx="2">
                  <c:v>0</c:v>
                </c:pt>
                <c:pt idx="3">
                  <c:v>0</c:v>
                </c:pt>
                <c:pt idx="4">
                  <c:v>0</c:v>
                </c:pt>
                <c:pt idx="5">
                  <c:v>0</c:v>
                </c:pt>
                <c:pt idx="6">
                  <c:v>150</c:v>
                </c:pt>
                <c:pt idx="7">
                  <c:v>300</c:v>
                </c:pt>
                <c:pt idx="8">
                  <c:v>300</c:v>
                </c:pt>
                <c:pt idx="9">
                  <c:v>375</c:v>
                </c:pt>
                <c:pt idx="10">
                  <c:v>375</c:v>
                </c:pt>
                <c:pt idx="11">
                  <c:v>375</c:v>
                </c:pt>
                <c:pt idx="12">
                  <c:v>375</c:v>
                </c:pt>
                <c:pt idx="13">
                  <c:v>375</c:v>
                </c:pt>
                <c:pt idx="14">
                  <c:v>375</c:v>
                </c:pt>
                <c:pt idx="15">
                  <c:v>375</c:v>
                </c:pt>
                <c:pt idx="16">
                  <c:v>375</c:v>
                </c:pt>
                <c:pt idx="17">
                  <c:v>375</c:v>
                </c:pt>
                <c:pt idx="18">
                  <c:v>375</c:v>
                </c:pt>
                <c:pt idx="19">
                  <c:v>375</c:v>
                </c:pt>
                <c:pt idx="20">
                  <c:v>375</c:v>
                </c:pt>
                <c:pt idx="21">
                  <c:v>375</c:v>
                </c:pt>
                <c:pt idx="22">
                  <c:v>375</c:v>
                </c:pt>
                <c:pt idx="23">
                  <c:v>375</c:v>
                </c:pt>
                <c:pt idx="24">
                  <c:v>375</c:v>
                </c:pt>
                <c:pt idx="25">
                  <c:v>375</c:v>
                </c:pt>
                <c:pt idx="26">
                  <c:v>375</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4-5B4C-4202-A1EC-43E77AF1E853}"/>
            </c:ext>
          </c:extLst>
        </c:ser>
        <c:ser>
          <c:idx val="5"/>
          <c:order val="4"/>
          <c:tx>
            <c:strRef>
              <c:f>'IronOre(250MMt)'!$E$19</c:f>
              <c:strCache>
                <c:ptCount val="1"/>
                <c:pt idx="0">
                  <c:v> Decommissioning costs </c:v>
                </c:pt>
              </c:strCache>
            </c:strRef>
          </c:tx>
          <c:spPr>
            <a:solidFill>
              <a:schemeClr val="accent6"/>
            </a:solidFill>
            <a:ln>
              <a:noFill/>
            </a:ln>
            <a:effectLst/>
          </c:spPr>
          <c:invertIfNegative val="0"/>
          <c:cat>
            <c:numRef>
              <c:f>'IronOre(250MMt)'!$K$1:$AX$1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'IronOre(250MMt)'!$K$19:$AW$19</c:f>
              <c:numCache>
                <c:formatCode>#,##0_);\(#,##0\);"-  ";" "@" "</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257.5</c:v>
                </c:pt>
                <c:pt idx="28">
                  <c:v>0</c:v>
                </c:pt>
                <c:pt idx="29">
                  <c:v>0</c:v>
                </c:pt>
                <c:pt idx="30">
                  <c:v>0</c:v>
                </c:pt>
                <c:pt idx="31">
                  <c:v>0</c:v>
                </c:pt>
                <c:pt idx="32">
                  <c:v>0</c:v>
                </c:pt>
                <c:pt idx="33">
                  <c:v>0</c:v>
                </c:pt>
                <c:pt idx="34">
                  <c:v>0</c:v>
                </c:pt>
                <c:pt idx="35">
                  <c:v>0</c:v>
                </c:pt>
                <c:pt idx="36">
                  <c:v>0</c:v>
                </c:pt>
                <c:pt idx="37">
                  <c:v>0</c:v>
                </c:pt>
                <c:pt idx="38">
                  <c:v>0</c:v>
                </c:pt>
              </c:numCache>
            </c:numRef>
          </c:val>
          <c:extLst>
            <c:ext xmlns:c16="http://schemas.microsoft.com/office/drawing/2014/chart" uri="{C3380CC4-5D6E-409C-BE32-E72D297353CC}">
              <c16:uniqueId val="{00000005-5B4C-4202-A1EC-43E77AF1E853}"/>
            </c:ext>
          </c:extLst>
        </c:ser>
        <c:dLbls>
          <c:showLegendKey val="0"/>
          <c:showVal val="0"/>
          <c:showCatName val="0"/>
          <c:showSerName val="0"/>
          <c:showPercent val="0"/>
          <c:showBubbleSize val="0"/>
        </c:dLbls>
        <c:gapWidth val="50"/>
        <c:overlap val="100"/>
        <c:axId val="268814976"/>
        <c:axId val="268824960"/>
      </c:barChart>
      <c:catAx>
        <c:axId val="26881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24960"/>
        <c:crosses val="autoZero"/>
        <c:auto val="1"/>
        <c:lblAlgn val="ctr"/>
        <c:lblOffset val="100"/>
        <c:noMultiLvlLbl val="0"/>
      </c:catAx>
      <c:valAx>
        <c:axId val="268824960"/>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'IronOre(250MMt)'!$G$49</c:f>
              <c:strCache>
                <c:ptCount val="1"/>
                <c:pt idx="0">
                  <c:v> US$ mn 2021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14976"/>
        <c:crosses val="autoZero"/>
        <c:crossBetween val="between"/>
      </c:valAx>
      <c:valAx>
        <c:axId val="268826496"/>
        <c:scaling>
          <c:orientation val="minMax"/>
        </c:scaling>
        <c:delete val="0"/>
        <c:axPos val="r"/>
        <c:title>
          <c:tx>
            <c:strRef>
              <c:f>'IronOre(250MMt)'!$G$46</c:f>
              <c:strCache>
                <c:ptCount val="1"/>
                <c:pt idx="0">
                  <c:v> Thousand DMT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28032"/>
        <c:crosses val="max"/>
        <c:crossBetween val="between"/>
      </c:valAx>
      <c:catAx>
        <c:axId val="268828032"/>
        <c:scaling>
          <c:orientation val="minMax"/>
        </c:scaling>
        <c:delete val="1"/>
        <c:axPos val="b"/>
        <c:majorTickMark val="out"/>
        <c:minorTickMark val="none"/>
        <c:tickLblPos val="nextTo"/>
        <c:crossAx val="268826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'Coal(250MMt)'!$E$50</c:f>
              <c:strCache>
                <c:ptCount val="1"/>
                <c:pt idx="0">
                  <c:v> #VALUE! </c:v>
                </c:pt>
              </c:strCache>
            </c:strRef>
          </c:tx>
          <c:spPr>
            <a:ln w="28575" cap="rnd">
              <a:solidFill>
                <a:schemeClr val="accent1"/>
              </a:solidFill>
              <a:round/>
            </a:ln>
            <a:effectLst/>
          </c:spPr>
          <c:marker>
            <c:symbol val="none"/>
          </c:marker>
          <c:cat>
            <c:numRef>
              <c:f>'Coal(250MMt)'!$K$1:$AX$1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'Coal(250MMt)'!$K$50:$AX$50</c:f>
              <c:numCache>
                <c:formatCode>#,##0_);\(#,##0\);"-  ";" "@" "</c:formatCode>
                <c:ptCount val="40"/>
                <c:pt idx="0">
                  <c:v>0</c:v>
                </c:pt>
                <c:pt idx="1">
                  <c:v>0</c:v>
                </c:pt>
                <c:pt idx="2">
                  <c:v>0</c:v>
                </c:pt>
                <c:pt idx="3">
                  <c:v>34.369999999999997</c:v>
                </c:pt>
                <c:pt idx="4">
                  <c:v>34.369999999999997</c:v>
                </c:pt>
                <c:pt idx="5">
                  <c:v>34.369999999999997</c:v>
                </c:pt>
                <c:pt idx="6">
                  <c:v>34.369999999999997</c:v>
                </c:pt>
                <c:pt idx="7">
                  <c:v>34.369999999999997</c:v>
                </c:pt>
                <c:pt idx="8">
                  <c:v>34.370000000000005</c:v>
                </c:pt>
                <c:pt idx="9">
                  <c:v>34.369999999999997</c:v>
                </c:pt>
                <c:pt idx="10">
                  <c:v>34.369999999999997</c:v>
                </c:pt>
                <c:pt idx="11">
                  <c:v>34.369999999999997</c:v>
                </c:pt>
                <c:pt idx="12">
                  <c:v>34.369999999999997</c:v>
                </c:pt>
                <c:pt idx="13">
                  <c:v>34.369999999999997</c:v>
                </c:pt>
                <c:pt idx="14">
                  <c:v>34.369999999999997</c:v>
                </c:pt>
                <c:pt idx="15">
                  <c:v>34.369999999999997</c:v>
                </c:pt>
                <c:pt idx="16">
                  <c:v>34.369999999999997</c:v>
                </c:pt>
                <c:pt idx="17">
                  <c:v>34.369999999999997</c:v>
                </c:pt>
                <c:pt idx="18">
                  <c:v>34.369999999999997</c:v>
                </c:pt>
                <c:pt idx="19">
                  <c:v>34.369999999999997</c:v>
                </c:pt>
                <c:pt idx="20">
                  <c:v>34.369999999999997</c:v>
                </c:pt>
                <c:pt idx="21">
                  <c:v>34.369999999999997</c:v>
                </c:pt>
                <c:pt idx="22">
                  <c:v>34.369999999999997</c:v>
                </c:pt>
                <c:pt idx="23">
                  <c:v>34.369999999999997</c:v>
                </c:pt>
                <c:pt idx="24">
                  <c:v>34.369999999999997</c:v>
                </c:pt>
                <c:pt idx="25">
                  <c:v>34.369999999999997</c:v>
                </c:pt>
                <c:pt idx="26">
                  <c:v>34.369999999999997</c:v>
                </c:pt>
                <c:pt idx="27">
                  <c:v>34.369999999999997</c:v>
                </c:pt>
                <c:pt idx="28">
                  <c:v>34.369999999999997</c:v>
                </c:pt>
                <c:pt idx="29">
                  <c:v>34.369999999999997</c:v>
                </c:pt>
                <c:pt idx="30">
                  <c:v>34.369999999999997</c:v>
                </c:pt>
                <c:pt idx="31">
                  <c:v>0</c:v>
                </c:pt>
                <c:pt idx="32">
                  <c:v>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0-157E-4358-BE81-05B553D000C9}"/>
            </c:ext>
          </c:extLst>
        </c:ser>
        <c:dLbls>
          <c:showLegendKey val="0"/>
          <c:showVal val="0"/>
          <c:showCatName val="0"/>
          <c:showSerName val="0"/>
          <c:showPercent val="0"/>
          <c:showBubbleSize val="0"/>
        </c:dLbls>
        <c:smooth val="0"/>
        <c:axId val="267223808"/>
        <c:axId val="267225728"/>
      </c:lineChart>
      <c:catAx>
        <c:axId val="267223808"/>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25728"/>
        <c:crosses val="autoZero"/>
        <c:auto val="1"/>
        <c:lblAlgn val="ctr"/>
        <c:lblOffset val="100"/>
        <c:noMultiLvlLbl val="0"/>
      </c:catAx>
      <c:valAx>
        <c:axId val="267225728"/>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'Coal(250MMt)'!$G$50</c:f>
              <c:strCache>
                <c:ptCount val="1"/>
                <c:pt idx="0">
                  <c:v> US$ 2021 / MT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23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'Coal(250MMt)'!$A$1</c:f>
          <c:strCache>
            <c:ptCount val="1"/>
            <c:pt idx="0">
              <c:v> #VALUE!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6"/>
          <c:order val="5"/>
          <c:tx>
            <c:strRef>
              <c:f>'Coal(250MMt)'!$E$12</c:f>
              <c:strCache>
                <c:ptCount val="1"/>
                <c:pt idx="0">
                  <c:v> Coal Production </c:v>
                </c:pt>
              </c:strCache>
            </c:strRef>
          </c:tx>
          <c:spPr>
            <a:solidFill>
              <a:schemeClr val="accent3">
                <a:lumMod val="60000"/>
                <a:lumOff val="40000"/>
                <a:alpha val="62000"/>
              </a:schemeClr>
            </a:solidFill>
            <a:ln>
              <a:noFill/>
            </a:ln>
            <a:effectLst/>
          </c:spPr>
          <c:val>
            <c:numRef>
              <c:f>'Coal(250MMt)'!$K$12:$AX$12</c:f>
              <c:numCache>
                <c:formatCode>#,##0_);\(#,##0\);"-  ";" "@" "</c:formatCode>
                <c:ptCount val="40"/>
                <c:pt idx="3">
                  <c:v>3816</c:v>
                </c:pt>
                <c:pt idx="4">
                  <c:v>6587</c:v>
                </c:pt>
                <c:pt idx="5">
                  <c:v>6593</c:v>
                </c:pt>
                <c:pt idx="6">
                  <c:v>6594</c:v>
                </c:pt>
                <c:pt idx="7">
                  <c:v>6578</c:v>
                </c:pt>
                <c:pt idx="8">
                  <c:v>10565</c:v>
                </c:pt>
                <c:pt idx="9">
                  <c:v>12385</c:v>
                </c:pt>
                <c:pt idx="10">
                  <c:v>12374</c:v>
                </c:pt>
                <c:pt idx="11">
                  <c:v>12374</c:v>
                </c:pt>
                <c:pt idx="12">
                  <c:v>12374</c:v>
                </c:pt>
                <c:pt idx="13">
                  <c:v>12374</c:v>
                </c:pt>
                <c:pt idx="14">
                  <c:v>12374</c:v>
                </c:pt>
                <c:pt idx="15">
                  <c:v>12374</c:v>
                </c:pt>
                <c:pt idx="16">
                  <c:v>12374</c:v>
                </c:pt>
                <c:pt idx="17">
                  <c:v>12374</c:v>
                </c:pt>
                <c:pt idx="18">
                  <c:v>12374</c:v>
                </c:pt>
                <c:pt idx="19">
                  <c:v>12374</c:v>
                </c:pt>
                <c:pt idx="20">
                  <c:v>7199</c:v>
                </c:pt>
                <c:pt idx="21">
                  <c:v>7199</c:v>
                </c:pt>
                <c:pt idx="22">
                  <c:v>7199</c:v>
                </c:pt>
                <c:pt idx="23">
                  <c:v>7199</c:v>
                </c:pt>
                <c:pt idx="24">
                  <c:v>7199</c:v>
                </c:pt>
                <c:pt idx="25">
                  <c:v>7199</c:v>
                </c:pt>
                <c:pt idx="26">
                  <c:v>7199</c:v>
                </c:pt>
                <c:pt idx="27">
                  <c:v>7199</c:v>
                </c:pt>
                <c:pt idx="28">
                  <c:v>7199</c:v>
                </c:pt>
                <c:pt idx="29">
                  <c:v>5351.0000000000491</c:v>
                </c:pt>
                <c:pt idx="30">
                  <c:v>3000</c:v>
                </c:pt>
              </c:numCache>
            </c:numRef>
          </c:val>
          <c:extLst>
            <c:ext xmlns:c16="http://schemas.microsoft.com/office/drawing/2014/chart" uri="{C3380CC4-5D6E-409C-BE32-E72D297353CC}">
              <c16:uniqueId val="{00000000-97A7-45C4-BED1-319161D5FE80}"/>
            </c:ext>
          </c:extLst>
        </c:ser>
        <c:dLbls>
          <c:showLegendKey val="0"/>
          <c:showVal val="0"/>
          <c:showCatName val="0"/>
          <c:showSerName val="0"/>
          <c:showPercent val="0"/>
          <c:showBubbleSize val="0"/>
        </c:dLbls>
        <c:axId val="268828032"/>
        <c:axId val="268826496"/>
      </c:areaChart>
      <c:barChart>
        <c:barDir val="col"/>
        <c:grouping val="stacked"/>
        <c:varyColors val="0"/>
        <c:ser>
          <c:idx val="0"/>
          <c:order val="0"/>
          <c:tx>
            <c:strRef>
              <c:f>'Coal(250MMt)'!$E$15</c:f>
              <c:strCache>
                <c:ptCount val="1"/>
                <c:pt idx="0">
                  <c:v> Exploration costs </c:v>
                </c:pt>
              </c:strCache>
            </c:strRef>
          </c:tx>
          <c:spPr>
            <a:solidFill>
              <a:schemeClr val="accent1"/>
            </a:solidFill>
            <a:ln>
              <a:noFill/>
            </a:ln>
            <a:effectLst/>
          </c:spPr>
          <c:invertIfNegative val="0"/>
          <c:cat>
            <c:numRef>
              <c:f>'Coal(250MMt)'!$K$1:$AX$1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'Coal(250MMt)'!$K$15:$AX$15</c:f>
              <c:numCache>
                <c:formatCode>#,##0_);\(#,##0\);"-  ";" "@" "</c:formatCode>
                <c:ptCount val="40"/>
                <c:pt idx="0">
                  <c:v>100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1-97A7-45C4-BED1-319161D5FE80}"/>
            </c:ext>
          </c:extLst>
        </c:ser>
        <c:ser>
          <c:idx val="1"/>
          <c:order val="1"/>
          <c:tx>
            <c:strRef>
              <c:f>'Coal(250MMt)'!$E$16</c:f>
              <c:strCache>
                <c:ptCount val="1"/>
                <c:pt idx="0">
                  <c:v> Development costs </c:v>
                </c:pt>
              </c:strCache>
            </c:strRef>
          </c:tx>
          <c:spPr>
            <a:solidFill>
              <a:schemeClr val="accent2"/>
            </a:solidFill>
            <a:ln>
              <a:noFill/>
            </a:ln>
            <a:effectLst/>
          </c:spPr>
          <c:invertIfNegative val="0"/>
          <c:cat>
            <c:numRef>
              <c:f>'Coal(250MMt)'!$K$1:$AX$1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'Coal(250MMt)'!$K$16:$AX$16</c:f>
              <c:numCache>
                <c:formatCode>#,##0_);\(#,##0\);"-  ";" "@" "</c:formatCode>
                <c:ptCount val="40"/>
                <c:pt idx="0">
                  <c:v>0</c:v>
                </c:pt>
                <c:pt idx="1">
                  <c:v>32</c:v>
                </c:pt>
                <c:pt idx="2">
                  <c:v>276</c:v>
                </c:pt>
                <c:pt idx="3">
                  <c:v>198</c:v>
                </c:pt>
                <c:pt idx="4">
                  <c:v>9</c:v>
                </c:pt>
                <c:pt idx="6">
                  <c:v>115</c:v>
                </c:pt>
                <c:pt idx="7">
                  <c:v>182</c:v>
                </c:pt>
              </c:numCache>
            </c:numRef>
          </c:val>
          <c:extLst>
            <c:ext xmlns:c16="http://schemas.microsoft.com/office/drawing/2014/chart" uri="{C3380CC4-5D6E-409C-BE32-E72D297353CC}">
              <c16:uniqueId val="{00000002-97A7-45C4-BED1-319161D5FE80}"/>
            </c:ext>
          </c:extLst>
        </c:ser>
        <c:ser>
          <c:idx val="3"/>
          <c:order val="2"/>
          <c:tx>
            <c:strRef>
              <c:f>'Coal(250MMt)'!$E$17</c:f>
              <c:strCache>
                <c:ptCount val="1"/>
                <c:pt idx="0">
                  <c:v> Replacement capital costs </c:v>
                </c:pt>
              </c:strCache>
            </c:strRef>
          </c:tx>
          <c:spPr>
            <a:solidFill>
              <a:schemeClr val="accent4"/>
            </a:solidFill>
            <a:ln>
              <a:noFill/>
            </a:ln>
            <a:effectLst/>
          </c:spPr>
          <c:invertIfNegative val="0"/>
          <c:cat>
            <c:numRef>
              <c:f>'Coal(250MMt)'!$K$1:$AX$1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'Coal(250MMt)'!$K$17:$AX$17</c:f>
              <c:numCache>
                <c:formatCode>#,##0_);\(#,##0\);"-  ";" "@" "</c:formatCode>
                <c:ptCount val="40"/>
                <c:pt idx="4">
                  <c:v>8.120000000000001</c:v>
                </c:pt>
                <c:pt idx="5">
                  <c:v>8.120000000000001</c:v>
                </c:pt>
                <c:pt idx="6">
                  <c:v>8.120000000000001</c:v>
                </c:pt>
                <c:pt idx="7">
                  <c:v>8.120000000000001</c:v>
                </c:pt>
                <c:pt idx="8">
                  <c:v>8.120000000000001</c:v>
                </c:pt>
                <c:pt idx="9">
                  <c:v>8.120000000000001</c:v>
                </c:pt>
                <c:pt idx="10">
                  <c:v>8.120000000000001</c:v>
                </c:pt>
                <c:pt idx="11">
                  <c:v>8.120000000000001</c:v>
                </c:pt>
                <c:pt idx="12">
                  <c:v>8.120000000000001</c:v>
                </c:pt>
                <c:pt idx="13">
                  <c:v>8.120000000000001</c:v>
                </c:pt>
                <c:pt idx="14">
                  <c:v>8.120000000000001</c:v>
                </c:pt>
                <c:pt idx="15">
                  <c:v>8.120000000000001</c:v>
                </c:pt>
                <c:pt idx="16">
                  <c:v>8.120000000000001</c:v>
                </c:pt>
              </c:numCache>
            </c:numRef>
          </c:val>
          <c:extLst>
            <c:ext xmlns:c16="http://schemas.microsoft.com/office/drawing/2014/chart" uri="{C3380CC4-5D6E-409C-BE32-E72D297353CC}">
              <c16:uniqueId val="{00000003-97A7-45C4-BED1-319161D5FE80}"/>
            </c:ext>
          </c:extLst>
        </c:ser>
        <c:ser>
          <c:idx val="4"/>
          <c:order val="3"/>
          <c:tx>
            <c:strRef>
              <c:f>'Coal(250MMt)'!$E$18</c:f>
              <c:strCache>
                <c:ptCount val="1"/>
                <c:pt idx="0">
                  <c:v> Operating costs </c:v>
                </c:pt>
              </c:strCache>
            </c:strRef>
          </c:tx>
          <c:spPr>
            <a:solidFill>
              <a:schemeClr val="accent5"/>
            </a:solidFill>
            <a:ln>
              <a:noFill/>
            </a:ln>
            <a:effectLst/>
          </c:spPr>
          <c:invertIfNegative val="0"/>
          <c:cat>
            <c:numRef>
              <c:f>'Coal(250MMt)'!$K$1:$AX$1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'Coal(250MMt)'!$K$18:$AX$18</c:f>
              <c:numCache>
                <c:formatCode>#,##0_);\(#,##0\);"-  ";" "@" "</c:formatCode>
                <c:ptCount val="40"/>
                <c:pt idx="0">
                  <c:v>0</c:v>
                </c:pt>
                <c:pt idx="1">
                  <c:v>0</c:v>
                </c:pt>
                <c:pt idx="2">
                  <c:v>0</c:v>
                </c:pt>
                <c:pt idx="3">
                  <c:v>131.15591999999998</c:v>
                </c:pt>
                <c:pt idx="4">
                  <c:v>226.39518999999999</c:v>
                </c:pt>
                <c:pt idx="5">
                  <c:v>226.60140999999999</c:v>
                </c:pt>
                <c:pt idx="6">
                  <c:v>226.63577999999998</c:v>
                </c:pt>
                <c:pt idx="7">
                  <c:v>226.08586</c:v>
                </c:pt>
                <c:pt idx="8">
                  <c:v>363.11905000000002</c:v>
                </c:pt>
                <c:pt idx="9">
                  <c:v>425.67244999999997</c:v>
                </c:pt>
                <c:pt idx="10">
                  <c:v>425.29437999999993</c:v>
                </c:pt>
                <c:pt idx="11">
                  <c:v>425.29437999999993</c:v>
                </c:pt>
                <c:pt idx="12">
                  <c:v>425.29437999999993</c:v>
                </c:pt>
                <c:pt idx="13">
                  <c:v>425.29437999999993</c:v>
                </c:pt>
                <c:pt idx="14">
                  <c:v>425.29437999999993</c:v>
                </c:pt>
                <c:pt idx="15">
                  <c:v>425.29437999999993</c:v>
                </c:pt>
                <c:pt idx="16">
                  <c:v>425.29437999999993</c:v>
                </c:pt>
                <c:pt idx="17">
                  <c:v>425.29437999999993</c:v>
                </c:pt>
                <c:pt idx="18">
                  <c:v>425.29437999999993</c:v>
                </c:pt>
                <c:pt idx="19">
                  <c:v>425.29437999999993</c:v>
                </c:pt>
                <c:pt idx="20">
                  <c:v>247.42962999999997</c:v>
                </c:pt>
                <c:pt idx="21">
                  <c:v>247.42962999999997</c:v>
                </c:pt>
                <c:pt idx="22">
                  <c:v>247.42962999999997</c:v>
                </c:pt>
                <c:pt idx="23">
                  <c:v>247.42962999999997</c:v>
                </c:pt>
                <c:pt idx="24">
                  <c:v>247.42962999999997</c:v>
                </c:pt>
                <c:pt idx="25">
                  <c:v>247.42962999999997</c:v>
                </c:pt>
                <c:pt idx="26">
                  <c:v>247.42962999999997</c:v>
                </c:pt>
                <c:pt idx="27">
                  <c:v>247.42962999999997</c:v>
                </c:pt>
                <c:pt idx="28">
                  <c:v>247.42962999999997</c:v>
                </c:pt>
                <c:pt idx="29">
                  <c:v>183.91387000000168</c:v>
                </c:pt>
                <c:pt idx="30">
                  <c:v>103.10999999999999</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4-97A7-45C4-BED1-319161D5FE80}"/>
            </c:ext>
          </c:extLst>
        </c:ser>
        <c:ser>
          <c:idx val="5"/>
          <c:order val="4"/>
          <c:tx>
            <c:strRef>
              <c:f>'Coal(250MMt)'!$E$19</c:f>
              <c:strCache>
                <c:ptCount val="1"/>
                <c:pt idx="0">
                  <c:v> Decommissioning costs </c:v>
                </c:pt>
              </c:strCache>
            </c:strRef>
          </c:tx>
          <c:spPr>
            <a:solidFill>
              <a:schemeClr val="accent6"/>
            </a:solidFill>
            <a:ln>
              <a:noFill/>
            </a:ln>
            <a:effectLst/>
          </c:spPr>
          <c:invertIfNegative val="0"/>
          <c:cat>
            <c:numRef>
              <c:f>'Coal(250MMt)'!$K$1:$AX$1</c:f>
              <c:numCache>
                <c:formatCode>General</c:formatCode>
                <c:ptCount val="4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numCache>
            </c:numRef>
          </c:cat>
          <c:val>
            <c:numRef>
              <c:f>'Coal(250MMt)'!$K$19:$AW$19</c:f>
              <c:numCache>
                <c:formatCode>#,##0_);\(#,##0\);"-  ";" "@" "</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24.36</c:v>
                </c:pt>
                <c:pt idx="32">
                  <c:v>0</c:v>
                </c:pt>
                <c:pt idx="33">
                  <c:v>0</c:v>
                </c:pt>
                <c:pt idx="34">
                  <c:v>0</c:v>
                </c:pt>
                <c:pt idx="35">
                  <c:v>0</c:v>
                </c:pt>
                <c:pt idx="36">
                  <c:v>0</c:v>
                </c:pt>
                <c:pt idx="37">
                  <c:v>0</c:v>
                </c:pt>
                <c:pt idx="38">
                  <c:v>0</c:v>
                </c:pt>
              </c:numCache>
            </c:numRef>
          </c:val>
          <c:extLst>
            <c:ext xmlns:c16="http://schemas.microsoft.com/office/drawing/2014/chart" uri="{C3380CC4-5D6E-409C-BE32-E72D297353CC}">
              <c16:uniqueId val="{00000005-97A7-45C4-BED1-319161D5FE80}"/>
            </c:ext>
          </c:extLst>
        </c:ser>
        <c:dLbls>
          <c:showLegendKey val="0"/>
          <c:showVal val="0"/>
          <c:showCatName val="0"/>
          <c:showSerName val="0"/>
          <c:showPercent val="0"/>
          <c:showBubbleSize val="0"/>
        </c:dLbls>
        <c:gapWidth val="50"/>
        <c:overlap val="100"/>
        <c:axId val="268814976"/>
        <c:axId val="268824960"/>
      </c:barChart>
      <c:catAx>
        <c:axId val="26881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24960"/>
        <c:crosses val="autoZero"/>
        <c:auto val="1"/>
        <c:lblAlgn val="ctr"/>
        <c:lblOffset val="100"/>
        <c:noMultiLvlLbl val="0"/>
      </c:catAx>
      <c:valAx>
        <c:axId val="268824960"/>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strRef>
              <c:f>'Coal(250MMt)'!$G$49</c:f>
              <c:strCache>
                <c:ptCount val="1"/>
                <c:pt idx="0">
                  <c:v> US$ mn 2021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14976"/>
        <c:crosses val="autoZero"/>
        <c:crossBetween val="between"/>
      </c:valAx>
      <c:valAx>
        <c:axId val="268826496"/>
        <c:scaling>
          <c:orientation val="minMax"/>
        </c:scaling>
        <c:delete val="0"/>
        <c:axPos val="r"/>
        <c:title>
          <c:tx>
            <c:strRef>
              <c:f>'Coal(250MMt)'!$G$46</c:f>
              <c:strCache>
                <c:ptCount val="1"/>
                <c:pt idx="0">
                  <c:v> Thousand MT </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28032"/>
        <c:crosses val="max"/>
        <c:crossBetween val="between"/>
      </c:valAx>
      <c:catAx>
        <c:axId val="268828032"/>
        <c:scaling>
          <c:orientation val="minMax"/>
        </c:scaling>
        <c:delete val="1"/>
        <c:axPos val="b"/>
        <c:majorTickMark val="out"/>
        <c:minorTickMark val="none"/>
        <c:tickLblPos val="nextTo"/>
        <c:crossAx val="268826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2333625</xdr:colOff>
          <xdr:row>20</xdr:row>
          <xdr:rowOff>28575</xdr:rowOff>
        </xdr:from>
        <xdr:to>
          <xdr:col>4</xdr:col>
          <xdr:colOff>180975</xdr:colOff>
          <xdr:row>23</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339966"/>
                  </a:solidFill>
                  <a:latin typeface="Calibri"/>
                  <a:cs typeface="Calibri"/>
                </a:rPr>
                <a:t>Accept terms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20</xdr:row>
          <xdr:rowOff>47625</xdr:rowOff>
        </xdr:from>
        <xdr:to>
          <xdr:col>7</xdr:col>
          <xdr:colOff>190500</xdr:colOff>
          <xdr:row>23</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FF0000"/>
                  </a:solidFill>
                  <a:latin typeface="Calibri"/>
                  <a:cs typeface="Calibri"/>
                </a:rPr>
                <a:t>Don't accept terms</a:t>
              </a:r>
            </a:p>
          </xdr:txBody>
        </xdr:sp>
        <xdr:clientData fPrintsWithSheet="0"/>
      </xdr:twoCellAnchor>
    </mc:Choice>
    <mc:Fallback/>
  </mc:AlternateContent>
  <xdr:twoCellAnchor editAs="oneCell">
    <xdr:from>
      <xdr:col>4</xdr:col>
      <xdr:colOff>121878</xdr:colOff>
      <xdr:row>2</xdr:row>
      <xdr:rowOff>131742</xdr:rowOff>
    </xdr:from>
    <xdr:to>
      <xdr:col>5</xdr:col>
      <xdr:colOff>409357</xdr:colOff>
      <xdr:row>7</xdr:row>
      <xdr:rowOff>90349</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88760" y="512742"/>
          <a:ext cx="892597" cy="91110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161925</xdr:colOff>
          <xdr:row>3</xdr:row>
          <xdr:rowOff>66675</xdr:rowOff>
        </xdr:from>
        <xdr:to>
          <xdr:col>4</xdr:col>
          <xdr:colOff>814090</xdr:colOff>
          <xdr:row>5</xdr:row>
          <xdr:rowOff>145676</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a:extLst>
                <a:ext uri="{84589F7E-364E-4C9E-8A38-B11213B215E9}">
                  <a14:cameraTool cellRange="Dashboard!$A$1:$R$47" spid="_x0000_s33024"/>
                </a:ext>
              </a:extLst>
            </xdr:cNvPicPr>
          </xdr:nvPicPr>
          <xdr:blipFill>
            <a:blip xmlns:r="http://schemas.openxmlformats.org/officeDocument/2006/relationships" r:embed="rId1"/>
            <a:srcRect/>
            <a:stretch>
              <a:fillRect/>
            </a:stretch>
          </xdr:blipFill>
          <xdr:spPr bwMode="auto">
            <a:xfrm>
              <a:off x="1450601" y="638175"/>
              <a:ext cx="831459" cy="46000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973931</xdr:colOff>
      <xdr:row>1</xdr:row>
      <xdr:rowOff>0</xdr:rowOff>
    </xdr:from>
    <xdr:to>
      <xdr:col>7</xdr:col>
      <xdr:colOff>2081214</xdr:colOff>
      <xdr:row>6</xdr:row>
      <xdr:rowOff>95251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04519" y="190500"/>
          <a:ext cx="1107283" cy="11037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55783</xdr:colOff>
      <xdr:row>16</xdr:row>
      <xdr:rowOff>136070</xdr:rowOff>
    </xdr:from>
    <xdr:to>
      <xdr:col>12</xdr:col>
      <xdr:colOff>54995</xdr:colOff>
      <xdr:row>48</xdr:row>
      <xdr:rowOff>102809</xdr:rowOff>
    </xdr:to>
    <xdr:graphicFrame macro="">
      <xdr:nvGraphicFramePr>
        <xdr:cNvPr id="19" name="Chart 18">
          <a:extLst>
            <a:ext uri="{FF2B5EF4-FFF2-40B4-BE49-F238E27FC236}">
              <a16:creationId xmlns:a16="http://schemas.microsoft.com/office/drawing/2014/main" id="{00000000-0008-0000-05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78441</xdr:colOff>
      <xdr:row>95</xdr:row>
      <xdr:rowOff>42941</xdr:rowOff>
    </xdr:from>
    <xdr:to>
      <xdr:col>16</xdr:col>
      <xdr:colOff>71435</xdr:colOff>
      <xdr:row>120</xdr:row>
      <xdr:rowOff>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83343</xdr:colOff>
      <xdr:row>65</xdr:row>
      <xdr:rowOff>33619</xdr:rowOff>
    </xdr:from>
    <xdr:to>
      <xdr:col>11</xdr:col>
      <xdr:colOff>302985</xdr:colOff>
      <xdr:row>93</xdr:row>
      <xdr:rowOff>107157</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302559</xdr:colOff>
      <xdr:row>65</xdr:row>
      <xdr:rowOff>44825</xdr:rowOff>
    </xdr:from>
    <xdr:to>
      <xdr:col>16</xdr:col>
      <xdr:colOff>134470</xdr:colOff>
      <xdr:row>93</xdr:row>
      <xdr:rowOff>107157</xdr:rowOff>
    </xdr:to>
    <xdr:graphicFrame macro="">
      <xdr:nvGraphicFramePr>
        <xdr:cNvPr id="9" name="Chart 8">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44823</xdr:colOff>
      <xdr:row>121</xdr:row>
      <xdr:rowOff>38519</xdr:rowOff>
    </xdr:from>
    <xdr:to>
      <xdr:col>16</xdr:col>
      <xdr:colOff>71436</xdr:colOff>
      <xdr:row>151</xdr:row>
      <xdr:rowOff>59531</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1</xdr:col>
          <xdr:colOff>85725</xdr:colOff>
          <xdr:row>153</xdr:row>
          <xdr:rowOff>104775</xdr:rowOff>
        </xdr:from>
        <xdr:to>
          <xdr:col>1</xdr:col>
          <xdr:colOff>714375</xdr:colOff>
          <xdr:row>155</xdr:row>
          <xdr:rowOff>47625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500-000010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FF0000"/>
                  </a:solidFill>
                  <a:latin typeface="Arial"/>
                  <a:cs typeface="Arial"/>
                </a:rPr>
                <a:t>Breakeven</a:t>
              </a:r>
            </a:p>
          </xdr:txBody>
        </xdr:sp>
        <xdr:clientData fPrintsWithSheet="0"/>
      </xdr:twoCellAnchor>
    </mc:Choice>
    <mc:Fallback/>
  </mc:AlternateContent>
  <xdr:twoCellAnchor>
    <xdr:from>
      <xdr:col>5</xdr:col>
      <xdr:colOff>414617</xdr:colOff>
      <xdr:row>153</xdr:row>
      <xdr:rowOff>175793</xdr:rowOff>
    </xdr:from>
    <xdr:to>
      <xdr:col>16</xdr:col>
      <xdr:colOff>78441</xdr:colOff>
      <xdr:row>174</xdr:row>
      <xdr:rowOff>83343</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67235</xdr:colOff>
      <xdr:row>177</xdr:row>
      <xdr:rowOff>65837</xdr:rowOff>
    </xdr:from>
    <xdr:to>
      <xdr:col>15</xdr:col>
      <xdr:colOff>892968</xdr:colOff>
      <xdr:row>198</xdr:row>
      <xdr:rowOff>144278</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1</xdr:colOff>
      <xdr:row>32</xdr:row>
      <xdr:rowOff>78441</xdr:rowOff>
    </xdr:from>
    <xdr:to>
      <xdr:col>15</xdr:col>
      <xdr:colOff>526678</xdr:colOff>
      <xdr:row>48</xdr:row>
      <xdr:rowOff>145676</xdr:rowOff>
    </xdr:to>
    <xdr:graphicFrame macro="">
      <xdr:nvGraphicFramePr>
        <xdr:cNvPr id="13" name="Chart 12">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66302</xdr:colOff>
      <xdr:row>32</xdr:row>
      <xdr:rowOff>0</xdr:rowOff>
    </xdr:from>
    <xdr:to>
      <xdr:col>3</xdr:col>
      <xdr:colOff>951566</xdr:colOff>
      <xdr:row>49</xdr:row>
      <xdr:rowOff>3968</xdr:rowOff>
    </xdr:to>
    <xdr:graphicFrame macro="">
      <xdr:nvGraphicFramePr>
        <xdr:cNvPr id="15" name="Chart 14">
          <a:extLst>
            <a:ext uri="{FF2B5EF4-FFF2-40B4-BE49-F238E27FC236}">
              <a16:creationId xmlns:a16="http://schemas.microsoft.com/office/drawing/2014/main" id="{00000000-0008-0000-05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560295</xdr:colOff>
      <xdr:row>18</xdr:row>
      <xdr:rowOff>0</xdr:rowOff>
    </xdr:from>
    <xdr:to>
      <xdr:col>12</xdr:col>
      <xdr:colOff>22413</xdr:colOff>
      <xdr:row>26</xdr:row>
      <xdr:rowOff>78441</xdr:rowOff>
    </xdr:to>
    <xdr:graphicFrame macro="">
      <xdr:nvGraphicFramePr>
        <xdr:cNvPr id="16" name="Chart 15">
          <a:extLst>
            <a:ext uri="{FF2B5EF4-FFF2-40B4-BE49-F238E27FC236}">
              <a16:creationId xmlns:a16="http://schemas.microsoft.com/office/drawing/2014/main" id="{00000000-0008-0000-05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0.81214</cdr:x>
      <cdr:y>0.0099</cdr:y>
    </cdr:from>
    <cdr:to>
      <cdr:x>0.99724</cdr:x>
      <cdr:y>0.0835</cdr:y>
    </cdr:to>
    <cdr:sp macro="" textlink="Dashboard!$B$102">
      <cdr:nvSpPr>
        <cdr:cNvPr id="2" name="TextBox 1">
          <a:extLst xmlns:a="http://schemas.openxmlformats.org/drawingml/2006/main">
            <a:ext uri="{FF2B5EF4-FFF2-40B4-BE49-F238E27FC236}">
              <a16:creationId xmlns:a16="http://schemas.microsoft.com/office/drawing/2014/main" id="{3DBF0F03-4C7E-468E-8410-A308385FFB05}"/>
            </a:ext>
          </a:extLst>
        </cdr:cNvPr>
        <cdr:cNvSpPr txBox="1"/>
      </cdr:nvSpPr>
      <cdr:spPr>
        <a:xfrm xmlns:a="http://schemas.openxmlformats.org/drawingml/2006/main">
          <a:off x="11111836" y="46705"/>
          <a:ext cx="2532530" cy="34738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F85A6BBB-8EE3-448F-AA19-D040124BCB16}" type="TxLink">
            <a:rPr lang="en-US" sz="1100" b="0" i="0" u="none" strike="noStrike">
              <a:solidFill>
                <a:srgbClr val="000000"/>
              </a:solidFill>
              <a:latin typeface="Calibri"/>
              <a:cs typeface="Calibri"/>
            </a:rPr>
            <a:pPr/>
            <a:t> Project: Gold(2MMoz) </a:t>
          </a:fld>
          <a:endParaRPr lang="en-GB" sz="1100"/>
        </a:p>
      </cdr:txBody>
    </cdr:sp>
  </cdr:relSizeAnchor>
</c:userShapes>
</file>

<file path=xl/drawings/drawing6.xml><?xml version="1.0" encoding="utf-8"?>
<c:userShapes xmlns:c="http://schemas.openxmlformats.org/drawingml/2006/chart">
  <cdr:relSizeAnchor xmlns:cdr="http://schemas.openxmlformats.org/drawingml/2006/chartDrawing">
    <cdr:from>
      <cdr:x>0.76696</cdr:x>
      <cdr:y>0.01106</cdr:y>
    </cdr:from>
    <cdr:to>
      <cdr:x>0.98994</cdr:x>
      <cdr:y>0.05967</cdr:y>
    </cdr:to>
    <cdr:sp macro="" textlink="Dashboard!$B$73">
      <cdr:nvSpPr>
        <cdr:cNvPr id="2" name="TextBox 1">
          <a:extLst xmlns:a="http://schemas.openxmlformats.org/drawingml/2006/main">
            <a:ext uri="{FF2B5EF4-FFF2-40B4-BE49-F238E27FC236}">
              <a16:creationId xmlns:a16="http://schemas.microsoft.com/office/drawing/2014/main" id="{8B525040-2700-4706-A3FB-E5131E43114F}"/>
            </a:ext>
          </a:extLst>
        </cdr:cNvPr>
        <cdr:cNvSpPr txBox="1"/>
      </cdr:nvSpPr>
      <cdr:spPr>
        <a:xfrm xmlns:a="http://schemas.openxmlformats.org/drawingml/2006/main">
          <a:off x="6012657" y="63734"/>
          <a:ext cx="1748117" cy="28014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9CA4888-8470-4747-BC97-246995B905CB}" type="TxLink">
            <a:rPr lang="en-US" sz="1100" b="0" i="0" u="none" strike="noStrike">
              <a:solidFill>
                <a:srgbClr val="000000"/>
              </a:solidFill>
              <a:latin typeface="Calibri"/>
              <a:cs typeface="Calibri"/>
            </a:rPr>
            <a:pPr/>
            <a:t> Project: Gold(2MMoz) </a:t>
          </a:fld>
          <a:endParaRPr lang="en-US" sz="1100"/>
        </a:p>
      </cdr:txBody>
    </cdr:sp>
  </cdr:relSizeAnchor>
</c:userShapes>
</file>

<file path=xl/drawings/drawing7.xml><?xml version="1.0" encoding="utf-8"?>
<c:userShapes xmlns:c="http://schemas.openxmlformats.org/drawingml/2006/chart">
  <cdr:relSizeAnchor xmlns:cdr="http://schemas.openxmlformats.org/drawingml/2006/chartDrawing">
    <cdr:from>
      <cdr:x>0.74414</cdr:x>
      <cdr:y>0.00901</cdr:y>
    </cdr:from>
    <cdr:to>
      <cdr:x>0.99495</cdr:x>
      <cdr:y>0.07332</cdr:y>
    </cdr:to>
    <cdr:sp macro="" textlink="Dashboard!$B$81">
      <cdr:nvSpPr>
        <cdr:cNvPr id="2" name="TextBox 1">
          <a:extLst xmlns:a="http://schemas.openxmlformats.org/drawingml/2006/main">
            <a:ext uri="{FF2B5EF4-FFF2-40B4-BE49-F238E27FC236}">
              <a16:creationId xmlns:a16="http://schemas.microsoft.com/office/drawing/2014/main" id="{4681B494-90E0-4983-85B4-345C0FC07678}"/>
            </a:ext>
          </a:extLst>
        </cdr:cNvPr>
        <cdr:cNvSpPr txBox="1"/>
      </cdr:nvSpPr>
      <cdr:spPr>
        <a:xfrm xmlns:a="http://schemas.openxmlformats.org/drawingml/2006/main">
          <a:off x="4588109" y="51828"/>
          <a:ext cx="1546412" cy="36979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94DFA1C-D4D7-4035-A3AC-4789C04F574B}" type="TxLink">
            <a:rPr lang="en-US" sz="1100" b="0" i="0" u="none" strike="noStrike">
              <a:solidFill>
                <a:srgbClr val="000000"/>
              </a:solidFill>
              <a:latin typeface="Calibri"/>
              <a:cs typeface="Calibri"/>
            </a:rPr>
            <a:pPr/>
            <a:t> Project: Gold(2MMoz) </a:t>
          </a:fld>
          <a:endParaRPr lang="en-US" sz="1100"/>
        </a:p>
      </cdr:txBody>
    </cdr:sp>
  </cdr:relSizeAnchor>
</c:userShapes>
</file>

<file path=xl/drawings/drawing8.xml><?xml version="1.0" encoding="utf-8"?>
<c:userShapes xmlns:c="http://schemas.openxmlformats.org/drawingml/2006/chart">
  <cdr:relSizeAnchor xmlns:cdr="http://schemas.openxmlformats.org/drawingml/2006/chartDrawing">
    <cdr:from>
      <cdr:x>0.82687</cdr:x>
      <cdr:y>0.01673</cdr:y>
    </cdr:from>
    <cdr:to>
      <cdr:x>0.98249</cdr:x>
      <cdr:y>0.07143</cdr:y>
    </cdr:to>
    <cdr:sp macro="" textlink="Dashboard!$B$128">
      <cdr:nvSpPr>
        <cdr:cNvPr id="2" name="TextBox 1">
          <a:extLst xmlns:a="http://schemas.openxmlformats.org/drawingml/2006/main">
            <a:ext uri="{FF2B5EF4-FFF2-40B4-BE49-F238E27FC236}">
              <a16:creationId xmlns:a16="http://schemas.microsoft.com/office/drawing/2014/main" id="{86694139-D7B4-4B7E-8EB8-FB711A0E9626}"/>
            </a:ext>
          </a:extLst>
        </cdr:cNvPr>
        <cdr:cNvSpPr txBox="1"/>
      </cdr:nvSpPr>
      <cdr:spPr>
        <a:xfrm xmlns:a="http://schemas.openxmlformats.org/drawingml/2006/main">
          <a:off x="11313038" y="95963"/>
          <a:ext cx="2129076" cy="31375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F210B235-1642-4C46-B35B-2FA344A635F3}" type="TxLink">
            <a:rPr lang="en-US" sz="1100" b="0" i="0" u="none" strike="noStrike">
              <a:solidFill>
                <a:srgbClr val="000000"/>
              </a:solidFill>
              <a:latin typeface="Calibri"/>
              <a:cs typeface="Calibri"/>
            </a:rPr>
            <a:pPr/>
            <a:t> Project: Gold(2MMoz) </a:t>
          </a:fld>
          <a:endParaRPr lang="en-GB" sz="1100"/>
        </a:p>
      </cdr:txBody>
    </cdr:sp>
  </cdr:relSizeAnchor>
</c:userShapes>
</file>

<file path=xl/drawings/drawing9.xml><?xml version="1.0" encoding="utf-8"?>
<c:userShapes xmlns:c="http://schemas.openxmlformats.org/drawingml/2006/chart">
  <cdr:relSizeAnchor xmlns:cdr="http://schemas.openxmlformats.org/drawingml/2006/chartDrawing">
    <cdr:from>
      <cdr:x>0.82134</cdr:x>
      <cdr:y>0.01237</cdr:y>
    </cdr:from>
    <cdr:to>
      <cdr:x>0.99187</cdr:x>
      <cdr:y>0.08405</cdr:y>
    </cdr:to>
    <cdr:sp macro="" textlink="Dashboard!$B$162">
      <cdr:nvSpPr>
        <cdr:cNvPr id="2" name="TextBox 1">
          <a:extLst xmlns:a="http://schemas.openxmlformats.org/drawingml/2006/main">
            <a:ext uri="{FF2B5EF4-FFF2-40B4-BE49-F238E27FC236}">
              <a16:creationId xmlns:a16="http://schemas.microsoft.com/office/drawing/2014/main" id="{8E17AF5E-C541-422D-AA3D-8DB72AD483ED}"/>
            </a:ext>
          </a:extLst>
        </cdr:cNvPr>
        <cdr:cNvSpPr txBox="1"/>
      </cdr:nvSpPr>
      <cdr:spPr>
        <a:xfrm xmlns:a="http://schemas.openxmlformats.org/drawingml/2006/main">
          <a:off x="10254784" y="48325"/>
          <a:ext cx="2129118" cy="28014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1A06D91-DD1D-4CB1-8CFE-B4E2C13FDC66}" type="TxLink">
            <a:rPr lang="en-US" sz="1100" b="0" i="0" u="none" strike="noStrike">
              <a:solidFill>
                <a:srgbClr val="000000"/>
              </a:solidFill>
              <a:latin typeface="Calibri"/>
              <a:cs typeface="Calibri"/>
            </a:rPr>
            <a:pPr/>
            <a:t> Project: Gold(2MMoz) </a:t>
          </a:fld>
          <a:endParaRPr lang="en-GB" sz="1100"/>
        </a:p>
      </cdr:txBody>
    </cdr:sp>
  </cdr:relSizeAnchor>
  <cdr:relSizeAnchor xmlns:cdr="http://schemas.openxmlformats.org/drawingml/2006/chartDrawing">
    <cdr:from>
      <cdr:x>0.01896</cdr:x>
      <cdr:y>0.01237</cdr:y>
    </cdr:from>
    <cdr:to>
      <cdr:x>0.20295</cdr:x>
      <cdr:y>0.07832</cdr:y>
    </cdr:to>
    <cdr:sp macro="" textlink="Dashboard!$B$163">
      <cdr:nvSpPr>
        <cdr:cNvPr id="3" name="TextBox 2">
          <a:extLst xmlns:a="http://schemas.openxmlformats.org/drawingml/2006/main">
            <a:ext uri="{FF2B5EF4-FFF2-40B4-BE49-F238E27FC236}">
              <a16:creationId xmlns:a16="http://schemas.microsoft.com/office/drawing/2014/main" id="{ACE3D173-37EE-4495-9C74-7641437A4E2D}"/>
            </a:ext>
          </a:extLst>
        </cdr:cNvPr>
        <cdr:cNvSpPr txBox="1"/>
      </cdr:nvSpPr>
      <cdr:spPr>
        <a:xfrm xmlns:a="http://schemas.openxmlformats.org/drawingml/2006/main">
          <a:off x="236725" y="48324"/>
          <a:ext cx="2297206" cy="2577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F5173329-B59B-4EFC-A4E5-BC03B5B95AA8}" type="TxLink">
            <a:rPr lang="en-US" sz="1100" b="0" i="0" u="none" strike="noStrike">
              <a:solidFill>
                <a:srgbClr val="000000"/>
              </a:solidFill>
              <a:latin typeface="Calibri"/>
              <a:cs typeface="Calibri"/>
            </a:rPr>
            <a:pPr/>
            <a:t> Fiscal regime: Royalty + CIT </a:t>
          </a:fld>
          <a:endParaRPr lang="en-US" sz="1100"/>
        </a:p>
      </cdr:txBody>
    </cdr:sp>
  </cdr:relSizeAnchor>
</c:userShapes>
</file>

<file path=xl/drawings/drawing10.xml><?xml version="1.0" encoding="utf-8"?>
<c:userShapes xmlns:c="http://schemas.openxmlformats.org/drawingml/2006/chart">
  <cdr:relSizeAnchor xmlns:cdr="http://schemas.openxmlformats.org/drawingml/2006/chartDrawing">
    <cdr:from>
      <cdr:x>0.87116</cdr:x>
      <cdr:y>0.02507</cdr:y>
    </cdr:from>
    <cdr:to>
      <cdr:x>0.98792</cdr:x>
      <cdr:y>0.08001</cdr:y>
    </cdr:to>
    <cdr:sp macro="" textlink="Dashboard!$B$183">
      <cdr:nvSpPr>
        <cdr:cNvPr id="2" name="TextBox 1">
          <a:extLst xmlns:a="http://schemas.openxmlformats.org/drawingml/2006/main">
            <a:ext uri="{FF2B5EF4-FFF2-40B4-BE49-F238E27FC236}">
              <a16:creationId xmlns:a16="http://schemas.microsoft.com/office/drawing/2014/main" id="{5A6A1066-51AC-4342-BDB9-07EF8050D4F8}"/>
            </a:ext>
          </a:extLst>
        </cdr:cNvPr>
        <cdr:cNvSpPr txBox="1"/>
      </cdr:nvSpPr>
      <cdr:spPr>
        <a:xfrm xmlns:a="http://schemas.openxmlformats.org/drawingml/2006/main">
          <a:off x="11871930" y="102252"/>
          <a:ext cx="1591235" cy="22411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7C2ED2E-4074-4724-B4D4-497CB045C7A7}" type="TxLink">
            <a:rPr lang="en-US" sz="1100" b="0" i="0" u="none" strike="noStrike">
              <a:solidFill>
                <a:srgbClr val="000000"/>
              </a:solidFill>
              <a:latin typeface="Calibri"/>
              <a:cs typeface="Calibri"/>
            </a:rPr>
            <a:pPr/>
            <a:t> Project: Gold(2MMoz) </a:t>
          </a:fld>
          <a:endParaRPr lang="en-US" sz="1100"/>
        </a:p>
      </cdr:txBody>
    </cdr:sp>
  </cdr:relSizeAnchor>
  <cdr:relSizeAnchor xmlns:cdr="http://schemas.openxmlformats.org/drawingml/2006/chartDrawing">
    <cdr:from>
      <cdr:x>0.01845</cdr:x>
      <cdr:y>0.01133</cdr:y>
    </cdr:from>
    <cdr:to>
      <cdr:x>0.21826</cdr:x>
      <cdr:y>0.07177</cdr:y>
    </cdr:to>
    <cdr:sp macro="" textlink="Dashboard!$B$184">
      <cdr:nvSpPr>
        <cdr:cNvPr id="3" name="TextBox 2">
          <a:extLst xmlns:a="http://schemas.openxmlformats.org/drawingml/2006/main">
            <a:ext uri="{FF2B5EF4-FFF2-40B4-BE49-F238E27FC236}">
              <a16:creationId xmlns:a16="http://schemas.microsoft.com/office/drawing/2014/main" id="{40CBAD7A-4690-4E48-BF90-429C6B72A205}"/>
            </a:ext>
          </a:extLst>
        </cdr:cNvPr>
        <cdr:cNvSpPr txBox="1"/>
      </cdr:nvSpPr>
      <cdr:spPr>
        <a:xfrm xmlns:a="http://schemas.openxmlformats.org/drawingml/2006/main">
          <a:off x="251430" y="46222"/>
          <a:ext cx="2723029" cy="24653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0D3A034-2782-47D3-B6C1-EDA3E68C226F}" type="TxLink">
            <a:rPr lang="en-US" sz="1100" b="0" i="0" u="none" strike="noStrike">
              <a:solidFill>
                <a:srgbClr val="000000"/>
              </a:solidFill>
              <a:latin typeface="Calibri"/>
              <a:cs typeface="Calibri"/>
            </a:rPr>
            <a:pPr/>
            <a:t> Fiscal regime: Royalty + CIT </a:t>
          </a:fld>
          <a:endParaRPr lang="en-US" sz="1100"/>
        </a:p>
      </cdr:txBody>
    </cdr:sp>
  </cdr:relSizeAnchor>
</c:userShapes>
</file>

<file path=xl/drawings/drawing11.xml><?xml version="1.0" encoding="utf-8"?>
<c:userShapes xmlns:c="http://schemas.openxmlformats.org/drawingml/2006/chart">
  <cdr:relSizeAnchor xmlns:cdr="http://schemas.openxmlformats.org/drawingml/2006/chartDrawing">
    <cdr:from>
      <cdr:x>0.71796</cdr:x>
      <cdr:y>0.01776</cdr:y>
    </cdr:from>
    <cdr:to>
      <cdr:x>0.99056</cdr:x>
      <cdr:y>0.12794</cdr:y>
    </cdr:to>
    <cdr:sp macro="" textlink="">
      <cdr:nvSpPr>
        <cdr:cNvPr id="2" name="TextBox 1">
          <a:extLst xmlns:a="http://schemas.openxmlformats.org/drawingml/2006/main">
            <a:ext uri="{FF2B5EF4-FFF2-40B4-BE49-F238E27FC236}">
              <a16:creationId xmlns:a16="http://schemas.microsoft.com/office/drawing/2014/main" id="{AB68527B-5429-4156-A6E4-1DF1AC155D60}"/>
            </a:ext>
          </a:extLst>
        </cdr:cNvPr>
        <cdr:cNvSpPr txBox="1"/>
      </cdr:nvSpPr>
      <cdr:spPr>
        <a:xfrm xmlns:a="http://schemas.openxmlformats.org/drawingml/2006/main">
          <a:off x="3410323" y="61009"/>
          <a:ext cx="1294902" cy="37851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800"/>
            <a:t>To see project net cashflows use chart filters</a:t>
          </a:r>
        </a:p>
      </cdr:txBody>
    </cdr:sp>
  </cdr:relSizeAnchor>
</c:userShapes>
</file>

<file path=xl/drawings/drawing12.xml><?xml version="1.0" encoding="utf-8"?>
<xdr:wsDr xmlns:xdr="http://schemas.openxmlformats.org/drawingml/2006/spreadsheetDrawing" xmlns:a="http://schemas.openxmlformats.org/drawingml/2006/main">
  <xdr:twoCellAnchor>
    <xdr:from>
      <xdr:col>4</xdr:col>
      <xdr:colOff>27215</xdr:colOff>
      <xdr:row>36</xdr:row>
      <xdr:rowOff>16329</xdr:rowOff>
    </xdr:from>
    <xdr:to>
      <xdr:col>9</xdr:col>
      <xdr:colOff>147643</xdr:colOff>
      <xdr:row>56</xdr:row>
      <xdr:rowOff>166329</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11604</xdr:colOff>
      <xdr:row>36</xdr:row>
      <xdr:rowOff>5123</xdr:rowOff>
    </xdr:from>
    <xdr:to>
      <xdr:col>18</xdr:col>
      <xdr:colOff>705970</xdr:colOff>
      <xdr:row>56</xdr:row>
      <xdr:rowOff>155123</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27212</xdr:colOff>
      <xdr:row>89</xdr:row>
      <xdr:rowOff>43541</xdr:rowOff>
    </xdr:from>
    <xdr:to>
      <xdr:col>9</xdr:col>
      <xdr:colOff>147640</xdr:colOff>
      <xdr:row>110</xdr:row>
      <xdr:rowOff>3041</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81641</xdr:colOff>
      <xdr:row>130</xdr:row>
      <xdr:rowOff>77558</xdr:rowOff>
    </xdr:from>
    <xdr:to>
      <xdr:col>8</xdr:col>
      <xdr:colOff>830034</xdr:colOff>
      <xdr:row>146</xdr:row>
      <xdr:rowOff>190499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39087</xdr:colOff>
      <xdr:row>54</xdr:row>
      <xdr:rowOff>34138</xdr:rowOff>
    </xdr:from>
    <xdr:to>
      <xdr:col>18</xdr:col>
      <xdr:colOff>174172</xdr:colOff>
      <xdr:row>75</xdr:row>
      <xdr:rowOff>112815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69271</xdr:colOff>
      <xdr:row>54</xdr:row>
      <xdr:rowOff>51954</xdr:rowOff>
    </xdr:from>
    <xdr:to>
      <xdr:col>8</xdr:col>
      <xdr:colOff>620484</xdr:colOff>
      <xdr:row>75</xdr:row>
      <xdr:rowOff>106382</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39087</xdr:colOff>
      <xdr:row>54</xdr:row>
      <xdr:rowOff>34138</xdr:rowOff>
    </xdr:from>
    <xdr:to>
      <xdr:col>18</xdr:col>
      <xdr:colOff>174172</xdr:colOff>
      <xdr:row>75</xdr:row>
      <xdr:rowOff>112815</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69271</xdr:colOff>
      <xdr:row>54</xdr:row>
      <xdr:rowOff>51954</xdr:rowOff>
    </xdr:from>
    <xdr:to>
      <xdr:col>8</xdr:col>
      <xdr:colOff>620484</xdr:colOff>
      <xdr:row>75</xdr:row>
      <xdr:rowOff>106382</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10</xdr:col>
      <xdr:colOff>39087</xdr:colOff>
      <xdr:row>54</xdr:row>
      <xdr:rowOff>34138</xdr:rowOff>
    </xdr:from>
    <xdr:to>
      <xdr:col>18</xdr:col>
      <xdr:colOff>174172</xdr:colOff>
      <xdr:row>75</xdr:row>
      <xdr:rowOff>112815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69271</xdr:colOff>
      <xdr:row>54</xdr:row>
      <xdr:rowOff>51954</xdr:rowOff>
    </xdr:from>
    <xdr:to>
      <xdr:col>8</xdr:col>
      <xdr:colOff>620484</xdr:colOff>
      <xdr:row>75</xdr:row>
      <xdr:rowOff>106382</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tbenninger@imf.org"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tint="-0.34998626667073579"/>
    <pageSetUpPr autoPageBreaks="0"/>
  </sheetPr>
  <dimension ref="A1:L25"/>
  <sheetViews>
    <sheetView showGridLines="0" topLeftCell="A13" zoomScale="70" zoomScaleNormal="70" workbookViewId="0">
      <selection activeCell="C5" sqref="C5"/>
    </sheetView>
  </sheetViews>
  <sheetFormatPr defaultColWidth="9.140625" defaultRowHeight="15" customHeight="1"/>
  <cols>
    <col min="1" max="1" width="3.7109375" style="220" customWidth="1"/>
    <col min="2" max="2" width="37.5703125" style="220" customWidth="1"/>
    <col min="3" max="5" width="9.140625" style="220" customWidth="1"/>
    <col min="6" max="6" width="18.28515625" style="220" customWidth="1"/>
    <col min="7" max="11" width="9.140625" style="220" customWidth="1"/>
    <col min="12" max="12" width="3.42578125" style="220" customWidth="1"/>
    <col min="13" max="16384" width="9.140625" style="220"/>
  </cols>
  <sheetData>
    <row r="1" spans="1:12" ht="15" customHeight="1">
      <c r="A1" s="3" t="e">
        <f ca="1" xml:space="preserve"> RIGHT( CELL("filename",$A$1), LEN( CELL("filename",$A$1)) - SEARCH("]", CELL("filename",$A$1)))</f>
        <v>#VALUE!</v>
      </c>
      <c r="B1" s="3"/>
      <c r="C1" s="3" t="str">
        <f xml:space="preserve"> Inputs!$E$71</f>
        <v>Simplified Mining FARI model: February 2022</v>
      </c>
      <c r="D1" s="3"/>
      <c r="E1" s="3"/>
      <c r="F1" s="3"/>
      <c r="G1" s="3"/>
      <c r="H1" s="3"/>
      <c r="I1" s="3"/>
      <c r="J1" s="3"/>
      <c r="K1" s="3"/>
      <c r="L1" s="3"/>
    </row>
    <row r="2" spans="1:12" ht="15" customHeight="1">
      <c r="A2" s="14"/>
      <c r="B2" s="1036"/>
      <c r="C2" s="1036"/>
      <c r="D2" s="1036"/>
      <c r="E2" s="1036"/>
      <c r="F2" s="1036"/>
      <c r="G2" s="1036"/>
      <c r="H2" s="1036"/>
      <c r="I2" s="1036"/>
      <c r="J2" s="1036"/>
      <c r="K2" s="1036"/>
      <c r="L2" s="3"/>
    </row>
    <row r="3" spans="1:12" ht="15" customHeight="1">
      <c r="A3" s="14"/>
      <c r="B3" s="1036"/>
      <c r="C3" s="1036"/>
      <c r="D3" s="1036"/>
      <c r="E3" s="1036"/>
      <c r="F3" s="1036"/>
      <c r="G3" s="1036"/>
      <c r="H3" s="1036"/>
      <c r="I3" s="1036"/>
      <c r="J3" s="1036"/>
      <c r="K3" s="1036"/>
      <c r="L3" s="3"/>
    </row>
    <row r="4" spans="1:12" ht="15" customHeight="1">
      <c r="A4" s="14"/>
      <c r="B4" s="1036"/>
      <c r="C4" s="1036"/>
      <c r="D4" s="1036"/>
      <c r="E4" s="1036"/>
      <c r="F4" s="1036"/>
      <c r="G4" s="1036"/>
      <c r="H4" s="1036"/>
      <c r="I4" s="1036"/>
      <c r="J4" s="1036"/>
      <c r="K4" s="1036"/>
      <c r="L4" s="3"/>
    </row>
    <row r="5" spans="1:12" ht="15" customHeight="1">
      <c r="A5" s="14"/>
      <c r="B5" s="1036"/>
      <c r="C5" s="1036"/>
      <c r="D5" s="1036"/>
      <c r="E5" s="1036"/>
      <c r="F5" s="1036"/>
      <c r="G5" s="1036"/>
      <c r="H5" s="1036"/>
      <c r="I5" s="1036"/>
      <c r="J5" s="1036"/>
      <c r="K5" s="1036"/>
      <c r="L5" s="3"/>
    </row>
    <row r="6" spans="1:12" ht="15" customHeight="1">
      <c r="A6" s="14"/>
      <c r="B6" s="1036"/>
      <c r="C6" s="1036"/>
      <c r="D6" s="1036"/>
      <c r="E6" s="1036"/>
      <c r="F6" s="1036"/>
      <c r="G6" s="1036"/>
      <c r="H6" s="1036"/>
      <c r="I6" s="1036"/>
      <c r="J6" s="1036"/>
      <c r="K6" s="1036"/>
      <c r="L6" s="3"/>
    </row>
    <row r="7" spans="1:12" ht="15" customHeight="1">
      <c r="A7" s="14"/>
      <c r="B7" s="1036"/>
      <c r="C7" s="1036"/>
      <c r="D7" s="1036"/>
      <c r="E7" s="1036"/>
      <c r="F7" s="1036"/>
      <c r="G7" s="1036"/>
      <c r="H7" s="1036"/>
      <c r="I7" s="1036"/>
      <c r="J7" s="1036"/>
      <c r="K7" s="1036"/>
      <c r="L7" s="3"/>
    </row>
    <row r="8" spans="1:12" ht="26.25" customHeight="1">
      <c r="A8" s="14"/>
      <c r="B8" s="1026" t="str">
        <f xml:space="preserve"> Translate!E$627</f>
        <v>FARI terms of use</v>
      </c>
      <c r="C8" s="1026"/>
      <c r="D8" s="1026"/>
      <c r="E8" s="1026"/>
      <c r="F8" s="1026"/>
      <c r="G8" s="1026"/>
      <c r="H8" s="1026"/>
      <c r="I8" s="1026"/>
      <c r="J8" s="1026"/>
      <c r="K8" s="1026"/>
      <c r="L8" s="3"/>
    </row>
    <row r="9" spans="1:12" ht="15" customHeight="1">
      <c r="A9" s="14"/>
      <c r="B9" s="1036"/>
      <c r="C9" s="1036"/>
      <c r="D9" s="1036"/>
      <c r="E9" s="1036"/>
      <c r="F9" s="1036"/>
      <c r="G9" s="1036"/>
      <c r="H9" s="1036"/>
      <c r="I9" s="1036"/>
      <c r="J9" s="1036"/>
      <c r="K9" s="1036"/>
      <c r="L9" s="3"/>
    </row>
    <row r="10" spans="1:12" ht="51.75" customHeight="1">
      <c r="A10" s="14"/>
      <c r="B10" s="1027" t="str">
        <f xml:space="preserve"> Translate!E$628</f>
        <v>The Fiscal Analysis of Resource Industries (FARI or the “Methodology”) is made available to User by the International Monetary Fund (IMF) and subject to the following terms and conditions of use (“Terms”).  By proceeding to use of the Methodology, User agrees and accepts the Terms.</v>
      </c>
      <c r="C10" s="1027"/>
      <c r="D10" s="1027"/>
      <c r="E10" s="1027"/>
      <c r="F10" s="1027"/>
      <c r="G10" s="1027"/>
      <c r="H10" s="1027"/>
      <c r="I10" s="1027"/>
      <c r="J10" s="1027"/>
      <c r="K10" s="1027"/>
      <c r="L10" s="3"/>
    </row>
    <row r="11" spans="1:12">
      <c r="A11" s="14"/>
      <c r="B11" s="1037"/>
      <c r="C11" s="1037"/>
      <c r="D11" s="1037"/>
      <c r="E11" s="1037"/>
      <c r="F11" s="1037"/>
      <c r="G11" s="1037"/>
      <c r="H11" s="1037"/>
      <c r="I11" s="1037"/>
      <c r="J11" s="1037"/>
      <c r="K11" s="1037"/>
      <c r="L11" s="3"/>
    </row>
    <row r="12" spans="1:12">
      <c r="A12" s="14"/>
      <c r="B12" s="1029" t="str">
        <f xml:space="preserve"> Translate!E$629</f>
        <v>TERMS</v>
      </c>
      <c r="C12" s="1029"/>
      <c r="D12" s="1029"/>
      <c r="E12" s="1029"/>
      <c r="F12" s="1029"/>
      <c r="G12" s="1029"/>
      <c r="H12" s="1029"/>
      <c r="I12" s="1029"/>
      <c r="J12" s="1029"/>
      <c r="K12" s="1029"/>
      <c r="L12" s="3"/>
    </row>
    <row r="13" spans="1:12" ht="76.5" customHeight="1">
      <c r="A13" s="14"/>
      <c r="B13" s="1027" t="str">
        <f xml:space="preserve"> Translate!E$630</f>
        <v>1. The Methodology is intended as a tool to perform economic and fiscal analysis of extractive industries projects and to support general capacity building for government officials and civil society. User may adapt, modify or alter the Methodology to the extent necessary to fit the purpose of User’s internal use, provided that such adaptations, modifications or alterations shall not affect the integrity of the Methodology.</v>
      </c>
      <c r="C13" s="1027"/>
      <c r="D13" s="1027"/>
      <c r="E13" s="1027"/>
      <c r="F13" s="1027"/>
      <c r="G13" s="1027"/>
      <c r="H13" s="1027"/>
      <c r="I13" s="1027"/>
      <c r="J13" s="1027"/>
      <c r="K13" s="1027"/>
      <c r="L13" s="3"/>
    </row>
    <row r="14" spans="1:12" ht="58.5" customHeight="1">
      <c r="A14" s="14"/>
      <c r="B14" s="1027" t="str">
        <f xml:space="preserve"> Translate!E$631</f>
        <v>2. The Methodology has not been configured as a formal forecasting tool and is not designed or intended for such use. The Methodology is made available “as is” and the IMF makes no warranty or representation of the accuracy, adequacy or fitness for a particular purpose of the Methodology.</v>
      </c>
      <c r="C14" s="1027"/>
      <c r="D14" s="1027"/>
      <c r="E14" s="1027"/>
      <c r="F14" s="1027"/>
      <c r="G14" s="1027"/>
      <c r="H14" s="1027"/>
      <c r="I14" s="1027"/>
      <c r="J14" s="1027"/>
      <c r="K14" s="1027"/>
      <c r="L14" s="3"/>
    </row>
    <row r="15" spans="1:12" ht="58.5" customHeight="1">
      <c r="A15" s="14"/>
      <c r="B15" s="1027" t="str">
        <f xml:space="preserve"> Translate!E$632</f>
        <v xml:space="preserve">3. All proprietary rights in the Methodology, including intellectual property rights, belong to the IMF. All other rights, whether now existing or which may hereafter come into existence which are not expressly authorized by these Terms, are hereby reserved to and by the IMF. </v>
      </c>
      <c r="C15" s="1027"/>
      <c r="D15" s="1027"/>
      <c r="E15" s="1027"/>
      <c r="F15" s="1027"/>
      <c r="G15" s="1027"/>
      <c r="H15" s="1027"/>
      <c r="I15" s="1027"/>
      <c r="J15" s="1027"/>
      <c r="K15" s="1027"/>
      <c r="L15" s="3"/>
    </row>
    <row r="16" spans="1:12" ht="45.75" customHeight="1">
      <c r="A16" s="14"/>
      <c r="B16" s="1027" t="str">
        <f xml:space="preserve"> Translate!E$633</f>
        <v>4. User shall give appropriate credit to the IMF in all applications and outputs derived from the use of the Methodology, in a way which does not suggest that the IMF endorses User or any User's use of the Methodology and the outputs deriving thereof.</v>
      </c>
      <c r="C16" s="1027"/>
      <c r="D16" s="1027"/>
      <c r="E16" s="1027"/>
      <c r="F16" s="1027"/>
      <c r="G16" s="1027"/>
      <c r="H16" s="1027"/>
      <c r="I16" s="1027"/>
      <c r="J16" s="1027"/>
      <c r="K16" s="1027"/>
      <c r="L16" s="3"/>
    </row>
    <row r="17" spans="1:12" ht="52.5" customHeight="1">
      <c r="A17" s="14"/>
      <c r="B17" s="1027" t="str">
        <f xml:space="preserve"> Translate!E$634</f>
        <v>5. Access to and use of the Methodology are at the User's own risk and responsibility. The IMF bears no responsibility or liability for damage of any kind, also for indirect or consequential damages resulting from access to or use of this Methodology.</v>
      </c>
      <c r="C17" s="1027"/>
      <c r="D17" s="1027"/>
      <c r="E17" s="1027"/>
      <c r="F17" s="1027"/>
      <c r="G17" s="1027"/>
      <c r="H17" s="1027"/>
      <c r="I17" s="1027"/>
      <c r="J17" s="1027"/>
      <c r="K17" s="1027"/>
      <c r="L17" s="3"/>
    </row>
    <row r="18" spans="1:12">
      <c r="A18" s="14"/>
      <c r="B18" s="1037"/>
      <c r="C18" s="1037"/>
      <c r="D18" s="1037"/>
      <c r="E18" s="1037"/>
      <c r="F18" s="1037"/>
      <c r="G18" s="1037"/>
      <c r="H18" s="1037"/>
      <c r="I18" s="1037"/>
      <c r="J18" s="1037"/>
      <c r="K18" s="1037"/>
      <c r="L18" s="3"/>
    </row>
    <row r="19" spans="1:12">
      <c r="A19" s="14"/>
      <c r="B19" s="1028" t="str">
        <f xml:space="preserve"> Translate!E$635</f>
        <v>Accept terms of use to continue.</v>
      </c>
      <c r="C19" s="1028"/>
      <c r="D19" s="1028"/>
      <c r="E19" s="1028"/>
      <c r="F19" s="1028"/>
      <c r="G19" s="1028"/>
      <c r="H19" s="1028"/>
      <c r="I19" s="1028"/>
      <c r="J19" s="1028"/>
      <c r="K19" s="1028"/>
      <c r="L19" s="3"/>
    </row>
    <row r="20" spans="1:12">
      <c r="A20" s="14"/>
      <c r="B20" s="1037"/>
      <c r="C20" s="1037"/>
      <c r="D20" s="1037"/>
      <c r="E20" s="1037"/>
      <c r="F20" s="1037"/>
      <c r="G20" s="1037"/>
      <c r="H20" s="1037"/>
      <c r="I20" s="1037"/>
      <c r="J20" s="1037"/>
      <c r="K20" s="1037"/>
      <c r="L20" s="3"/>
    </row>
    <row r="21" spans="1:12">
      <c r="A21" s="14"/>
      <c r="B21" s="1038"/>
      <c r="C21" s="1038"/>
      <c r="D21" s="1038"/>
      <c r="E21" s="1038"/>
      <c r="F21" s="1038"/>
      <c r="G21" s="1038"/>
      <c r="H21" s="1038"/>
      <c r="I21" s="1038"/>
      <c r="J21" s="1038"/>
      <c r="K21" s="1038"/>
      <c r="L21" s="3"/>
    </row>
    <row r="22" spans="1:12" ht="15" customHeight="1">
      <c r="A22" s="14"/>
      <c r="B22" s="1036"/>
      <c r="C22" s="1036"/>
      <c r="D22" s="1036"/>
      <c r="E22" s="1036"/>
      <c r="F22" s="1036"/>
      <c r="G22" s="1036"/>
      <c r="H22" s="1036"/>
      <c r="I22" s="1036"/>
      <c r="J22" s="1036"/>
      <c r="K22" s="1036"/>
      <c r="L22" s="3"/>
    </row>
    <row r="23" spans="1:12" ht="15" customHeight="1">
      <c r="A23" s="14"/>
      <c r="B23" s="1036"/>
      <c r="C23" s="1036"/>
      <c r="D23" s="1036"/>
      <c r="E23" s="1036"/>
      <c r="F23" s="1036"/>
      <c r="G23" s="1036"/>
      <c r="H23" s="1036"/>
      <c r="I23" s="1036"/>
      <c r="J23" s="1036"/>
      <c r="K23" s="1036"/>
      <c r="L23" s="3"/>
    </row>
    <row r="24" spans="1:12" ht="15" customHeight="1">
      <c r="A24" s="14"/>
      <c r="B24" s="1036"/>
      <c r="C24" s="1036"/>
      <c r="D24" s="1036"/>
      <c r="E24" s="1036"/>
      <c r="F24" s="1036"/>
      <c r="G24" s="1036"/>
      <c r="H24" s="1036"/>
      <c r="I24" s="1036"/>
      <c r="J24" s="1036"/>
      <c r="K24" s="1036"/>
      <c r="L24" s="3"/>
    </row>
    <row r="25" spans="1:12" ht="15" customHeight="1">
      <c r="A25" s="14"/>
      <c r="B25" s="14"/>
      <c r="C25" s="14"/>
      <c r="D25" s="14"/>
      <c r="E25" s="14"/>
      <c r="F25" s="14"/>
      <c r="G25" s="14"/>
      <c r="H25" s="14"/>
      <c r="I25" s="14"/>
      <c r="J25" s="14"/>
      <c r="K25" s="14"/>
      <c r="L25" s="3"/>
    </row>
  </sheetData>
  <sheetProtection formatCells="0" formatColumns="0" formatRows="0" insertColumns="0" insertRows="0" insertHyperlinks="0" deleteColumns="0" deleteRows="0" sort="0" autoFilter="0"/>
  <mergeCells count="9">
    <mergeCell ref="B8:K8"/>
    <mergeCell ref="B13:K13"/>
    <mergeCell ref="B14:K14"/>
    <mergeCell ref="B19:K19"/>
    <mergeCell ref="B15:K15"/>
    <mergeCell ref="B16:K16"/>
    <mergeCell ref="B10:K10"/>
    <mergeCell ref="B17:K17"/>
    <mergeCell ref="B12:K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ccept">
                <anchor moveWithCells="1" sizeWithCells="1">
                  <from>
                    <xdr:col>1</xdr:col>
                    <xdr:colOff>2333625</xdr:colOff>
                    <xdr:row>20</xdr:row>
                    <xdr:rowOff>28575</xdr:rowOff>
                  </from>
                  <to>
                    <xdr:col>4</xdr:col>
                    <xdr:colOff>180975</xdr:colOff>
                    <xdr:row>23</xdr:row>
                    <xdr:rowOff>57150</xdr:rowOff>
                  </to>
                </anchor>
              </controlPr>
            </control>
          </mc:Choice>
        </mc:AlternateContent>
        <mc:AlternateContent xmlns:mc="http://schemas.openxmlformats.org/markup-compatibility/2006">
          <mc:Choice Requires="x14">
            <control shapeId="1026" r:id="rId5" name="Button 2">
              <controlPr defaultSize="0" print="0" autoFill="0" autoPict="0" macro="[0]!Quit">
                <anchor moveWithCells="1" sizeWithCells="1">
                  <from>
                    <xdr:col>5</xdr:col>
                    <xdr:colOff>457200</xdr:colOff>
                    <xdr:row>20</xdr:row>
                    <xdr:rowOff>47625</xdr:rowOff>
                  </from>
                  <to>
                    <xdr:col>7</xdr:col>
                    <xdr:colOff>190500</xdr:colOff>
                    <xdr:row>23</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D70AD-6C70-48D1-8743-BDA0DB6A5FE6}">
  <sheetPr codeName="Sheet11">
    <tabColor theme="0" tint="-0.34998626667073579"/>
  </sheetPr>
  <dimension ref="A1:AE91"/>
  <sheetViews>
    <sheetView showGridLines="0" topLeftCell="A10" zoomScale="60" zoomScaleNormal="60" workbookViewId="0">
      <selection activeCell="O6" sqref="O6"/>
    </sheetView>
  </sheetViews>
  <sheetFormatPr defaultColWidth="0" defaultRowHeight="15" customHeight="1" zeroHeight="1"/>
  <cols>
    <col min="1" max="1" width="3.7109375" customWidth="1"/>
    <col min="2" max="2" width="7.140625" customWidth="1"/>
    <col min="3" max="3" width="67.85546875" customWidth="1"/>
    <col min="4" max="4" width="9.28515625" customWidth="1"/>
    <col min="5" max="5" width="11.7109375" customWidth="1"/>
    <col min="6" max="6" width="64.5703125" customWidth="1"/>
    <col min="7" max="7" width="9.140625" customWidth="1"/>
    <col min="8" max="8" width="3.7109375" customWidth="1"/>
    <col min="9" max="9" width="9.140625" customWidth="1"/>
    <col min="10" max="10" width="34.42578125" bestFit="1" customWidth="1"/>
    <col min="11" max="11" width="9.140625" customWidth="1"/>
    <col min="12" max="12" width="14.140625" customWidth="1"/>
    <col min="13" max="13" width="9.140625" customWidth="1"/>
    <col min="14" max="14" width="44.7109375" customWidth="1"/>
    <col min="15" max="15" width="9.140625" customWidth="1"/>
    <col min="16" max="16" width="15.42578125" customWidth="1"/>
    <col min="17" max="27" width="9.140625" customWidth="1"/>
    <col min="28" max="28" width="3.7109375" customWidth="1"/>
    <col min="29" max="31" width="0" hidden="1" customWidth="1"/>
    <col min="32" max="16384" width="9.140625" hidden="1"/>
  </cols>
  <sheetData>
    <row r="1" spans="1:28" ht="15" customHeight="1">
      <c r="A1" s="14" t="e">
        <f ca="1" xml:space="preserve"> RIGHT( CELL("filename",$B$1), LEN( CELL("filename",$B$1)) - SEARCH("]", CELL("filename",$B$1)))</f>
        <v>#VALUE!</v>
      </c>
      <c r="B1" s="3"/>
      <c r="C1" s="3"/>
      <c r="D1" s="3" t="str">
        <f xml:space="preserve"> Inputs!$E$71</f>
        <v>Simplified Mining FARI model: February 2022</v>
      </c>
      <c r="E1" s="3"/>
      <c r="F1" s="3"/>
      <c r="G1" s="3"/>
      <c r="H1" s="14"/>
      <c r="I1" s="14"/>
      <c r="J1" s="14"/>
      <c r="K1" s="14"/>
      <c r="L1" s="14"/>
      <c r="M1" s="14"/>
      <c r="N1" s="14"/>
      <c r="O1" s="14"/>
      <c r="P1" s="14"/>
      <c r="Q1" s="14"/>
      <c r="R1" s="14"/>
      <c r="S1" s="14"/>
      <c r="T1" s="14"/>
      <c r="U1" s="14"/>
      <c r="V1" s="14"/>
      <c r="W1" s="14"/>
      <c r="X1" s="14"/>
      <c r="Y1" s="14"/>
      <c r="Z1" s="14"/>
      <c r="AA1" s="14"/>
      <c r="AB1" s="14"/>
    </row>
    <row r="2" spans="1:28" ht="15" customHeight="1" thickBot="1">
      <c r="A2" s="14"/>
      <c r="H2" s="14"/>
      <c r="AB2" s="14"/>
    </row>
    <row r="3" spans="1:28" ht="15" customHeight="1">
      <c r="A3" s="14"/>
      <c r="C3" s="853" t="str">
        <f xml:space="preserve"> Translate!E$477</f>
        <v>Authors</v>
      </c>
      <c r="D3" s="272"/>
      <c r="E3" s="9" t="str">
        <f>Translate!E684</f>
        <v>IMF Fiscal Affairs Department, Tax Policy Division</v>
      </c>
      <c r="F3" s="964"/>
      <c r="H3" s="14"/>
      <c r="J3" s="908" t="str">
        <f xml:space="preserve"> Translate!E$744</f>
        <v>Sheets</v>
      </c>
      <c r="K3" s="8" t="str">
        <f>Translate!$E$639</f>
        <v>Checks</v>
      </c>
      <c r="L3" s="13"/>
      <c r="N3" s="908" t="str">
        <f xml:space="preserve"> Translate!$E$444 &amp; ": " &amp; Translate!$E$591</f>
        <v>Check: Translation of options</v>
      </c>
      <c r="O3" s="8" t="str">
        <f>Translate!$E$639</f>
        <v>Checks</v>
      </c>
      <c r="P3" s="13"/>
      <c r="AB3" s="14"/>
    </row>
    <row r="4" spans="1:28" ht="15" customHeight="1">
      <c r="A4" s="14"/>
      <c r="C4" s="854" t="str">
        <f xml:space="preserve"> Translate!E$478</f>
        <v>Contact in IMF FAD</v>
      </c>
      <c r="D4" s="85"/>
      <c r="E4" s="256" t="s">
        <v>0</v>
      </c>
      <c r="F4" s="965"/>
      <c r="H4" s="14"/>
      <c r="J4" s="907" t="str">
        <f xml:space="preserve"> Translate!E$745</f>
        <v>top row</v>
      </c>
      <c r="K4" s="239"/>
      <c r="L4" s="240"/>
      <c r="N4" s="907" t="str">
        <f xml:space="preserve"> Translate!E$745</f>
        <v>top row</v>
      </c>
      <c r="O4" s="239"/>
      <c r="P4" s="240"/>
      <c r="AB4" s="14"/>
    </row>
    <row r="5" spans="1:28" ht="15" customHeight="1">
      <c r="A5" s="14"/>
      <c r="C5" s="854" t="str">
        <f xml:space="preserve"> Translate!E$479</f>
        <v>Owner</v>
      </c>
      <c r="D5" s="85"/>
      <c r="E5" s="10" t="str">
        <f>Translate!E685</f>
        <v>© IMF Fiscal Affairs Department. All rights reserved</v>
      </c>
      <c r="F5" s="966"/>
      <c r="H5" s="14"/>
      <c r="J5" s="265" t="e">
        <f ca="1" xml:space="preserve"> Dashboard!F$60</f>
        <v>#VALUE!</v>
      </c>
      <c r="K5" s="128">
        <f ca="1" xml:space="preserve"> Dashboard!K$60</f>
        <v>0</v>
      </c>
      <c r="L5" s="266" t="str">
        <f xml:space="preserve"> Dashboard!L$60</f>
        <v>Check</v>
      </c>
      <c r="N5" s="949" t="str">
        <f xml:space="preserve"> Inputs!E$41</f>
        <v>Check: ELT applies</v>
      </c>
      <c r="O5" s="940">
        <f xml:space="preserve"> Inputs!F$41</f>
        <v>0</v>
      </c>
      <c r="P5" s="947" t="str">
        <f xml:space="preserve"> Inputs!G$41</f>
        <v>Check</v>
      </c>
      <c r="AB5" s="14"/>
    </row>
    <row r="6" spans="1:28" ht="15" customHeight="1">
      <c r="A6" s="14"/>
      <c r="C6" s="273"/>
      <c r="D6" s="85"/>
      <c r="E6" s="12"/>
      <c r="F6" s="966"/>
      <c r="H6" s="14"/>
      <c r="J6" s="265" t="e">
        <f ca="1" xml:space="preserve"> Inputs!E$102</f>
        <v>#VALUE!</v>
      </c>
      <c r="K6" s="128">
        <f xml:space="preserve"> Inputs!F$102</f>
        <v>0</v>
      </c>
      <c r="L6" s="266" t="str">
        <f xml:space="preserve"> Inputs!G$102</f>
        <v>Check</v>
      </c>
      <c r="N6" s="949" t="str">
        <f xml:space="preserve"> Dashboard!R$130</f>
        <v>Check: Select metric</v>
      </c>
      <c r="O6" s="940">
        <f xml:space="preserve"> Dashboard!S$130</f>
        <v>0</v>
      </c>
      <c r="P6" s="948" t="str">
        <f xml:space="preserve"> Dashboard!T$130</f>
        <v>Check</v>
      </c>
      <c r="AB6" s="14"/>
    </row>
    <row r="7" spans="1:28" ht="15" customHeight="1">
      <c r="A7" s="14"/>
      <c r="C7" s="854" t="str">
        <f xml:space="preserve"> Translate!E$480</f>
        <v>Overall checks</v>
      </c>
      <c r="D7" s="79">
        <f ca="1" xml:space="preserve"> SUM(ReadMe!K4:K14)</f>
        <v>0</v>
      </c>
      <c r="E7" s="856" t="str">
        <f xml:space="preserve"> Translate!$E$639</f>
        <v>Checks</v>
      </c>
      <c r="F7" s="966"/>
      <c r="H7" s="14"/>
      <c r="J7" s="265" t="e">
        <f ca="1" xml:space="preserve"> FiscalModel!E807</f>
        <v>#VALUE!</v>
      </c>
      <c r="K7" s="128">
        <f ca="1" xml:space="preserve"> FiscalModel!F807</f>
        <v>0</v>
      </c>
      <c r="L7" s="266" t="str">
        <f xml:space="preserve"> FiscalModel!G807</f>
        <v>Check</v>
      </c>
      <c r="N7" s="960" t="str">
        <f xml:space="preserve"> FiscalModel!E$7</f>
        <v>Check: Translation of options</v>
      </c>
      <c r="O7" s="940">
        <f xml:space="preserve"> FiscalModel!F$7</f>
        <v>0</v>
      </c>
      <c r="P7" s="947" t="str">
        <f xml:space="preserve"> FiscalModel!G$7</f>
        <v>Check</v>
      </c>
      <c r="AB7" s="14"/>
    </row>
    <row r="8" spans="1:28" ht="15" customHeight="1" thickBot="1">
      <c r="A8" s="14"/>
      <c r="C8" s="499" t="str">
        <f xml:space="preserve"> Track!G1</f>
        <v>Track changes</v>
      </c>
      <c r="D8" s="513">
        <f ca="1" xml:space="preserve"> Track!F1</f>
        <v>0</v>
      </c>
      <c r="E8" s="855" t="str">
        <f xml:space="preserve"> Translate!E$481</f>
        <v>Changes</v>
      </c>
      <c r="F8" s="967"/>
      <c r="H8" s="14"/>
      <c r="J8" s="265" t="e">
        <f ca="1" xml:space="preserve"> Analysis!E325</f>
        <v>#VALUE!</v>
      </c>
      <c r="K8" s="128">
        <f ca="1" xml:space="preserve"> Analysis!F325</f>
        <v>0</v>
      </c>
      <c r="L8" s="266" t="str">
        <f xml:space="preserve"> Analysis!G325</f>
        <v>Check</v>
      </c>
      <c r="N8" s="241" t="str">
        <f xml:space="preserve"> Translate!E$746</f>
        <v>bottom row</v>
      </c>
      <c r="O8" s="242"/>
      <c r="P8" s="243"/>
      <c r="AB8" s="14"/>
    </row>
    <row r="9" spans="1:28" ht="15" customHeight="1">
      <c r="A9" s="14"/>
      <c r="C9" s="1036"/>
      <c r="D9" s="1036"/>
      <c r="E9" s="1036"/>
      <c r="F9" s="1036"/>
      <c r="H9" s="14"/>
      <c r="J9" s="265" t="e">
        <f ca="1" xml:space="preserve"> Charts!E154</f>
        <v>#VALUE!</v>
      </c>
      <c r="K9" s="128">
        <f ca="1" xml:space="preserve"> Charts!F154</f>
        <v>0</v>
      </c>
      <c r="L9" s="266" t="str">
        <f xml:space="preserve"> Charts!G154</f>
        <v>Check</v>
      </c>
      <c r="AB9" s="14"/>
    </row>
    <row r="10" spans="1:28" ht="15" customHeight="1">
      <c r="A10" s="14"/>
      <c r="F10" s="1036"/>
      <c r="H10" s="14"/>
      <c r="J10" s="265" t="e">
        <f ca="1" xml:space="preserve"> ProjectCashflows!E$290</f>
        <v>#VALUE!</v>
      </c>
      <c r="K10" s="128">
        <f ca="1" xml:space="preserve"> ProjectCashflows!F$290</f>
        <v>0</v>
      </c>
      <c r="L10" s="266" t="str">
        <f xml:space="preserve"> ProjectCashflows!G$290</f>
        <v>Check</v>
      </c>
      <c r="AB10" s="14"/>
    </row>
    <row r="11" spans="1:28" ht="15" customHeight="1">
      <c r="A11" s="14"/>
      <c r="F11" s="1036"/>
      <c r="H11" s="14"/>
      <c r="J11" s="265" t="e">
        <f ca="1" xml:space="preserve"> 'Gold(2MMoz)'!E$83</f>
        <v>#VALUE!</v>
      </c>
      <c r="K11" s="128">
        <f xml:space="preserve"> 'Gold(2MMoz)'!F$83</f>
        <v>0</v>
      </c>
      <c r="L11" s="266" t="str">
        <f xml:space="preserve"> 'Gold(2MMoz)'!G$83</f>
        <v>Check</v>
      </c>
      <c r="AB11" s="14"/>
    </row>
    <row r="12" spans="1:28" ht="15" customHeight="1">
      <c r="A12" s="14"/>
      <c r="F12" s="1036"/>
      <c r="H12" s="14"/>
      <c r="J12" s="265" t="e">
        <f ca="1" xml:space="preserve"> 'IronOre(250MMt)'!E$83</f>
        <v>#VALUE!</v>
      </c>
      <c r="K12" s="128">
        <f xml:space="preserve"> 'IronOre(250MMt)'!F$83</f>
        <v>0</v>
      </c>
      <c r="L12" s="266" t="str">
        <f xml:space="preserve"> 'IronOre(250MMt)'!G$83</f>
        <v>Check</v>
      </c>
      <c r="AB12" s="14"/>
    </row>
    <row r="13" spans="1:28" ht="15" customHeight="1">
      <c r="A13" s="14"/>
      <c r="F13" s="1036"/>
      <c r="H13" s="14"/>
      <c r="J13" s="265" t="e">
        <f ca="1" xml:space="preserve"> 'Coal(250MMt)'!E$83</f>
        <v>#VALUE!</v>
      </c>
      <c r="K13" s="128">
        <f xml:space="preserve"> 'Coal(250MMt)'!F$83</f>
        <v>0</v>
      </c>
      <c r="L13" s="266" t="str">
        <f xml:space="preserve"> 'Coal(250MMt)'!G$83</f>
        <v>Check</v>
      </c>
      <c r="AB13" s="14"/>
    </row>
    <row r="14" spans="1:28" ht="15" customHeight="1" thickBot="1">
      <c r="A14" s="14"/>
      <c r="F14" s="1036"/>
      <c r="H14" s="14"/>
      <c r="J14" s="241" t="str">
        <f xml:space="preserve"> Translate!E$746</f>
        <v>bottom row</v>
      </c>
      <c r="K14" s="242"/>
      <c r="L14" s="243"/>
      <c r="AB14" s="14"/>
    </row>
    <row r="15" spans="1:28" ht="15" customHeight="1">
      <c r="A15" s="14"/>
      <c r="F15" s="1036"/>
      <c r="H15" s="14"/>
      <c r="AB15" s="14"/>
    </row>
    <row r="16" spans="1:28" ht="15" customHeight="1">
      <c r="A16" s="14"/>
      <c r="B16" s="56" t="str">
        <f xml:space="preserve"> Translate!E$686</f>
        <v>This model is accompanied by an IMF Technical Note and Manual, which should also be read before using the model.</v>
      </c>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row>
    <row r="17" spans="1:28" ht="15" customHeight="1">
      <c r="B17" s="1036"/>
      <c r="C17" s="1036"/>
      <c r="D17" s="1036"/>
      <c r="E17" s="1036"/>
      <c r="F17" s="1036"/>
    </row>
    <row r="18" spans="1:28" ht="15" customHeight="1">
      <c r="A18" s="876" t="str">
        <f xml:space="preserve"> Translate!E$687</f>
        <v>User guide</v>
      </c>
      <c r="B18" s="876"/>
      <c r="C18" s="876"/>
      <c r="D18" s="876"/>
      <c r="E18" s="876"/>
      <c r="F18" s="876"/>
      <c r="G18" s="876"/>
      <c r="H18" s="876"/>
      <c r="I18" s="876"/>
      <c r="J18" s="876"/>
      <c r="K18" s="876"/>
      <c r="L18" s="876"/>
      <c r="M18" s="876"/>
      <c r="N18" s="876"/>
      <c r="O18" s="876"/>
      <c r="P18" s="876"/>
      <c r="Q18" s="876"/>
      <c r="R18" s="876"/>
      <c r="S18" s="876"/>
      <c r="T18" s="876"/>
      <c r="U18" s="876"/>
      <c r="V18" s="876"/>
      <c r="W18" s="876"/>
      <c r="X18" s="876"/>
      <c r="Y18" s="876"/>
      <c r="Z18" s="876"/>
      <c r="AA18" s="876"/>
      <c r="AB18" s="876"/>
    </row>
    <row r="19" spans="1:28" ht="15" customHeight="1">
      <c r="A19" s="14"/>
      <c r="B19" s="1036"/>
      <c r="C19" s="933" t="str">
        <f>Translate!$E$694</f>
        <v>Model structure</v>
      </c>
      <c r="AB19" s="876"/>
    </row>
    <row r="20" spans="1:28" ht="30" customHeight="1">
      <c r="A20" s="14"/>
      <c r="B20" s="1036"/>
      <c r="C20" s="933"/>
      <c r="D20" s="1027" t="str">
        <f>Translate!$E$640</f>
        <v>The model applies user-configured fiscal regimes to user-configured mining project examples. This simplified model is currently configured to handle mining projects for gold, iron ore, diamond and coal. However, the user can easily change the model for analyzing another mineral. The model structure is set out in the MODEL MAP sheet.</v>
      </c>
      <c r="E20" s="1027"/>
      <c r="F20" s="1027"/>
      <c r="G20" s="1027"/>
      <c r="H20" s="1027"/>
      <c r="I20" s="1027"/>
      <c r="J20" s="1027"/>
      <c r="K20" s="1027"/>
      <c r="L20" s="1027"/>
      <c r="M20" s="1027"/>
      <c r="N20" s="1027"/>
      <c r="O20" s="1027"/>
      <c r="P20" s="1027"/>
      <c r="Q20" s="1027"/>
      <c r="R20" s="1027"/>
      <c r="S20" s="1027"/>
      <c r="T20" s="1027"/>
      <c r="U20" s="1027"/>
      <c r="V20" s="1027"/>
      <c r="W20" s="1027"/>
      <c r="X20" s="1027"/>
      <c r="Y20" s="1027"/>
      <c r="Z20" s="1027"/>
      <c r="AA20" s="1027"/>
      <c r="AB20" s="876"/>
    </row>
    <row r="21" spans="1:28" ht="15" customHeight="1">
      <c r="A21" s="14"/>
      <c r="B21" s="1036"/>
      <c r="C21" s="933" t="str">
        <f>Translate!$E$639</f>
        <v>Checks</v>
      </c>
      <c r="D21" s="1030" t="str">
        <f>Translate!$E$641</f>
        <v>The model has a number of checks to test its internal consistency. These checks will remain green. If the master check cell is red, there is a problem in the model. Either an error needs to be corrected, or the check itself refined. In either case, red checks must be addressed.</v>
      </c>
      <c r="E21" s="1030"/>
      <c r="F21" s="1030"/>
      <c r="G21" s="1030"/>
      <c r="H21" s="1030"/>
      <c r="I21" s="1030"/>
      <c r="J21" s="1030"/>
      <c r="K21" s="1030"/>
      <c r="L21" s="1030"/>
      <c r="M21" s="1030"/>
      <c r="N21" s="1030"/>
      <c r="O21" s="1030"/>
      <c r="P21" s="1030"/>
      <c r="Q21" s="1030"/>
      <c r="R21" s="1030"/>
      <c r="S21" s="1030"/>
      <c r="T21" s="1030"/>
      <c r="U21" s="1030"/>
      <c r="V21" s="1030"/>
      <c r="W21" s="1030"/>
      <c r="X21" s="1030"/>
      <c r="Y21" s="1030"/>
      <c r="Z21" s="1030"/>
      <c r="AA21" s="1030"/>
      <c r="AB21" s="876"/>
    </row>
    <row r="22" spans="1:28" ht="15" customHeight="1">
      <c r="A22" s="14"/>
      <c r="B22" s="1036"/>
      <c r="C22" s="933"/>
      <c r="AB22" s="876"/>
    </row>
    <row r="23" spans="1:28" ht="16.5" customHeight="1">
      <c r="A23" s="14"/>
      <c r="B23" s="1036"/>
      <c r="C23" s="972" t="str">
        <f xml:space="preserve"> Translate!E$761</f>
        <v>Change model language</v>
      </c>
      <c r="D23" s="311" t="str">
        <f xml:space="preserve"> Translate!E$762</f>
        <v>Select language on DASHBOARD</v>
      </c>
      <c r="E23" s="10"/>
      <c r="F23" s="10"/>
      <c r="G23" s="10"/>
      <c r="H23" s="10"/>
      <c r="I23" s="10"/>
      <c r="J23" s="10"/>
      <c r="K23" s="10"/>
      <c r="L23" s="10"/>
      <c r="M23" s="10"/>
      <c r="N23" s="10"/>
      <c r="O23" s="10"/>
      <c r="P23" s="10"/>
      <c r="Q23" s="10"/>
      <c r="R23" s="10"/>
      <c r="S23" s="10"/>
      <c r="T23" s="10"/>
      <c r="U23" s="10"/>
      <c r="V23" s="10"/>
      <c r="W23" s="10"/>
      <c r="X23" s="10"/>
      <c r="Y23" s="10"/>
      <c r="Z23" s="10"/>
      <c r="AA23" s="10"/>
      <c r="AB23" s="876"/>
    </row>
    <row r="24" spans="1:28" ht="18.75" customHeight="1">
      <c r="A24" s="14"/>
      <c r="B24" s="1036"/>
      <c r="C24" s="973"/>
      <c r="D24" s="974" t="str">
        <f xml:space="preserve"> Translate!E$760</f>
        <v>All checks related to the translation of options need to be green before using the model. After changing the language of the model, all drop-down options need to be re-selected for the model to function properly. Please click on each check to verify that the correct options are selected. All checks should be green.</v>
      </c>
      <c r="E24" s="10"/>
      <c r="F24" s="10"/>
      <c r="G24" s="10"/>
      <c r="H24" s="10"/>
      <c r="I24" s="10"/>
      <c r="J24" s="10"/>
      <c r="K24" s="10"/>
      <c r="L24" s="10"/>
      <c r="M24" s="10"/>
      <c r="N24" s="10"/>
      <c r="O24" s="10"/>
      <c r="P24" s="10"/>
      <c r="Q24" s="10"/>
      <c r="R24" s="10"/>
      <c r="S24" s="10"/>
      <c r="T24" s="10"/>
      <c r="U24" s="10"/>
      <c r="V24" s="10"/>
      <c r="W24" s="10"/>
      <c r="X24" s="10"/>
      <c r="Y24" s="10"/>
      <c r="Z24" s="10"/>
      <c r="AA24" s="10"/>
      <c r="AB24" s="876"/>
    </row>
    <row r="25" spans="1:28" ht="15" customHeight="1">
      <c r="A25" s="14"/>
      <c r="B25" s="1036"/>
      <c r="C25" s="933" t="str">
        <f>Translate!$E$695</f>
        <v>FAST modeling standard</v>
      </c>
      <c r="AB25" s="876"/>
    </row>
    <row r="26" spans="1:28" ht="15" customHeight="1">
      <c r="A26" s="14"/>
      <c r="B26" s="1036"/>
      <c r="C26" s="933"/>
      <c r="D26" s="1030" t="str">
        <f>Translate!$E$642</f>
        <v>This model has been structured broadly in line with the FAST modeling standard (www.fast-standard.org/). Color coding: is set out in the KEY sheet cells.  The user should only need to change cells with yellow background. See KEY sheet</v>
      </c>
      <c r="E26" s="1030"/>
      <c r="F26" s="1030"/>
      <c r="G26" s="1030"/>
      <c r="H26" s="1030"/>
      <c r="I26" s="1030"/>
      <c r="J26" s="1030"/>
      <c r="K26" s="1030"/>
      <c r="L26" s="1030"/>
      <c r="M26" s="1030"/>
      <c r="N26" s="1030"/>
      <c r="O26" s="1030"/>
      <c r="P26" s="1030"/>
      <c r="Q26" s="1030"/>
      <c r="R26" s="1030"/>
      <c r="S26" s="1030"/>
      <c r="T26" s="1030"/>
      <c r="U26" s="1030"/>
      <c r="V26" s="1030"/>
      <c r="W26" s="1030"/>
      <c r="X26" s="1030"/>
      <c r="Y26" s="1030"/>
      <c r="Z26" s="1030"/>
      <c r="AA26" s="1030"/>
      <c r="AB26" s="876"/>
    </row>
    <row r="27" spans="1:28" ht="15" customHeight="1">
      <c r="A27" s="14"/>
      <c r="B27" s="877" t="str">
        <f xml:space="preserve"> Translate!E$322</f>
        <v>Inputs</v>
      </c>
      <c r="C27" s="1039"/>
      <c r="D27" s="1036"/>
      <c r="E27" s="1036"/>
      <c r="F27" s="1036"/>
      <c r="AB27" s="876"/>
    </row>
    <row r="28" spans="1:28" ht="15" customHeight="1">
      <c r="A28" s="14"/>
      <c r="B28" s="878"/>
      <c r="C28" s="933" t="str">
        <f>Translate!$E$696</f>
        <v>Fiscal regime assumptions</v>
      </c>
      <c r="AB28" s="876"/>
    </row>
    <row r="29" spans="1:28" ht="33" customHeight="1">
      <c r="A29" s="14"/>
      <c r="B29" s="878"/>
      <c r="C29" s="933"/>
      <c r="D29" s="1027" t="str">
        <f>Translate!$E$643</f>
        <v>Fiscal regime inputs, including tax parameters and rates, are entered in the yellow cells in FISCSALMODEL sheet. Either amend an existing set of parameters or use a blank column to create a new regime. Give the regime a name, as this becomes the label used to select the regime from the DASHBOARD.</v>
      </c>
      <c r="E29" s="1027"/>
      <c r="F29" s="1027"/>
      <c r="G29" s="1027"/>
      <c r="H29" s="1027"/>
      <c r="I29" s="1027"/>
      <c r="J29" s="1027"/>
      <c r="K29" s="1027"/>
      <c r="L29" s="1027"/>
      <c r="M29" s="1027"/>
      <c r="N29" s="1027"/>
      <c r="O29" s="1027"/>
      <c r="P29" s="1027"/>
      <c r="Q29" s="1027"/>
      <c r="R29" s="1027"/>
      <c r="S29" s="1027"/>
      <c r="T29" s="1027"/>
      <c r="U29" s="1027"/>
      <c r="V29" s="1027"/>
      <c r="W29" s="1027"/>
      <c r="X29" s="1027"/>
      <c r="Y29" s="1027"/>
      <c r="Z29" s="1027"/>
      <c r="AA29" s="1027"/>
      <c r="AB29" s="876"/>
    </row>
    <row r="30" spans="1:28" ht="15" customHeight="1">
      <c r="A30" s="14"/>
      <c r="C30" s="933" t="str">
        <f>Translate!$E$697</f>
        <v>Financing and economic assumptions</v>
      </c>
      <c r="AB30" s="876"/>
    </row>
    <row r="31" spans="1:28" ht="15" customHeight="1">
      <c r="A31" s="14"/>
      <c r="C31" s="933"/>
      <c r="D31" s="1030" t="str">
        <f>Translate!$E$644</f>
        <v>Debt financing can have a significant impact on government revenues. Financing inputs are included in each fiscal regime, making it straight-forward to compare the incremental effect of financing by having the duplicate fiscal regimes with and without financing.</v>
      </c>
      <c r="E31" s="1030"/>
      <c r="F31" s="1030"/>
      <c r="G31" s="1030"/>
      <c r="H31" s="1030"/>
      <c r="I31" s="1030"/>
      <c r="J31" s="1030"/>
      <c r="K31" s="1030"/>
      <c r="L31" s="1030"/>
      <c r="M31" s="1030"/>
      <c r="N31" s="1030"/>
      <c r="O31" s="1030"/>
      <c r="P31" s="1030"/>
      <c r="Q31" s="1030"/>
      <c r="R31" s="1030"/>
      <c r="S31" s="1030"/>
      <c r="T31" s="1030"/>
      <c r="U31" s="1030"/>
      <c r="V31" s="1030"/>
      <c r="W31" s="1030"/>
      <c r="X31" s="1030"/>
      <c r="Y31" s="1030"/>
      <c r="Z31" s="1030"/>
      <c r="AA31" s="1030"/>
      <c r="AB31" s="876"/>
    </row>
    <row r="32" spans="1:28" ht="15" customHeight="1">
      <c r="A32" s="14"/>
      <c r="C32" s="934"/>
      <c r="D32" s="1030" t="str">
        <f>Translate!$E$645</f>
        <v>LIBOR real terms interest rates and inflation rates are entered in the INPUT sheet. Proportion of costs financed, interest rate and repayment period are included in fiscal regime parameters.</v>
      </c>
      <c r="E32" s="1030"/>
      <c r="F32" s="1030"/>
      <c r="G32" s="1030"/>
      <c r="H32" s="1030"/>
      <c r="I32" s="1030"/>
      <c r="J32" s="1030"/>
      <c r="K32" s="1030"/>
      <c r="L32" s="1030"/>
      <c r="M32" s="1030"/>
      <c r="N32" s="1030"/>
      <c r="O32" s="1030"/>
      <c r="P32" s="1030"/>
      <c r="Q32" s="1030"/>
      <c r="R32" s="1030"/>
      <c r="S32" s="1030"/>
      <c r="T32" s="1030"/>
      <c r="U32" s="1030"/>
      <c r="V32" s="1030"/>
      <c r="W32" s="1030"/>
      <c r="X32" s="1030"/>
      <c r="Y32" s="1030"/>
      <c r="Z32" s="1030"/>
      <c r="AA32" s="1030"/>
      <c r="AB32" s="876"/>
    </row>
    <row r="33" spans="1:28" ht="31.5" customHeight="1">
      <c r="A33" s="14"/>
      <c r="C33" s="934"/>
      <c r="D33" s="1027" t="str">
        <f>Translate!$E$646</f>
        <v xml:space="preserve">The model is currently set up assuming a mining company (whether local or international) invests and manages a project with the option of state participation. Results are presented for the mining company and, if applicable, state equity, plus the lender, plus the aggregate of the Mining Company’s equity plus lender. The latter is the parent company perspective and is used in the model as the primary investor evaluation metric for breakeven price analysis.  </v>
      </c>
      <c r="E33" s="1027"/>
      <c r="F33" s="1027"/>
      <c r="G33" s="1027"/>
      <c r="H33" s="1027"/>
      <c r="I33" s="1027"/>
      <c r="J33" s="1027"/>
      <c r="K33" s="1027"/>
      <c r="L33" s="1027"/>
      <c r="M33" s="1027"/>
      <c r="N33" s="1027"/>
      <c r="O33" s="1027"/>
      <c r="P33" s="1027"/>
      <c r="Q33" s="1027"/>
      <c r="R33" s="1027"/>
      <c r="S33" s="1027"/>
      <c r="T33" s="1027"/>
      <c r="U33" s="1027"/>
      <c r="V33" s="1027"/>
      <c r="W33" s="1027"/>
      <c r="X33" s="1027"/>
      <c r="Y33" s="1027"/>
      <c r="Z33" s="1027"/>
      <c r="AA33" s="1027"/>
      <c r="AB33" s="876"/>
    </row>
    <row r="34" spans="1:28" ht="15" customHeight="1">
      <c r="A34" s="14"/>
      <c r="C34" s="933" t="str">
        <f>Translate!$E$698</f>
        <v>Project data</v>
      </c>
      <c r="AB34" s="876"/>
    </row>
    <row r="35" spans="1:28" ht="33" customHeight="1">
      <c r="A35" s="14"/>
      <c r="C35" s="933"/>
      <c r="D35" s="1027" t="str">
        <f>Translate!$E$647</f>
        <v>Projects are defined in separate project sheets. New projects can be created simply by (1) copying an existing project sheet (2) renaming the sheet tab (3) modifying production and cost profiles; then (4) add the new project sheet tab name to the project list in the INPUT sheet. This last step makes the new project available for selection using the parameter on the DASHBOARD</v>
      </c>
      <c r="E35" s="1027"/>
      <c r="F35" s="1027"/>
      <c r="G35" s="1027"/>
      <c r="H35" s="1027"/>
      <c r="I35" s="1027"/>
      <c r="J35" s="1027"/>
      <c r="K35" s="1027"/>
      <c r="L35" s="1027"/>
      <c r="M35" s="1027"/>
      <c r="N35" s="1027"/>
      <c r="O35" s="1027"/>
      <c r="P35" s="1027"/>
      <c r="Q35" s="1027"/>
      <c r="R35" s="1027"/>
      <c r="S35" s="1027"/>
      <c r="T35" s="1027"/>
      <c r="U35" s="1027"/>
      <c r="V35" s="1027"/>
      <c r="W35" s="1027"/>
      <c r="X35" s="1027"/>
      <c r="Y35" s="1027"/>
      <c r="Z35" s="1027"/>
      <c r="AA35" s="1027"/>
      <c r="AB35" s="876"/>
    </row>
    <row r="36" spans="1:28" ht="15" customHeight="1">
      <c r="A36" s="14"/>
      <c r="C36" s="934"/>
      <c r="D36" s="1030" t="str">
        <f>Translate!$E$648</f>
        <v>In each project example:</v>
      </c>
      <c r="E36" s="1030"/>
      <c r="F36" s="1030"/>
      <c r="G36" s="1030"/>
      <c r="H36" s="1030"/>
      <c r="I36" s="1030"/>
      <c r="J36" s="1030"/>
      <c r="K36" s="1030"/>
      <c r="L36" s="1030"/>
      <c r="M36" s="1030"/>
      <c r="N36" s="1030"/>
      <c r="O36" s="1030"/>
      <c r="P36" s="1030"/>
      <c r="Q36" s="1030"/>
      <c r="R36" s="1030"/>
      <c r="S36" s="1030"/>
      <c r="T36" s="1030"/>
      <c r="U36" s="1030"/>
      <c r="V36" s="1030"/>
      <c r="W36" s="1030"/>
      <c r="X36" s="1030"/>
      <c r="Y36" s="1030"/>
      <c r="Z36" s="1030"/>
      <c r="AA36" s="1030"/>
      <c r="AB36" s="876"/>
    </row>
    <row r="37" spans="1:28" ht="15" customHeight="1">
      <c r="A37" s="14"/>
      <c r="C37" s="934"/>
      <c r="E37" s="10" t="str">
        <f>Translate!$E$677</f>
        <v>Annual costs are entered in constant terms of the model start year.</v>
      </c>
      <c r="AB37" s="876"/>
    </row>
    <row r="38" spans="1:28" ht="15" customHeight="1">
      <c r="A38" s="14"/>
      <c r="C38" s="934"/>
      <c r="E38" s="10" t="str">
        <f>Translate!$E$678</f>
        <v>Mineral production is entered as the annual production in terms of the mineral’s unit of production (e.g. iron ore measured in metric tons or gold in thousand of ounces).</v>
      </c>
      <c r="AB38" s="876"/>
    </row>
    <row r="39" spans="1:28" ht="15" customHeight="1">
      <c r="A39" s="14"/>
      <c r="C39" s="934"/>
      <c r="E39" s="10" t="str">
        <f>Translate!$E$679</f>
        <v>Costs are broken down into exploration, development, sustaining capital, operating costs and decommissioning costs to enable different fiscal treatment for each. For example, exploration costs can be expensed for income tax while development costs are depreciated.</v>
      </c>
      <c r="AB39" s="876"/>
    </row>
    <row r="40" spans="1:28" ht="15" customHeight="1">
      <c r="A40" s="14"/>
      <c r="B40" s="877" t="str">
        <f>Translate!$E$700</f>
        <v>Workings/calculations</v>
      </c>
      <c r="C40" s="934"/>
      <c r="AB40" s="876"/>
    </row>
    <row r="41" spans="1:28" ht="15" customHeight="1">
      <c r="A41" s="14"/>
      <c r="C41" s="933"/>
      <c r="D41" s="10" t="str">
        <f>Translate!$E$649</f>
        <v>The logic flow in the model is as set out in the MODELMAP:</v>
      </c>
      <c r="AB41" s="876"/>
    </row>
    <row r="42" spans="1:28" ht="15" customHeight="1">
      <c r="A42" s="14"/>
      <c r="C42" s="934"/>
      <c r="D42" s="10" t="str">
        <f>Translate!$E$650</f>
        <v>Select project example</v>
      </c>
      <c r="AB42" s="876"/>
    </row>
    <row r="43" spans="1:28" ht="15" customHeight="1">
      <c r="A43" s="14"/>
      <c r="C43" s="934"/>
      <c r="D43" s="10" t="str">
        <f>Translate!$E$651</f>
        <v>Select applicable fiscal regime</v>
      </c>
      <c r="AB43" s="876"/>
    </row>
    <row r="44" spans="1:28" ht="15" customHeight="1">
      <c r="A44" s="14"/>
      <c r="C44" s="934"/>
      <c r="D44" s="10" t="str">
        <f>Translate!$E$652</f>
        <v>Set mineral price(s)</v>
      </c>
      <c r="AB44" s="876"/>
    </row>
    <row r="45" spans="1:28" ht="15" customHeight="1">
      <c r="A45" s="14"/>
      <c r="C45" s="934"/>
      <c r="D45" s="10" t="str">
        <f>Translate!$E$653</f>
        <v>The PROJECTCASHFLOWS sheet imports project data from the selected project example sheet</v>
      </c>
      <c r="AB45" s="876"/>
    </row>
    <row r="46" spans="1:28" ht="15" customHeight="1">
      <c r="A46" s="14"/>
      <c r="C46" s="934"/>
      <c r="D46" s="10" t="str">
        <f>Translate!$E$654</f>
        <v>Fiscal calculations are done in the FISCALMODEL sheet</v>
      </c>
      <c r="AB46" s="876"/>
    </row>
    <row r="47" spans="1:28" ht="33.75" customHeight="1">
      <c r="A47" s="14"/>
      <c r="C47" s="934"/>
      <c r="D47" s="1027" t="str">
        <f>Translate!$E$655</f>
        <v>The ANALYSIS sheet compiles results from the model and derives outcomes for each participant on a (1) Full-cycle basis (from the start of exploration) and (2) from FID (in practice when development costs are first incurred). Comprehensive IRR and NPV calculations are undertaken for each project participant from both perspectives.</v>
      </c>
      <c r="E47" s="1027"/>
      <c r="F47" s="1027"/>
      <c r="G47" s="1027"/>
      <c r="H47" s="1027"/>
      <c r="I47" s="1027"/>
      <c r="J47" s="1027"/>
      <c r="K47" s="1027"/>
      <c r="L47" s="1027"/>
      <c r="M47" s="1027"/>
      <c r="N47" s="1027"/>
      <c r="O47" s="1027"/>
      <c r="P47" s="1027"/>
      <c r="Q47" s="1027"/>
      <c r="R47" s="1027"/>
      <c r="S47" s="1027"/>
      <c r="T47" s="1027"/>
      <c r="U47" s="1027"/>
      <c r="V47" s="1027"/>
      <c r="W47" s="1027"/>
      <c r="X47" s="1027"/>
      <c r="Y47" s="1027"/>
      <c r="Z47" s="1027"/>
      <c r="AA47" s="1027"/>
      <c r="AB47" s="876"/>
    </row>
    <row r="48" spans="1:28" ht="15" customHeight="1">
      <c r="A48" s="14"/>
      <c r="B48" s="877" t="str">
        <f xml:space="preserve"> Translate!E$312</f>
        <v>Dashboard</v>
      </c>
      <c r="C48" s="934"/>
      <c r="AB48" s="876"/>
    </row>
    <row r="49" spans="1:28" ht="15" customHeight="1">
      <c r="A49" s="14"/>
      <c r="C49" s="933"/>
      <c r="D49" s="10" t="str">
        <f>Translate!$E$656</f>
        <v>The DASHBOARD is where the user will spend most time driving the model.</v>
      </c>
      <c r="AB49" s="876"/>
    </row>
    <row r="50" spans="1:28" ht="15" customHeight="1">
      <c r="A50" s="14"/>
      <c r="C50" s="934"/>
      <c r="D50" s="10" t="str">
        <f>Translate!$E$657</f>
        <v>Select fiscal regime: drop-down list on top left</v>
      </c>
      <c r="AB50" s="876"/>
    </row>
    <row r="51" spans="1:28" ht="15" customHeight="1">
      <c r="A51" s="14"/>
      <c r="C51" s="934"/>
      <c r="E51" s="10" t="str">
        <f>Translate!$E$680</f>
        <v>Fiscal regime parameters are entered in INPUTS</v>
      </c>
      <c r="AB51" s="876"/>
    </row>
    <row r="52" spans="1:28" ht="15" customHeight="1">
      <c r="A52" s="14"/>
      <c r="C52" s="934"/>
      <c r="D52" s="10" t="str">
        <f>Translate!$E$658</f>
        <v>Select project: drop-down list on top left</v>
      </c>
      <c r="AB52" s="876"/>
    </row>
    <row r="53" spans="1:28" ht="15" customHeight="1">
      <c r="A53" s="14"/>
      <c r="C53" s="934"/>
      <c r="E53" s="10" t="str">
        <f>Translate!$E$681</f>
        <v>Project data is entered in individual project example sheets</v>
      </c>
      <c r="AB53" s="876"/>
    </row>
    <row r="54" spans="1:28" ht="15" customHeight="1">
      <c r="A54" s="14"/>
      <c r="C54" s="934"/>
      <c r="D54" s="10" t="str">
        <f>Translate!$E$659</f>
        <v>Change mineral price(s): entered top left</v>
      </c>
      <c r="AB54" s="876"/>
    </row>
    <row r="55" spans="1:28" ht="15" customHeight="1">
      <c r="A55" s="14"/>
      <c r="C55" s="933" t="str">
        <f>Translate!$E$699</f>
        <v>Dashboard results</v>
      </c>
      <c r="E55" s="10"/>
      <c r="AB55" s="876"/>
    </row>
    <row r="56" spans="1:28" ht="15" customHeight="1">
      <c r="A56" s="14"/>
      <c r="C56" s="934"/>
      <c r="D56" s="10" t="str">
        <f>Translate!$E$660</f>
        <v>Participant cashflows (table top-centre)</v>
      </c>
      <c r="AB56" s="876"/>
    </row>
    <row r="57" spans="1:28" ht="15" customHeight="1">
      <c r="A57" s="14"/>
      <c r="C57" s="934"/>
      <c r="E57" s="10" t="str">
        <f>Translate!$E$682</f>
        <v>IRR; undiscounted and NPV cashflows for (1) project (pre-tax net cashflows); (2) mining company; (3) mining company + lender (parent company perspective assuming parent provides the debt financing); (4) government including or excluding state participation</v>
      </c>
      <c r="AB57" s="876"/>
    </row>
    <row r="58" spans="1:28" ht="15" customHeight="1">
      <c r="A58" s="14"/>
      <c r="C58" s="934"/>
      <c r="E58" s="10" t="str">
        <f>Translate!$E$683</f>
        <v>Average effective tax rates and government share of project benefits (see technical note)</v>
      </c>
      <c r="AB58" s="876"/>
    </row>
    <row r="59" spans="1:28" ht="15" customHeight="1">
      <c r="A59" s="14"/>
      <c r="C59" s="934"/>
      <c r="D59" s="10" t="str">
        <f>Translate!$E$661</f>
        <v>Project cashflows (table top-right). Breakdown of revenues and costs on undiscounted real dollars and US$ / unit of measurement for primary mineral.</v>
      </c>
      <c r="AB59" s="876"/>
    </row>
    <row r="60" spans="1:28" ht="15" customHeight="1">
      <c r="A60" s="14"/>
      <c r="C60" s="934"/>
      <c r="D60" s="10" t="str">
        <f>Translate!$E$662</f>
        <v>Government revenues (table centre-right). Summary of government revenues by category.</v>
      </c>
      <c r="AB60" s="876"/>
    </row>
    <row r="61" spans="1:28" ht="15" customHeight="1">
      <c r="A61" s="14"/>
      <c r="C61" s="934"/>
      <c r="D61" s="10" t="str">
        <f>Translate!$E$663</f>
        <v>Project statistics (table and chart lower-Left)</v>
      </c>
      <c r="AB61" s="876"/>
    </row>
    <row r="62" spans="1:28" ht="15" customHeight="1">
      <c r="A62" s="14"/>
      <c r="C62" s="934"/>
      <c r="D62" s="10" t="str">
        <f>Translate!$E$664</f>
        <v>Production profile and unit operating costs (chart lower-right)</v>
      </c>
      <c r="AB62" s="876"/>
    </row>
    <row r="63" spans="1:28" ht="15" customHeight="1">
      <c r="A63" s="14"/>
      <c r="C63" s="934"/>
      <c r="D63" s="10" t="str">
        <f>Translate!$E$665</f>
        <v>Government revenue profile: Chart in centre. Annual revenues by category, plus pie chart showing breakdown over project life.</v>
      </c>
      <c r="AB63" s="876"/>
    </row>
    <row r="64" spans="1:28" ht="15" customHeight="1">
      <c r="A64" s="14"/>
      <c r="B64" s="877" t="str">
        <f xml:space="preserve"> Translate!E$447</f>
        <v>Dashboard Analytical Routines</v>
      </c>
      <c r="C64" s="934"/>
      <c r="AB64" s="876"/>
    </row>
    <row r="65" spans="1:28" ht="15" customHeight="1">
      <c r="A65" s="14"/>
      <c r="C65" s="933" t="str">
        <f>Translate!$E$448</f>
        <v>Results for selected fiscal regimes</v>
      </c>
      <c r="D65" s="10"/>
      <c r="AB65" s="876"/>
    </row>
    <row r="66" spans="1:28" ht="15" customHeight="1">
      <c r="A66" s="14"/>
      <c r="C66" s="935"/>
      <c r="D66" s="10" t="str">
        <f>Translate!$E$666</f>
        <v>Compares key results for regimes selected by user. User chooses regimes to compare from drop-down lists in yellow cells at the top of the table. Then press F9 to update.</v>
      </c>
      <c r="AB66" s="876"/>
    </row>
    <row r="67" spans="1:28" ht="15" customHeight="1">
      <c r="A67" s="14"/>
      <c r="C67" s="935"/>
      <c r="D67" s="10" t="str">
        <f>Translate!$E$667</f>
        <v>If cells are left blank results are zero or #NA, enabling only two regimes to be compared side by side</v>
      </c>
      <c r="AB67" s="876"/>
    </row>
    <row r="68" spans="1:28" ht="15" customHeight="1">
      <c r="A68" s="14"/>
      <c r="C68" s="935"/>
      <c r="D68" s="10" t="str">
        <f>Translate!$E$668</f>
        <v>Press F9 to ensure table updates</v>
      </c>
      <c r="AB68" s="876"/>
    </row>
    <row r="69" spans="1:28" ht="15" customHeight="1">
      <c r="A69" s="14"/>
      <c r="C69" s="933" t="str">
        <f>Translate!$E$449</f>
        <v>Government revenues profiles under selected regimes</v>
      </c>
      <c r="AB69" s="876"/>
    </row>
    <row r="70" spans="1:28" ht="15" customHeight="1">
      <c r="A70" s="14"/>
      <c r="C70" s="935"/>
      <c r="D70" s="10" t="str">
        <f>Translate!$E$669</f>
        <v>Compares annual revenue profile for regimes selected by user. Select regimes using drop-down list at left of the table</v>
      </c>
      <c r="AB70" s="876"/>
    </row>
    <row r="71" spans="1:28" ht="15" customHeight="1">
      <c r="A71" s="14"/>
      <c r="C71" s="935"/>
      <c r="D71" s="10" t="str">
        <f>Translate!$E$668</f>
        <v>Press F9 to ensure table updates</v>
      </c>
      <c r="AB71" s="876"/>
    </row>
    <row r="72" spans="1:28" ht="15" customHeight="1">
      <c r="A72" s="14"/>
      <c r="C72" s="933" t="str">
        <f>Translate!$E$450</f>
        <v>Progressivity analysis across a range of mineral prices</v>
      </c>
      <c r="D72" s="10"/>
      <c r="AB72" s="876"/>
    </row>
    <row r="73" spans="1:28" ht="15" customHeight="1">
      <c r="A73" s="14"/>
      <c r="C73" s="936"/>
      <c r="D73" s="10" t="str">
        <f>Translate!$E$670</f>
        <v>Sensitivity analysis showing results for user-selected metric across a user-defined range of primary mineral prices</v>
      </c>
      <c r="AB73" s="876"/>
    </row>
    <row r="74" spans="1:28" ht="15" customHeight="1">
      <c r="A74" s="14"/>
      <c r="C74" s="936"/>
      <c r="D74" s="10" t="str">
        <f>Translate!$E$671</f>
        <v>Select metric from drop-down list. Either AETR or share of project benefits, undiscounted or NPV.</v>
      </c>
      <c r="AB74" s="876"/>
    </row>
    <row r="75" spans="1:28" ht="15" customHeight="1">
      <c r="A75" s="14"/>
      <c r="C75" s="936"/>
      <c r="D75" s="10" t="str">
        <f>Translate!$E$672</f>
        <v>Enter start primary mineral price and increment to create range for analysis.</v>
      </c>
      <c r="AB75" s="876"/>
    </row>
    <row r="76" spans="1:28" ht="15" customHeight="1">
      <c r="A76" s="14"/>
      <c r="C76" s="936"/>
      <c r="D76" s="10" t="str">
        <f>Translate!$E$668</f>
        <v>Press F9 to ensure table updates</v>
      </c>
      <c r="AB76" s="876"/>
    </row>
    <row r="77" spans="1:28" ht="15" customHeight="1">
      <c r="A77" s="14"/>
      <c r="C77" s="933" t="str">
        <f>Translate!$E$451</f>
        <v>Breakeven mineral price and marginal effective tax rate</v>
      </c>
      <c r="AB77" s="876"/>
    </row>
    <row r="78" spans="1:28" ht="15" customHeight="1">
      <c r="A78" s="14"/>
      <c r="C78" s="936"/>
      <c r="D78" s="10" t="str">
        <f>Translate!$E$673</f>
        <v>Determines the price for the primary mineral necessary under each regime to achieve a user-specified after-tax IRR</v>
      </c>
      <c r="AB78" s="876"/>
    </row>
    <row r="79" spans="1:28" ht="15" customHeight="1">
      <c r="A79" s="14"/>
      <c r="C79" s="936"/>
      <c r="D79" s="10" t="str">
        <f>Translate!$E$674</f>
        <v>Pressing the button marked “breakeven” initiates a macro that determines the breakeven price for each selected regime using Excel’s GOAL-SEEK mechanism.</v>
      </c>
      <c r="AB79" s="876"/>
    </row>
    <row r="80" spans="1:28" ht="15" customHeight="1">
      <c r="A80" s="14"/>
      <c r="C80" s="936"/>
      <c r="D80" s="10" t="str">
        <f>Translate!$E$675</f>
        <v>METR is the proportion of pre-tax IRR taken by the fiscal regime, at the breakeven point, as described in the FAD Technical Note</v>
      </c>
      <c r="AB80" s="876"/>
    </row>
    <row r="81" spans="1:28" ht="15" customHeight="1">
      <c r="A81" s="14"/>
      <c r="C81" s="937" t="str">
        <f xml:space="preserve"> Dashboard!A$176</f>
        <v>Net present value table: full-cycle, real</v>
      </c>
      <c r="AB81" s="876"/>
    </row>
    <row r="82" spans="1:28" ht="15" customHeight="1">
      <c r="A82" s="14"/>
      <c r="C82" s="936"/>
      <c r="D82" s="10" t="str">
        <f>Translate!$E$676</f>
        <v>Sharing of project post-tax net present value and average effective tax rate between government, investors, and state participation at different discount rates.</v>
      </c>
      <c r="AB82" s="876"/>
    </row>
    <row r="83" spans="1:28" ht="15" customHeight="1">
      <c r="A83" s="14"/>
      <c r="C83" s="936"/>
      <c r="D83" s="10" t="str">
        <f>Translate!$E$668</f>
        <v>Press F9 to ensure table updates</v>
      </c>
      <c r="AB83" s="876"/>
    </row>
    <row r="84" spans="1:28" ht="15" customHeight="1">
      <c r="A84" s="14"/>
      <c r="C84" s="933"/>
      <c r="AB84" s="876"/>
    </row>
    <row r="85" spans="1:28" ht="15" customHeight="1">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876"/>
    </row>
    <row r="90" spans="1:28" ht="15" hidden="1" customHeight="1">
      <c r="D90" t="s">
        <v>1</v>
      </c>
    </row>
    <row r="91" spans="1:28" ht="15" customHeight="1"/>
  </sheetData>
  <mergeCells count="10">
    <mergeCell ref="D33:AA33"/>
    <mergeCell ref="D35:AA35"/>
    <mergeCell ref="D36:AA36"/>
    <mergeCell ref="D47:AA47"/>
    <mergeCell ref="D20:AA20"/>
    <mergeCell ref="D21:AA21"/>
    <mergeCell ref="D26:AA26"/>
    <mergeCell ref="D29:AA29"/>
    <mergeCell ref="D31:AA31"/>
    <mergeCell ref="D32:AA32"/>
  </mergeCells>
  <conditionalFormatting sqref="K5:K11">
    <cfRule type="cellIs" dxfId="357" priority="25" stopIfTrue="1" operator="notEqual">
      <formula>0</formula>
    </cfRule>
    <cfRule type="cellIs" dxfId="356" priority="26" stopIfTrue="1" operator="equal">
      <formula>""</formula>
    </cfRule>
  </conditionalFormatting>
  <conditionalFormatting sqref="K5:K11">
    <cfRule type="cellIs" dxfId="355" priority="23" stopIfTrue="1" operator="notEqual">
      <formula>0</formula>
    </cfRule>
    <cfRule type="cellIs" dxfId="354" priority="24" stopIfTrue="1" operator="equal">
      <formula>""</formula>
    </cfRule>
  </conditionalFormatting>
  <conditionalFormatting sqref="D7">
    <cfRule type="cellIs" dxfId="353" priority="33" stopIfTrue="1" operator="notEqual">
      <formula>0</formula>
    </cfRule>
    <cfRule type="cellIs" dxfId="352" priority="34" stopIfTrue="1" operator="equal">
      <formula>""</formula>
    </cfRule>
  </conditionalFormatting>
  <conditionalFormatting sqref="D7">
    <cfRule type="cellIs" dxfId="351" priority="31" stopIfTrue="1" operator="notEqual">
      <formula>0</formula>
    </cfRule>
    <cfRule type="cellIs" dxfId="350" priority="32" stopIfTrue="1" operator="equal">
      <formula>""</formula>
    </cfRule>
  </conditionalFormatting>
  <conditionalFormatting sqref="K12">
    <cfRule type="cellIs" dxfId="349" priority="21" stopIfTrue="1" operator="notEqual">
      <formula>0</formula>
    </cfRule>
    <cfRule type="cellIs" dxfId="348" priority="22" stopIfTrue="1" operator="equal">
      <formula>""</formula>
    </cfRule>
  </conditionalFormatting>
  <conditionalFormatting sqref="K12">
    <cfRule type="cellIs" dxfId="347" priority="19" stopIfTrue="1" operator="notEqual">
      <formula>0</formula>
    </cfRule>
    <cfRule type="cellIs" dxfId="346" priority="20" stopIfTrue="1" operator="equal">
      <formula>""</formula>
    </cfRule>
  </conditionalFormatting>
  <conditionalFormatting sqref="D8">
    <cfRule type="cellIs" dxfId="345" priority="17" stopIfTrue="1" operator="notEqual">
      <formula>0</formula>
    </cfRule>
    <cfRule type="cellIs" dxfId="344" priority="18" stopIfTrue="1" operator="equal">
      <formula>""</formula>
    </cfRule>
  </conditionalFormatting>
  <conditionalFormatting sqref="K13">
    <cfRule type="cellIs" dxfId="343" priority="15" stopIfTrue="1" operator="notEqual">
      <formula>0</formula>
    </cfRule>
    <cfRule type="cellIs" dxfId="342" priority="16" stopIfTrue="1" operator="equal">
      <formula>""</formula>
    </cfRule>
  </conditionalFormatting>
  <conditionalFormatting sqref="K13">
    <cfRule type="cellIs" dxfId="341" priority="13" stopIfTrue="1" operator="notEqual">
      <formula>0</formula>
    </cfRule>
    <cfRule type="cellIs" dxfId="340" priority="14" stopIfTrue="1" operator="equal">
      <formula>""</formula>
    </cfRule>
  </conditionalFormatting>
  <conditionalFormatting sqref="O5">
    <cfRule type="cellIs" dxfId="339" priority="11" stopIfTrue="1" operator="notEqual">
      <formula>0</formula>
    </cfRule>
    <cfRule type="cellIs" dxfId="338" priority="12" stopIfTrue="1" operator="equal">
      <formula>""</formula>
    </cfRule>
  </conditionalFormatting>
  <conditionalFormatting sqref="O5">
    <cfRule type="cellIs" dxfId="337" priority="9" stopIfTrue="1" operator="notEqual">
      <formula>0</formula>
    </cfRule>
    <cfRule type="cellIs" dxfId="336" priority="10" stopIfTrue="1" operator="equal">
      <formula>""</formula>
    </cfRule>
  </conditionalFormatting>
  <conditionalFormatting sqref="O6">
    <cfRule type="cellIs" dxfId="335" priority="7" stopIfTrue="1" operator="notEqual">
      <formula>0</formula>
    </cfRule>
    <cfRule type="cellIs" dxfId="334" priority="8" stopIfTrue="1" operator="equal">
      <formula>""</formula>
    </cfRule>
  </conditionalFormatting>
  <conditionalFormatting sqref="O5:O7">
    <cfRule type="cellIs" dxfId="333" priority="5" stopIfTrue="1" operator="notEqual">
      <formula>0</formula>
    </cfRule>
    <cfRule type="cellIs" dxfId="332" priority="6" stopIfTrue="1" operator="equal">
      <formula>""</formula>
    </cfRule>
  </conditionalFormatting>
  <conditionalFormatting sqref="O7">
    <cfRule type="cellIs" dxfId="331" priority="3" stopIfTrue="1" operator="notEqual">
      <formula>0</formula>
    </cfRule>
    <cfRule type="cellIs" dxfId="330" priority="4" stopIfTrue="1" operator="equal">
      <formula>""</formula>
    </cfRule>
  </conditionalFormatting>
  <conditionalFormatting sqref="O7">
    <cfRule type="cellIs" dxfId="329" priority="1" stopIfTrue="1" operator="notEqual">
      <formula>0</formula>
    </cfRule>
    <cfRule type="cellIs" dxfId="328" priority="2" stopIfTrue="1" operator="equal">
      <formula>""</formula>
    </cfRule>
  </conditionalFormatting>
  <hyperlinks>
    <hyperlink ref="E4" r:id="rId1" display="tbenninger@imf.org" xr:uid="{00000000-0004-0000-0400-000000000000}"/>
    <hyperlink ref="N5" location="Inputs!F40" display="Inputs!F40" xr:uid="{358A45C1-C2D6-4992-9B9E-4FDE5013C016}"/>
    <hyperlink ref="N6" location="Dashboard!R129" display="Dashboard!R129" xr:uid="{DF34D241-11AB-404B-B28E-FF2492D753A0}"/>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0" tint="-0.34998626667073579"/>
    <pageSetUpPr fitToPage="1"/>
  </sheetPr>
  <dimension ref="A1:O40"/>
  <sheetViews>
    <sheetView showGridLines="0" zoomScale="85" zoomScaleNormal="85" workbookViewId="0">
      <selection activeCell="H1" sqref="H1"/>
    </sheetView>
  </sheetViews>
  <sheetFormatPr defaultColWidth="8.85546875" defaultRowHeight="15"/>
  <cols>
    <col min="1" max="1" width="3.7109375" style="4" customWidth="1"/>
    <col min="2" max="2" width="3.85546875" style="4" customWidth="1"/>
    <col min="3" max="3" width="16.7109375" style="4" customWidth="1"/>
    <col min="4" max="4" width="2.7109375" style="4" customWidth="1"/>
    <col min="5" max="5" width="14.85546875" style="4" customWidth="1"/>
    <col min="6" max="6" width="4.7109375" style="4" customWidth="1"/>
    <col min="7" max="7" width="53.7109375" style="4" bestFit="1" customWidth="1"/>
    <col min="8" max="8" width="2.7109375" style="4" customWidth="1"/>
    <col min="9" max="9" width="92.85546875" style="4" bestFit="1" customWidth="1"/>
    <col min="10" max="10" width="2.7109375" style="4" customWidth="1"/>
    <col min="11" max="11" width="53.42578125" style="4" bestFit="1" customWidth="1"/>
    <col min="12" max="12" width="2.7109375" style="4" customWidth="1"/>
    <col min="13" max="13" width="23.140625" style="4" bestFit="1" customWidth="1"/>
    <col min="14" max="15" width="3.7109375" style="4" customWidth="1"/>
    <col min="16" max="16384" width="8.85546875" style="4"/>
  </cols>
  <sheetData>
    <row r="1" spans="1:15" ht="15.75" thickBot="1">
      <c r="A1" s="3" t="e">
        <f ca="1" xml:space="preserve"> RIGHT( CELL("filename",$A$1), LEN( CELL("filename",$A$1)) - SEARCH("]", CELL("filename",$A$1)))</f>
        <v>#VALUE!</v>
      </c>
      <c r="B1" s="3"/>
      <c r="C1" s="3"/>
      <c r="D1" s="3"/>
      <c r="E1" s="15">
        <f ca="1" xml:space="preserve"> ReadMe!D$7</f>
        <v>0</v>
      </c>
      <c r="F1" s="274" t="str">
        <f xml:space="preserve"> ReadMe!E$7</f>
        <v>Checks</v>
      </c>
      <c r="G1" s="3"/>
      <c r="H1" s="3"/>
      <c r="I1" s="3"/>
      <c r="J1" s="3"/>
      <c r="K1" s="3"/>
      <c r="L1" s="3"/>
      <c r="M1" s="3"/>
      <c r="N1" s="3"/>
      <c r="O1" s="3"/>
    </row>
    <row r="2" spans="1:15">
      <c r="A2" s="3"/>
      <c r="N2" s="357"/>
      <c r="O2" s="3"/>
    </row>
    <row r="3" spans="1:15">
      <c r="A3" s="3"/>
      <c r="C3" s="268" t="e">
        <f ca="1" xml:space="preserve"> Terms!A1</f>
        <v>#VALUE!</v>
      </c>
      <c r="E3" s="33" t="e">
        <f ca="1" xml:space="preserve"> Dashboard</f>
        <v>#VALUE!</v>
      </c>
      <c r="G3" s="33" t="str">
        <f xml:space="preserve"> Dashboard!A63</f>
        <v>Dashboard Analytical Routines</v>
      </c>
      <c r="I3" s="961" t="e">
        <f ca="1" xml:space="preserve"> FiscalModel!A1</f>
        <v>#VALUE!</v>
      </c>
      <c r="K3" s="961" t="e">
        <f ca="1" xml:space="preserve"> ProjectCashflows!A1</f>
        <v>#VALUE!</v>
      </c>
      <c r="M3" s="270" t="str">
        <f xml:space="preserve"> Translate!E$741</f>
        <v>Project examples</v>
      </c>
      <c r="N3" s="357"/>
      <c r="O3" s="3"/>
    </row>
    <row r="4" spans="1:15">
      <c r="A4" s="3"/>
      <c r="G4" s="269" t="str">
        <f xml:space="preserve"> Dashboard!A65</f>
        <v>Results for selected fiscal regimes</v>
      </c>
      <c r="I4" s="269" t="str">
        <f xml:space="preserve"> FiscalModel!A4</f>
        <v>Fiscal regime parameters</v>
      </c>
      <c r="K4" s="269" t="str">
        <f xml:space="preserve"> ProjectCashflows!A4</f>
        <v>Data for selected project</v>
      </c>
      <c r="M4" s="269" t="e">
        <f ca="1" xml:space="preserve"> 'Gold(2MMoz)'!A1</f>
        <v>#VALUE!</v>
      </c>
      <c r="N4" s="357"/>
      <c r="O4" s="3"/>
    </row>
    <row r="5" spans="1:15">
      <c r="A5" s="3"/>
      <c r="C5" s="268" t="e">
        <f ca="1" xml:space="preserve"> ReadMe!A1</f>
        <v>#VALUE!</v>
      </c>
      <c r="G5" s="269" t="str">
        <f xml:space="preserve"> Dashboard!A95</f>
        <v>Government revenues profiles under selected regimes</v>
      </c>
      <c r="I5" s="269" t="str">
        <f xml:space="preserve"> FiscalModel!A70</f>
        <v>Decommissioning fund</v>
      </c>
      <c r="K5" s="269" t="str">
        <f xml:space="preserve"> ProjectCashflows!A43</f>
        <v>Model timeline</v>
      </c>
      <c r="M5" s="269" t="e">
        <f ca="1" xml:space="preserve"> 'IronOre(250MMt)'!A1</f>
        <v>#VALUE!</v>
      </c>
      <c r="N5" s="357"/>
      <c r="O5" s="3"/>
    </row>
    <row r="6" spans="1:15">
      <c r="A6" s="3"/>
      <c r="G6" s="269" t="str">
        <f xml:space="preserve"> Dashboard!A121</f>
        <v>Progressivity analysis across a range of mineral prices</v>
      </c>
      <c r="I6" s="269" t="str">
        <f xml:space="preserve"> FiscalModel!A131</f>
        <v>Bonus</v>
      </c>
      <c r="K6" s="269" t="str">
        <f xml:space="preserve"> ProjectCashflows!A51</f>
        <v>Project data with sensitivity factors applied</v>
      </c>
      <c r="M6" s="269" t="e">
        <f ca="1" xml:space="preserve"> 'Coal(250MMt)'!A1</f>
        <v>#VALUE!</v>
      </c>
      <c r="N6" s="357"/>
      <c r="O6" s="3"/>
    </row>
    <row r="7" spans="1:15">
      <c r="A7" s="3"/>
      <c r="C7" s="268" t="e">
        <f ca="1" xml:space="preserve"> $A$1</f>
        <v>#VALUE!</v>
      </c>
      <c r="G7" s="269" t="str">
        <f xml:space="preserve"> Dashboard!A153</f>
        <v>Breakeven mineral price and marginal effective tax rate</v>
      </c>
      <c r="I7" s="269" t="str">
        <f xml:space="preserve"> FiscalModel!A138</f>
        <v>Royalty</v>
      </c>
      <c r="K7" s="782" t="str">
        <f xml:space="preserve"> ProjectCashflows!A$73</f>
        <v>Project cashflows: real</v>
      </c>
      <c r="N7" s="357"/>
      <c r="O7" s="3"/>
    </row>
    <row r="8" spans="1:15">
      <c r="A8" s="3"/>
      <c r="G8" s="269" t="str">
        <f xml:space="preserve"> Dashboard!A$176</f>
        <v>Net present value table: full-cycle, real</v>
      </c>
      <c r="I8" s="269" t="str">
        <f xml:space="preserve"> FiscalModel!A181</f>
        <v>Carbon tax</v>
      </c>
      <c r="K8" s="782" t="str">
        <f xml:space="preserve"> ProjectCashflows!A$101</f>
        <v>Economic limit test (ELT)</v>
      </c>
      <c r="M8" s="269"/>
      <c r="N8" s="357"/>
      <c r="O8" s="3"/>
    </row>
    <row r="9" spans="1:15">
      <c r="A9" s="3"/>
      <c r="C9" s="268" t="e">
        <f ca="1" xml:space="preserve"> Key!A1</f>
        <v>#VALUE!</v>
      </c>
      <c r="I9" s="269" t="str">
        <f xml:space="preserve"> FiscalModel!A255</f>
        <v>Project cashflows after decommissioning, royalty, bonus and carbon tax</v>
      </c>
      <c r="K9" s="782" t="str">
        <f xml:space="preserve"> ProjectCashflows!A$138</f>
        <v>Project cashflows: real, after ELT</v>
      </c>
      <c r="N9" s="357"/>
      <c r="O9" s="3"/>
    </row>
    <row r="10" spans="1:15">
      <c r="A10" s="3"/>
      <c r="G10" s="481" t="e">
        <f ca="1" xml:space="preserve"> Inputs!A1</f>
        <v>#VALUE!</v>
      </c>
      <c r="I10" s="269" t="str">
        <f xml:space="preserve"> FiscalModel!A271</f>
        <v>Project debt financing</v>
      </c>
      <c r="K10" s="800" t="str">
        <f xml:space="preserve"> ProjectCashflows!A$180</f>
        <v>Flags</v>
      </c>
      <c r="M10" s="269"/>
      <c r="N10" s="357"/>
      <c r="O10" s="3"/>
    </row>
    <row r="11" spans="1:15">
      <c r="A11" s="3"/>
      <c r="C11" s="268" t="e">
        <f ca="1" xml:space="preserve"> Translate!A1</f>
        <v>#VALUE!</v>
      </c>
      <c r="G11" s="269" t="str">
        <f xml:space="preserve"> Inputs!A5</f>
        <v>Model timeline</v>
      </c>
      <c r="I11" s="269" t="str">
        <f xml:space="preserve"> FiscalModel!A351</f>
        <v>CIT depreciation</v>
      </c>
      <c r="K11" s="782" t="str">
        <f xml:space="preserve"> ProjectCashflows!A$208</f>
        <v>Inflation Indices</v>
      </c>
      <c r="M11" s="269"/>
      <c r="N11" s="357"/>
      <c r="O11" s="3"/>
    </row>
    <row r="12" spans="1:15">
      <c r="A12" s="3"/>
      <c r="G12" s="269" t="str">
        <f xml:space="preserve"> Inputs!A9</f>
        <v>Project selection and sensitivities</v>
      </c>
      <c r="I12" s="269" t="str">
        <f xml:space="preserve"> FiscalModel!A441</f>
        <v>Corporate income tax</v>
      </c>
      <c r="K12" s="782" t="str">
        <f xml:space="preserve"> ProjectCashflows!A$227</f>
        <v>Project cashflows: nominal, after ELT</v>
      </c>
      <c r="M12" s="269"/>
      <c r="N12" s="357"/>
      <c r="O12" s="3"/>
    </row>
    <row r="13" spans="1:15">
      <c r="A13" s="3"/>
      <c r="C13" s="24" t="e">
        <f ca="1">Track!A1</f>
        <v>#VALUE!</v>
      </c>
      <c r="G13" s="269" t="str">
        <f xml:space="preserve"> Inputs!A43</f>
        <v>Economic assumptions</v>
      </c>
      <c r="I13" s="269" t="str">
        <f xml:space="preserve"> FiscalModel!A480</f>
        <v xml:space="preserve">Resource rent tax: Cumulative cashflow </v>
      </c>
      <c r="K13" s="782" t="str">
        <f xml:space="preserve"> ProjectCashflows!A$269</f>
        <v>GHG emissions from coal combustion</v>
      </c>
      <c r="M13" s="269"/>
      <c r="N13" s="357"/>
      <c r="O13" s="3"/>
    </row>
    <row r="14" spans="1:15">
      <c r="A14" s="3"/>
      <c r="G14" s="269" t="str">
        <f xml:space="preserve"> Inputs!A49</f>
        <v>Evaluation parameters</v>
      </c>
      <c r="I14" s="269" t="str">
        <f xml:space="preserve"> FiscalModel!A$532</f>
        <v>VAT cashflow: Simplified approach assuming VAT is creditable</v>
      </c>
      <c r="K14" s="269" t="e">
        <f ca="1" xml:space="preserve"> ProjectCashflows!A285</f>
        <v>#VALUE!</v>
      </c>
      <c r="M14" s="269"/>
      <c r="N14" s="357"/>
      <c r="O14" s="3"/>
    </row>
    <row r="15" spans="1:15">
      <c r="A15" s="3"/>
      <c r="G15" s="269" t="str">
        <f xml:space="preserve"> Inputs!A67</f>
        <v>Model name and version</v>
      </c>
      <c r="I15" s="269" t="str">
        <f>FiscalModel!A$591</f>
        <v>Mining company cashflows</v>
      </c>
      <c r="M15" s="269"/>
      <c r="N15" s="357"/>
      <c r="O15" s="3"/>
    </row>
    <row r="16" spans="1:15">
      <c r="A16" s="3"/>
      <c r="G16" s="269" t="str">
        <f xml:space="preserve"> Inputs!A73</f>
        <v>Technical parameters</v>
      </c>
      <c r="I16" s="269" t="str">
        <f xml:space="preserve"> FiscalModel!A$611</f>
        <v>Mining company economic limit</v>
      </c>
      <c r="K16" s="271" t="e">
        <f ca="1" xml:space="preserve"> Analysis!A1</f>
        <v>#VALUE!</v>
      </c>
      <c r="M16" s="269"/>
      <c r="N16" s="357"/>
      <c r="O16" s="3"/>
    </row>
    <row r="17" spans="1:15">
      <c r="A17" s="3"/>
      <c r="I17" s="269" t="str">
        <f xml:space="preserve"> FiscalModel!A625</f>
        <v>State participation (Share of mining company equity)</v>
      </c>
      <c r="K17" s="269" t="str">
        <f xml:space="preserve"> Analysis!A4</f>
        <v>Analysis: nominal, full-cycle</v>
      </c>
      <c r="N17" s="357"/>
      <c r="O17" s="3"/>
    </row>
    <row r="18" spans="1:15">
      <c r="A18" s="3"/>
      <c r="I18" s="269" t="str">
        <f xml:space="preserve"> FiscalModel!A690</f>
        <v>State participation (Share of mining company loan)</v>
      </c>
      <c r="K18" s="269" t="str">
        <f xml:space="preserve"> Analysis!A67</f>
        <v>Analysis: full-cycle, real</v>
      </c>
      <c r="N18" s="357"/>
      <c r="O18" s="3"/>
    </row>
    <row r="19" spans="1:15">
      <c r="A19" s="3"/>
      <c r="I19" s="269" t="str">
        <f xml:space="preserve"> FiscalModel!A712</f>
        <v>Parent company cashflows</v>
      </c>
      <c r="K19" s="269" t="str">
        <f xml:space="preserve"> Analysis!A208</f>
        <v>Analysis: FID forward, real</v>
      </c>
      <c r="N19" s="357"/>
      <c r="O19" s="3"/>
    </row>
    <row r="20" spans="1:15">
      <c r="A20" s="3"/>
      <c r="I20" s="269" t="str">
        <f xml:space="preserve"> FiscalModel!A730</f>
        <v>Government revenues</v>
      </c>
      <c r="K20" s="269" t="e">
        <f ca="1" xml:space="preserve"> Analysis!A310</f>
        <v>#VALUE!</v>
      </c>
      <c r="N20" s="357"/>
      <c r="O20" s="3"/>
    </row>
    <row r="21" spans="1:15">
      <c r="A21" s="3"/>
      <c r="I21" s="269" t="str">
        <f xml:space="preserve"> FiscalModel!A776</f>
        <v>Cashflow reconciliation</v>
      </c>
      <c r="N21" s="357"/>
      <c r="O21" s="3"/>
    </row>
    <row r="22" spans="1:15">
      <c r="A22" s="3"/>
      <c r="I22" s="269" t="e">
        <f ca="1" xml:space="preserve"> FiscalModel!A791</f>
        <v>#VALUE!</v>
      </c>
      <c r="K22" s="271" t="e">
        <f ca="1" xml:space="preserve"> Charts!A1</f>
        <v>#VALUE!</v>
      </c>
      <c r="N22" s="357"/>
      <c r="O22" s="3"/>
    </row>
    <row r="23" spans="1:15">
      <c r="A23" s="3"/>
      <c r="I23" s="269"/>
      <c r="K23" s="269" t="str">
        <f xml:space="preserve"> Charts!A4</f>
        <v>Government revenues</v>
      </c>
      <c r="N23" s="357"/>
      <c r="O23" s="3"/>
    </row>
    <row r="24" spans="1:15">
      <c r="A24" s="3"/>
      <c r="K24" s="269" t="str">
        <f xml:space="preserve"> Charts!A71</f>
        <v>Project revenues and costs</v>
      </c>
      <c r="N24" s="357"/>
      <c r="O24" s="3"/>
    </row>
    <row r="25" spans="1:15">
      <c r="A25" s="3"/>
      <c r="F25" s="7"/>
      <c r="K25" s="269" t="str">
        <f xml:space="preserve"> Charts!A112</f>
        <v>Production Versus Unit Operating Costs</v>
      </c>
      <c r="N25" s="357"/>
      <c r="O25" s="3"/>
    </row>
    <row r="26" spans="1:15">
      <c r="A26" s="3"/>
      <c r="F26" s="7"/>
      <c r="K26" s="269" t="e">
        <f ca="1" xml:space="preserve"> Charts!A150</f>
        <v>#VALUE!</v>
      </c>
      <c r="N26" s="357"/>
      <c r="O26" s="3"/>
    </row>
    <row r="27" spans="1:15">
      <c r="A27" s="3"/>
      <c r="F27" s="7"/>
      <c r="K27" s="269"/>
      <c r="N27" s="357"/>
      <c r="O27" s="3"/>
    </row>
    <row r="28" spans="1:15">
      <c r="A28" s="3"/>
      <c r="B28" s="3"/>
      <c r="C28" s="3"/>
      <c r="D28" s="3"/>
      <c r="E28" s="3"/>
      <c r="F28" s="3"/>
      <c r="G28" s="3"/>
      <c r="H28" s="3"/>
      <c r="I28" s="3"/>
      <c r="J28" s="3"/>
      <c r="K28" s="3"/>
      <c r="L28" s="3"/>
      <c r="M28" s="3"/>
      <c r="N28" s="3"/>
      <c r="O28" s="3"/>
    </row>
    <row r="30" spans="1:15">
      <c r="B30" s="906" t="str">
        <f xml:space="preserve"> Translate!E$742</f>
        <v xml:space="preserve">To: </v>
      </c>
      <c r="G30" s="6" t="str">
        <f xml:space="preserve"> Translate!E$743</f>
        <v>Go to sheet:</v>
      </c>
    </row>
    <row r="31" spans="1:15">
      <c r="B31" s="905" t="str">
        <f xml:space="preserve"> Translate!E733</f>
        <v>Enter Fiscal Regime Assumptions</v>
      </c>
      <c r="G31" s="957" t="e">
        <f ca="1">Inputs!A1</f>
        <v>#VALUE!</v>
      </c>
    </row>
    <row r="32" spans="1:15">
      <c r="B32" s="905" t="str">
        <f xml:space="preserve"> Translate!E734</f>
        <v>Enter Project Data</v>
      </c>
      <c r="G32" s="958" t="e">
        <f ca="1">'Gold(2MMoz)'!A$1</f>
        <v>#VALUE!</v>
      </c>
    </row>
    <row r="33" spans="2:8">
      <c r="B33" s="905"/>
      <c r="G33" s="958" t="e">
        <f ca="1" xml:space="preserve"> 'IronOre(250MMt)'!A$1</f>
        <v>#VALUE!</v>
      </c>
    </row>
    <row r="34" spans="2:8">
      <c r="B34" s="905"/>
      <c r="G34" s="958" t="e">
        <f ca="1" xml:space="preserve"> 'Coal(250MMt)'!A$1</f>
        <v>#VALUE!</v>
      </c>
    </row>
    <row r="35" spans="2:8">
      <c r="B35" s="905" t="str">
        <f xml:space="preserve"> Translate!E735</f>
        <v>Select fiscal regime</v>
      </c>
      <c r="G35" s="957" t="e">
        <f ca="1" xml:space="preserve"> Dashboard!A$1</f>
        <v>#VALUE!</v>
      </c>
      <c r="H35" s="956"/>
    </row>
    <row r="36" spans="2:8">
      <c r="B36" s="905" t="str">
        <f xml:space="preserve"> Translate!E736</f>
        <v>Select project</v>
      </c>
      <c r="C36" s="5"/>
      <c r="F36" s="7"/>
      <c r="G36" s="957" t="e">
        <f ca="1" xml:space="preserve"> Dashboard!A$1</f>
        <v>#VALUE!</v>
      </c>
      <c r="H36" s="956"/>
    </row>
    <row r="37" spans="2:8">
      <c r="B37" s="905" t="str">
        <f xml:space="preserve"> Translate!E737</f>
        <v>Change mineral price</v>
      </c>
      <c r="C37" s="1040"/>
      <c r="F37" s="7"/>
      <c r="G37" s="957" t="e">
        <f ca="1" xml:space="preserve"> Dashboard!A$1</f>
        <v>#VALUE!</v>
      </c>
      <c r="H37" s="956"/>
    </row>
    <row r="38" spans="2:8">
      <c r="B38" s="905" t="str">
        <f xml:space="preserve"> Translate!E738</f>
        <v>Review results</v>
      </c>
      <c r="C38" s="1040"/>
      <c r="F38" s="7"/>
      <c r="G38" s="957" t="e">
        <f ca="1" xml:space="preserve"> Dashboard!A$1</f>
        <v>#VALUE!</v>
      </c>
      <c r="H38" s="956"/>
    </row>
    <row r="39" spans="2:8">
      <c r="B39" s="905" t="str">
        <f xml:space="preserve"> Translate!E739</f>
        <v>Review detailed results</v>
      </c>
      <c r="F39" s="7"/>
      <c r="G39" s="959" t="e">
        <f ca="1">Analysis!A1</f>
        <v>#VALUE!</v>
      </c>
    </row>
    <row r="40" spans="2:8">
      <c r="B40" s="905" t="str">
        <f xml:space="preserve"> Translate!E740</f>
        <v>Analytical routines</v>
      </c>
      <c r="F40" s="7"/>
      <c r="G40" s="957" t="str">
        <f xml:space="preserve"> Dashboard!A$63</f>
        <v>Dashboard Analytical Routines</v>
      </c>
    </row>
  </sheetData>
  <conditionalFormatting sqref="E1">
    <cfRule type="cellIs" dxfId="327" priority="11" stopIfTrue="1" operator="notEqual">
      <formula>0</formula>
    </cfRule>
    <cfRule type="cellIs" dxfId="326" priority="12" stopIfTrue="1" operator="equal">
      <formula>""</formula>
    </cfRule>
  </conditionalFormatting>
  <conditionalFormatting sqref="E1">
    <cfRule type="cellIs" dxfId="325" priority="9" stopIfTrue="1" operator="notEqual">
      <formula>0</formula>
    </cfRule>
    <cfRule type="cellIs" dxfId="324" priority="10" stopIfTrue="1" operator="equal">
      <formula>""</formula>
    </cfRule>
  </conditionalFormatting>
  <hyperlinks>
    <hyperlink ref="G31" location="Inputs!A1" display="Inputs!A1" xr:uid="{DAB4D4C5-70D1-4889-8FCB-15CA9FEFDDEA}"/>
    <hyperlink ref="G32" location="'Gold(2MMoz)'!A1" display="'Gold(2MMoz)'!A1" xr:uid="{E3504130-43DB-4189-AF90-B02917FAC9F2}"/>
    <hyperlink ref="G33" location="'IronOre(250MMt)'!A1" display="'IronOre(250MMt)'!A1" xr:uid="{7E28332C-D6FF-42F3-8E82-5BF5F6901C8C}"/>
    <hyperlink ref="G34" location="'Coal(250MMt)'!A1" display="'Coal(250MMt)'!A1" xr:uid="{04004098-6A18-4914-92D3-7BCE088C1752}"/>
    <hyperlink ref="G39" location="Analysis!A1" display="Analysis!A1" xr:uid="{EA30C692-F597-4717-968B-82056029F729}"/>
    <hyperlink ref="G40" location="Dashboard!A63" display="Dashboard!A63" xr:uid="{AB81D86D-2127-46D9-9736-B2F11EB9267C}"/>
  </hyperlinks>
  <pageMargins left="0.7" right="0.7" top="0.75" bottom="0.75" header="0.3" footer="0.3"/>
  <pageSetup scale="74" orientation="landscape"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A6A6A6"/>
    <pageSetUpPr fitToPage="1"/>
  </sheetPr>
  <dimension ref="A1:H79"/>
  <sheetViews>
    <sheetView showGridLines="0" topLeftCell="A39" zoomScale="70" zoomScaleNormal="70" workbookViewId="0">
      <selection activeCell="H50" sqref="H50"/>
    </sheetView>
  </sheetViews>
  <sheetFormatPr defaultColWidth="14.5703125" defaultRowHeight="15.75" customHeight="1"/>
  <cols>
    <col min="1" max="3" width="1.7109375" style="19" customWidth="1"/>
    <col min="4" max="4" width="30.7109375" style="20" customWidth="1"/>
    <col min="5" max="5" width="14.5703125" style="20"/>
    <col min="6" max="7" width="11.7109375" style="20" customWidth="1"/>
    <col min="8" max="8" width="51.140625" style="20" customWidth="1"/>
    <col min="9" max="16384" width="14.5703125" style="20"/>
  </cols>
  <sheetData>
    <row r="1" spans="1:8" ht="15" customHeight="1">
      <c r="A1" s="3" t="e">
        <f ca="1" xml:space="preserve"> RIGHT( CELL("filename",$A$1), LEN( CELL("filename",$A$1)) - SEARCH("]", CELL("filename",$A$1)))</f>
        <v>#VALUE!</v>
      </c>
      <c r="B1" s="3"/>
      <c r="C1" s="3"/>
      <c r="D1" s="3"/>
      <c r="E1" s="3"/>
      <c r="F1" s="3"/>
      <c r="G1" s="3"/>
      <c r="H1" s="3"/>
    </row>
    <row r="2" spans="1:8" ht="15.75" customHeight="1">
      <c r="A2" s="1041"/>
      <c r="B2" s="1041"/>
      <c r="C2" s="1041"/>
      <c r="D2" s="21"/>
      <c r="E2" s="1041"/>
      <c r="F2" s="1041"/>
      <c r="G2" s="1041"/>
      <c r="H2" s="1041"/>
    </row>
    <row r="3" spans="1:8" ht="15.75" customHeight="1">
      <c r="A3" s="1041"/>
      <c r="B3" s="1041"/>
      <c r="C3" s="1041"/>
      <c r="D3" s="1042"/>
      <c r="E3" s="1041"/>
      <c r="F3" s="1041"/>
      <c r="G3" s="1041"/>
      <c r="H3" s="1041"/>
    </row>
    <row r="4" spans="1:8" ht="15.75" customHeight="1">
      <c r="A4" s="1041"/>
      <c r="B4" s="1041"/>
      <c r="C4" s="1041"/>
      <c r="D4" s="1042"/>
      <c r="E4" s="1041"/>
      <c r="F4" s="1041"/>
      <c r="G4" s="1041"/>
      <c r="H4" s="1041"/>
    </row>
    <row r="8" spans="1:8" ht="15.75" customHeight="1">
      <c r="A8" s="902" t="str">
        <f xml:space="preserve"> Translate!E$732</f>
        <v>Key</v>
      </c>
      <c r="D8" s="1041"/>
      <c r="E8" s="1041"/>
      <c r="F8" s="1041"/>
      <c r="G8" s="1041"/>
      <c r="H8" s="1041"/>
    </row>
    <row r="9" spans="1:8" ht="15.75" customHeight="1">
      <c r="B9" s="902" t="str">
        <f xml:space="preserve"> Translate!E$688</f>
        <v>Sheet tabs</v>
      </c>
      <c r="D9" s="21"/>
      <c r="E9" s="1041"/>
      <c r="F9" s="1041"/>
      <c r="G9" s="1041"/>
      <c r="H9" s="1041"/>
    </row>
    <row r="10" spans="1:8" ht="15.75" customHeight="1">
      <c r="D10" s="253" t="str">
        <f>Translate!$E$312</f>
        <v>Dashboard</v>
      </c>
      <c r="E10" s="1041"/>
      <c r="F10" s="1041"/>
      <c r="G10" s="1041"/>
      <c r="H10" s="603" t="str">
        <f>Translate!$E$701</f>
        <v>White</v>
      </c>
    </row>
    <row r="11" spans="1:8" ht="5.25" customHeight="1">
      <c r="D11" s="21"/>
      <c r="E11" s="1041"/>
      <c r="F11" s="1041"/>
      <c r="G11" s="1041"/>
      <c r="H11" s="1041"/>
    </row>
    <row r="12" spans="1:8" ht="15.75" customHeight="1">
      <c r="D12" s="258" t="str">
        <f>Translate!$E$313</f>
        <v>Input sheets</v>
      </c>
      <c r="E12" s="1041"/>
      <c r="F12" s="1041"/>
      <c r="G12" s="1041"/>
      <c r="H12" s="962" t="str">
        <f>Translate!$E$702</f>
        <v>Light yellow</v>
      </c>
    </row>
    <row r="13" spans="1:8" ht="5.25" customHeight="1">
      <c r="D13" s="1042"/>
      <c r="E13" s="1041"/>
      <c r="F13" s="1041"/>
      <c r="G13" s="1041"/>
      <c r="H13" s="22"/>
    </row>
    <row r="14" spans="1:8" ht="15.75" customHeight="1">
      <c r="D14" s="258" t="str">
        <f>Translate!$E$314</f>
        <v>Calculation sheets</v>
      </c>
      <c r="E14" s="1041"/>
      <c r="F14" s="1041"/>
      <c r="G14" s="1041"/>
      <c r="H14" s="604" t="str">
        <f>Translate!$E$703</f>
        <v>Transparent/light gray</v>
      </c>
    </row>
    <row r="15" spans="1:8" ht="5.25" customHeight="1">
      <c r="D15" s="1042"/>
      <c r="E15" s="1041"/>
      <c r="F15" s="1041"/>
      <c r="G15" s="1041"/>
      <c r="H15" s="22"/>
    </row>
    <row r="16" spans="1:8" ht="15.75" customHeight="1">
      <c r="D16" s="258" t="str">
        <f>Translate!$E$315</f>
        <v>Key output sheets</v>
      </c>
      <c r="E16" s="1041"/>
      <c r="F16" s="1041"/>
      <c r="G16" s="1041"/>
      <c r="H16" s="252" t="str">
        <f>Translate!$E$704</f>
        <v>Pale blue</v>
      </c>
    </row>
    <row r="17" spans="2:8" ht="5.25" customHeight="1">
      <c r="D17" s="1042"/>
      <c r="E17" s="1041"/>
      <c r="F17" s="1041"/>
      <c r="G17" s="1041"/>
      <c r="H17" s="22"/>
    </row>
    <row r="18" spans="2:8" ht="15.75" customHeight="1">
      <c r="D18" s="258" t="str">
        <f>Translate!$E$316</f>
        <v>Documentation sheets</v>
      </c>
      <c r="E18" s="1041"/>
      <c r="F18" s="1041"/>
      <c r="G18" s="1041"/>
      <c r="H18" s="23" t="str">
        <f>Translate!$E$705</f>
        <v>Dark gray</v>
      </c>
    </row>
    <row r="19" spans="2:8" ht="5.25" customHeight="1">
      <c r="D19" s="1042"/>
      <c r="E19" s="1041"/>
      <c r="F19" s="1041"/>
      <c r="G19" s="1041"/>
      <c r="H19" s="22"/>
    </row>
    <row r="20" spans="2:8" ht="15.75" customHeight="1">
      <c r="D20" s="258" t="str">
        <f>Translate!$E$317</f>
        <v>Quality control sheets</v>
      </c>
      <c r="E20" s="1041"/>
      <c r="F20" s="1041"/>
      <c r="G20" s="1041"/>
      <c r="H20" s="24" t="str">
        <f>Translate!$E$706</f>
        <v>Turquoise</v>
      </c>
    </row>
    <row r="21" spans="2:8" ht="15.75" customHeight="1">
      <c r="D21" s="21"/>
      <c r="E21" s="1041"/>
      <c r="F21" s="1041"/>
      <c r="G21" s="1041"/>
      <c r="H21" s="1041"/>
    </row>
    <row r="22" spans="2:8" ht="15.75" customHeight="1">
      <c r="B22" s="902" t="str">
        <f xml:space="preserve"> Translate!E$689</f>
        <v>Font colour only</v>
      </c>
      <c r="D22" s="21"/>
      <c r="E22" s="1041"/>
      <c r="F22" s="1041"/>
      <c r="G22" s="1041"/>
      <c r="H22" s="1041"/>
    </row>
    <row r="23" spans="2:8" ht="15.75" customHeight="1">
      <c r="D23" s="1042" t="str">
        <f>Translate!$E$318</f>
        <v>Imported from another sheet</v>
      </c>
      <c r="E23" s="1041"/>
      <c r="F23" s="1041"/>
      <c r="G23" s="1041"/>
      <c r="H23" s="25" t="str">
        <f>Translate!$E$707</f>
        <v>Blue font</v>
      </c>
    </row>
    <row r="24" spans="2:8" ht="15.75" customHeight="1">
      <c r="D24" s="1042" t="str">
        <f>Translate!$E$319</f>
        <v>Exported to another sheet (except from Input sheets)</v>
      </c>
      <c r="E24" s="1041"/>
      <c r="F24" s="1041"/>
      <c r="G24" s="1041"/>
      <c r="H24" s="26" t="str">
        <f>Translate!$E$708</f>
        <v xml:space="preserve">Red font </v>
      </c>
    </row>
    <row r="25" spans="2:8" ht="15.75" customHeight="1">
      <c r="D25" s="1042" t="str">
        <f>Translate!$E$320</f>
        <v>Within sheet link or calculation</v>
      </c>
      <c r="E25" s="1041"/>
      <c r="F25" s="1041"/>
      <c r="G25" s="1041"/>
      <c r="H25" s="27" t="str">
        <f>Translate!$E$709</f>
        <v>Black font</v>
      </c>
    </row>
    <row r="26" spans="2:8" ht="15.75" customHeight="1">
      <c r="D26" s="1042" t="str">
        <f>Translate!$E$321</f>
        <v>Calling fiscal parameter from fiscal regime inputs</v>
      </c>
      <c r="E26" s="1041"/>
      <c r="F26" s="1041"/>
      <c r="G26" s="1041"/>
      <c r="H26" s="301" t="str">
        <f>Translate!$E$710</f>
        <v>Green font</v>
      </c>
    </row>
    <row r="27" spans="2:8" ht="15.75" customHeight="1">
      <c r="D27" s="21"/>
      <c r="E27" s="1041"/>
      <c r="F27" s="1041"/>
      <c r="G27" s="1041"/>
      <c r="H27" s="1041"/>
    </row>
    <row r="28" spans="2:8" ht="15.75" customHeight="1">
      <c r="B28" s="903" t="str">
        <f xml:space="preserve"> Translate!E$690</f>
        <v>Font + shade combinations</v>
      </c>
      <c r="D28" s="21"/>
      <c r="E28" s="1041"/>
      <c r="F28" s="1041"/>
      <c r="G28" s="1041"/>
      <c r="H28" s="1041"/>
    </row>
    <row r="29" spans="2:8" ht="15.75" customHeight="1">
      <c r="D29" s="1042" t="str">
        <f>Translate!$E$322</f>
        <v>Inputs</v>
      </c>
      <c r="E29" s="1041"/>
      <c r="F29" s="1041"/>
      <c r="G29" s="1041"/>
      <c r="H29" s="605" t="str">
        <f>Translate!$E$711</f>
        <v>Black font + Light Yellow shade</v>
      </c>
    </row>
    <row r="30" spans="2:8" ht="5.25" customHeight="1">
      <c r="D30" s="1042"/>
      <c r="E30" s="1041"/>
      <c r="F30" s="1041"/>
      <c r="G30" s="1041"/>
      <c r="H30" s="4"/>
    </row>
    <row r="31" spans="2:8" ht="15.75" customHeight="1">
      <c r="D31" s="258" t="str">
        <f>Translate!$E$323</f>
        <v>Calculations</v>
      </c>
      <c r="E31" s="1041"/>
      <c r="F31" s="1041"/>
      <c r="G31" s="1041"/>
      <c r="H31" s="604" t="str">
        <f>Translate!$E$712</f>
        <v>Transparent</v>
      </c>
    </row>
    <row r="32" spans="2:8" ht="5.25" customHeight="1">
      <c r="D32" s="1042"/>
      <c r="E32" s="1041"/>
      <c r="F32" s="1041"/>
      <c r="G32" s="1041"/>
      <c r="H32" s="22"/>
    </row>
    <row r="33" spans="2:8" ht="15.75" customHeight="1">
      <c r="D33" s="1042" t="str">
        <f>Translate!$E$324</f>
        <v>Blocks of data linked by arrays OR Indirect formula</v>
      </c>
      <c r="E33" s="1041"/>
      <c r="F33" s="1041"/>
      <c r="G33" s="1041"/>
      <c r="H33" s="28" t="str">
        <f>Translate!$E$713</f>
        <v>Blue font and blue shade</v>
      </c>
    </row>
    <row r="34" spans="2:8" ht="5.25" customHeight="1">
      <c r="D34" s="1042"/>
      <c r="E34" s="1041"/>
      <c r="F34" s="1041"/>
      <c r="G34" s="1041"/>
      <c r="H34" s="22"/>
    </row>
    <row r="35" spans="2:8" ht="15.75" customHeight="1">
      <c r="D35" s="1042" t="str">
        <f>Translate!$E$325</f>
        <v xml:space="preserve">Within-worksheet counter-flow </v>
      </c>
      <c r="E35" s="1041"/>
      <c r="F35" s="1041"/>
      <c r="G35" s="1041"/>
      <c r="H35" s="606" t="str">
        <f>Translate!$E$714</f>
        <v>Black font + light gray shade on entire row</v>
      </c>
    </row>
    <row r="36" spans="2:8" ht="5.25" customHeight="1">
      <c r="D36" s="1042"/>
      <c r="E36" s="1041"/>
      <c r="F36" s="1041"/>
      <c r="G36" s="1041"/>
      <c r="H36" s="22"/>
    </row>
    <row r="37" spans="2:8" ht="15.75" customHeight="1">
      <c r="D37" s="1042" t="str">
        <f>Translate!$E$326</f>
        <v>Empty cells being deliberately referenced</v>
      </c>
      <c r="E37" s="1041"/>
      <c r="F37" s="1041"/>
      <c r="G37" s="1041"/>
      <c r="H37" s="607" t="str">
        <f>Translate!$E$715</f>
        <v>Empty cell with light gray shade</v>
      </c>
    </row>
    <row r="38" spans="2:8" ht="5.25" customHeight="1">
      <c r="D38" s="1042"/>
      <c r="E38" s="1041"/>
      <c r="F38" s="1041"/>
      <c r="G38" s="1041"/>
      <c r="H38" s="22"/>
    </row>
    <row r="39" spans="2:8" ht="15.75" customHeight="1">
      <c r="D39" s="1042" t="str">
        <f>Translate!$E$327</f>
        <v>Section separator</v>
      </c>
      <c r="E39" s="1041"/>
      <c r="F39" s="1041"/>
      <c r="G39" s="1041"/>
      <c r="H39" s="36" t="str">
        <f>Translate!$E$716</f>
        <v>White font + pale blue shade on entire row</v>
      </c>
    </row>
    <row r="40" spans="2:8" ht="15.75" customHeight="1">
      <c r="D40" s="21"/>
      <c r="E40" s="1041"/>
      <c r="F40" s="1041"/>
      <c r="G40" s="1041"/>
      <c r="H40" s="1041"/>
    </row>
    <row r="41" spans="2:8" ht="15.75" customHeight="1">
      <c r="B41" s="902" t="str">
        <f xml:space="preserve"> Translate!E$691</f>
        <v>Error checks &amp; alerts</v>
      </c>
      <c r="D41" s="1042"/>
      <c r="E41" s="1041"/>
      <c r="F41" s="1041"/>
      <c r="G41" s="1041"/>
      <c r="H41" s="1041"/>
    </row>
    <row r="42" spans="2:8" ht="15.75" customHeight="1">
      <c r="D42" s="1042" t="str">
        <f>Translate!$E$328</f>
        <v>OK</v>
      </c>
      <c r="E42" s="1041"/>
      <c r="F42" s="1041"/>
      <c r="G42" s="1041"/>
      <c r="H42" s="29" t="str">
        <f>Translate!$E$717</f>
        <v>Green shade</v>
      </c>
    </row>
    <row r="43" spans="2:8" ht="5.25" customHeight="1">
      <c r="D43" s="1042"/>
      <c r="E43" s="1041"/>
      <c r="F43" s="1041"/>
      <c r="G43" s="1041"/>
      <c r="H43" s="22"/>
    </row>
    <row r="44" spans="2:8" ht="15.75" customHeight="1">
      <c r="D44" s="1042" t="str">
        <f>Translate!$E$329</f>
        <v>Error</v>
      </c>
      <c r="E44" s="1041"/>
      <c r="F44" s="1041"/>
      <c r="G44" s="1041"/>
      <c r="H44" s="30" t="str">
        <f>Translate!$E$718</f>
        <v>Red shade</v>
      </c>
    </row>
    <row r="45" spans="2:8" ht="5.25" customHeight="1">
      <c r="D45" s="1042"/>
      <c r="E45" s="1041"/>
      <c r="F45" s="1041"/>
      <c r="G45" s="1041"/>
      <c r="H45" s="22"/>
    </row>
    <row r="46" spans="2:8" ht="15.75" customHeight="1">
      <c r="D46" s="1041" t="str">
        <f>Translate!$E$330</f>
        <v>Alert</v>
      </c>
      <c r="E46" s="1041"/>
      <c r="F46" s="1041"/>
      <c r="G46" s="1041"/>
      <c r="H46" s="31" t="str">
        <f>Translate!$E$719</f>
        <v>Gold shade</v>
      </c>
    </row>
    <row r="49" spans="1:8" ht="15.75" customHeight="1">
      <c r="A49" s="904" t="str">
        <f xml:space="preserve"> Translate!E$692</f>
        <v>Abbreviations</v>
      </c>
      <c r="B49" s="32"/>
      <c r="C49" s="32"/>
      <c r="D49" s="1041"/>
      <c r="E49" s="1041"/>
      <c r="F49" s="1041"/>
      <c r="G49" s="1041"/>
      <c r="H49" s="1041"/>
    </row>
    <row r="50" spans="1:8" ht="15.75" customHeight="1">
      <c r="A50" s="1041"/>
      <c r="B50" s="1041"/>
      <c r="C50" s="1041"/>
      <c r="D50" s="1043" t="str">
        <f>Translate!$E$331</f>
        <v>Average effective tax rate</v>
      </c>
      <c r="E50" s="1041"/>
      <c r="F50" s="1041"/>
      <c r="G50" s="1041"/>
      <c r="H50" s="1043" t="str">
        <f xml:space="preserve"> Translate!E$512</f>
        <v>AETR</v>
      </c>
    </row>
    <row r="51" spans="1:8" ht="15.75" customHeight="1">
      <c r="D51" s="1043" t="str">
        <f xml:space="preserve"> Translate!E$752</f>
        <v>British thermal units</v>
      </c>
      <c r="E51" s="1041"/>
      <c r="F51" s="1041"/>
      <c r="G51" s="1041"/>
      <c r="H51" s="1043" t="str">
        <f xml:space="preserve"> Translate!E$751</f>
        <v>Btu</v>
      </c>
    </row>
    <row r="52" spans="1:8" ht="16.5" customHeight="1">
      <c r="A52" s="1041"/>
      <c r="B52" s="1041"/>
      <c r="C52" s="1041"/>
      <c r="D52" s="1043" t="str">
        <f>Translate!$E$332</f>
        <v>Carbon dioxide equivalent</v>
      </c>
      <c r="E52" s="1041"/>
      <c r="F52" s="1041"/>
      <c r="G52" s="1041"/>
      <c r="H52" s="1043" t="str">
        <f xml:space="preserve"> Translate!E$731</f>
        <v>CO2 eq</v>
      </c>
    </row>
    <row r="53" spans="1:8" ht="15.75" customHeight="1">
      <c r="A53" s="1041"/>
      <c r="B53" s="1041"/>
      <c r="C53" s="1041"/>
      <c r="D53" s="1043" t="str">
        <f xml:space="preserve"> Translate!E$30</f>
        <v>Corporate income tax</v>
      </c>
      <c r="E53" s="1041"/>
      <c r="F53" s="1041"/>
      <c r="G53" s="1041"/>
      <c r="H53" s="1043" t="str">
        <f xml:space="preserve"> Translate!E$31</f>
        <v>CIT</v>
      </c>
    </row>
    <row r="54" spans="1:8" ht="15.75" customHeight="1">
      <c r="A54" s="1041"/>
      <c r="B54" s="1041"/>
      <c r="C54" s="1041"/>
      <c r="D54" s="1043" t="str">
        <f>Translate!$E$333</f>
        <v>Economic limit</v>
      </c>
      <c r="E54" s="1041"/>
      <c r="F54" s="1041"/>
      <c r="G54" s="1041"/>
      <c r="H54" s="1043" t="str">
        <f xml:space="preserve"> Translate!E$455</f>
        <v>EL</v>
      </c>
    </row>
    <row r="55" spans="1:8" ht="15.75" customHeight="1">
      <c r="A55" s="1041"/>
      <c r="B55" s="1041"/>
      <c r="C55" s="1041"/>
      <c r="D55" s="1043" t="str">
        <f>Translate!$E$334</f>
        <v>Economic limit test</v>
      </c>
      <c r="E55" s="1041"/>
      <c r="F55" s="1041"/>
      <c r="G55" s="1041"/>
      <c r="H55" s="1043" t="str">
        <f xml:space="preserve"> Translate!E$335</f>
        <v>ELT</v>
      </c>
    </row>
    <row r="56" spans="1:8" ht="15.75" customHeight="1">
      <c r="A56" s="1041"/>
      <c r="B56" s="1041"/>
      <c r="C56" s="1041"/>
      <c r="D56" s="1043" t="str">
        <f>Translate!$E$336</f>
        <v>Final investment decision (start of development)</v>
      </c>
      <c r="E56" s="1041"/>
      <c r="F56" s="1041"/>
      <c r="G56" s="1041"/>
      <c r="H56" s="1043" t="str">
        <f xml:space="preserve"> Translate!E$563</f>
        <v>FID</v>
      </c>
    </row>
    <row r="57" spans="1:8" ht="15.75" customHeight="1">
      <c r="A57" s="1041"/>
      <c r="B57" s="1041"/>
      <c r="C57" s="1041"/>
      <c r="D57" s="1043" t="str">
        <f xml:space="preserve"> Translate!E$758</f>
        <v>Greenhouse gas emissions</v>
      </c>
      <c r="E57" s="258"/>
      <c r="F57" s="258"/>
      <c r="G57" s="258"/>
      <c r="H57" s="1043" t="str">
        <f xml:space="preserve"> Translate!E$759</f>
        <v>GHG</v>
      </c>
    </row>
    <row r="58" spans="1:8" ht="15.75" customHeight="1">
      <c r="D58" s="1043" t="str">
        <f>Translate!$E$338</f>
        <v>Grams</v>
      </c>
      <c r="E58" s="1041"/>
      <c r="F58" s="1041"/>
      <c r="G58" s="1041"/>
      <c r="H58" s="1043" t="str">
        <f xml:space="preserve"> Translate!E$339</f>
        <v>g</v>
      </c>
    </row>
    <row r="59" spans="1:8" ht="15.75" customHeight="1">
      <c r="D59" s="1043" t="str">
        <f>Translate!$E$340</f>
        <v>Internal rate of return</v>
      </c>
      <c r="E59" s="1041"/>
      <c r="F59" s="1041"/>
      <c r="G59" s="1041"/>
      <c r="H59" s="1043" t="str">
        <f xml:space="preserve"> Translate!E$13</f>
        <v>IRR</v>
      </c>
    </row>
    <row r="60" spans="1:8" ht="15.75" customHeight="1">
      <c r="D60" s="1043" t="str">
        <f xml:space="preserve"> Translate!E$536</f>
        <v>London Interbank Offered Rate</v>
      </c>
      <c r="E60" s="1041"/>
      <c r="F60" s="1041"/>
      <c r="G60" s="1041"/>
      <c r="H60" s="1043" t="str">
        <f xml:space="preserve"> Translate!K$537</f>
        <v>LIBOR</v>
      </c>
    </row>
    <row r="61" spans="1:8" ht="15.75" customHeight="1">
      <c r="D61" s="1043" t="str">
        <f>Translate!$E$341</f>
        <v>Megajoules</v>
      </c>
      <c r="E61" s="1041"/>
      <c r="F61" s="1041"/>
      <c r="G61" s="1041"/>
      <c r="H61" s="1043" t="str">
        <f xml:space="preserve"> Translate!E$342</f>
        <v>MJ</v>
      </c>
    </row>
    <row r="62" spans="1:8" ht="15.75" customHeight="1">
      <c r="D62" s="1043" t="str">
        <f>Translate!$E$343</f>
        <v>Million</v>
      </c>
      <c r="E62" s="1041"/>
      <c r="F62" s="1041"/>
      <c r="G62" s="1041"/>
      <c r="H62" s="1043" t="str">
        <f xml:space="preserve"> Translate!E$344</f>
        <v>mn</v>
      </c>
    </row>
    <row r="63" spans="1:8" ht="15.75" customHeight="1">
      <c r="D63" s="1043" t="str">
        <f>Translate!$E$345</f>
        <v>Net present value</v>
      </c>
      <c r="E63" s="1041"/>
      <c r="F63" s="1041"/>
      <c r="G63" s="1041"/>
      <c r="H63" s="1043" t="str">
        <f xml:space="preserve"> Translate!E$8</f>
        <v>NPV</v>
      </c>
    </row>
    <row r="64" spans="1:8" ht="15.75" customHeight="1">
      <c r="D64" s="1043" t="str">
        <f>Translate!$E$346</f>
        <v>Percent per year</v>
      </c>
      <c r="E64" s="1041"/>
      <c r="F64" s="1041"/>
      <c r="G64" s="1041"/>
      <c r="H64" s="1043" t="str">
        <f xml:space="preserve"> "% " &amp; Translate!E$18</f>
        <v>% p.a.</v>
      </c>
    </row>
    <row r="65" spans="1:8" ht="15.75" customHeight="1">
      <c r="D65" s="1043" t="str">
        <f xml:space="preserve"> Translate!E$44</f>
        <v>Resource rent tax</v>
      </c>
      <c r="E65" s="1041"/>
      <c r="F65" s="1041"/>
      <c r="G65" s="1041"/>
      <c r="H65" s="1043" t="str">
        <f xml:space="preserve"> Translate!E$45</f>
        <v>RRT</v>
      </c>
    </row>
    <row r="66" spans="1:8" ht="15.75" customHeight="1">
      <c r="D66" s="1043" t="str">
        <f>Translate!$E$347</f>
        <v>Thousands of dry tonnes</v>
      </c>
      <c r="E66" s="1044"/>
      <c r="F66" s="1044"/>
      <c r="G66" s="1044"/>
      <c r="H66" s="1043" t="str">
        <f xml:space="preserve"> Translate!E$597</f>
        <v>DMT</v>
      </c>
    </row>
    <row r="67" spans="1:8" ht="15.75" customHeight="1">
      <c r="D67" s="1043" t="str">
        <f>Translate!$E$348</f>
        <v>Thousands of tonnes</v>
      </c>
      <c r="E67" s="1044"/>
      <c r="F67" s="1044"/>
      <c r="G67" s="1044"/>
      <c r="H67" s="1043" t="str">
        <f xml:space="preserve"> Translate!E$598</f>
        <v>MT</v>
      </c>
    </row>
    <row r="68" spans="1:8" ht="15.75" customHeight="1">
      <c r="D68" s="1043" t="str">
        <f xml:space="preserve"> Translate!E$349</f>
        <v>tons</v>
      </c>
      <c r="E68" s="1041"/>
      <c r="F68" s="1041"/>
      <c r="G68" s="1041"/>
      <c r="H68" s="1043" t="str">
        <f xml:space="preserve"> Translate!E$350</f>
        <v>t</v>
      </c>
    </row>
    <row r="69" spans="1:8" s="609" customFormat="1" ht="15.75" customHeight="1">
      <c r="A69" s="608"/>
      <c r="B69" s="608"/>
      <c r="C69" s="608"/>
      <c r="D69" s="1043" t="str">
        <f>Translate!$E$720</f>
        <v>United States Dollars</v>
      </c>
      <c r="E69" s="1041"/>
      <c r="F69" s="1041"/>
      <c r="G69" s="1041"/>
      <c r="H69" s="1043" t="str">
        <f>Translate!$E$9</f>
        <v>US$</v>
      </c>
    </row>
    <row r="70" spans="1:8" s="609" customFormat="1" ht="15.75" customHeight="1">
      <c r="A70" s="608"/>
      <c r="B70" s="608"/>
      <c r="C70" s="608"/>
      <c r="D70" s="1044"/>
      <c r="E70" s="1044"/>
      <c r="F70" s="1044"/>
      <c r="G70" s="1044"/>
      <c r="H70" s="7"/>
    </row>
    <row r="71" spans="1:8" ht="15.75" customHeight="1">
      <c r="A71" s="902" t="str">
        <f xml:space="preserve"> Translate!E$693</f>
        <v>Name ranges used in the model</v>
      </c>
      <c r="D71" s="1041"/>
      <c r="E71" s="1041"/>
      <c r="F71" s="1041"/>
      <c r="G71" s="1041"/>
      <c r="H71" s="1041"/>
    </row>
    <row r="72" spans="1:8" ht="15.75" customHeight="1">
      <c r="D72" s="1045" t="s">
        <v>2</v>
      </c>
      <c r="E72" s="1041" t="s">
        <v>3</v>
      </c>
      <c r="F72" s="1041"/>
      <c r="G72" s="1041"/>
      <c r="H72" s="1041"/>
    </row>
    <row r="73" spans="1:8" ht="15.75" customHeight="1">
      <c r="D73" s="1045" t="s">
        <v>4</v>
      </c>
      <c r="E73" s="1041" t="s">
        <v>5</v>
      </c>
      <c r="F73" s="1041"/>
      <c r="G73" s="1041"/>
      <c r="H73" s="1041"/>
    </row>
    <row r="74" spans="1:8" ht="15.75" customHeight="1">
      <c r="D74" s="1045" t="s">
        <v>6</v>
      </c>
      <c r="E74" s="1041" t="s">
        <v>7</v>
      </c>
      <c r="F74" s="1041"/>
      <c r="G74" s="1041"/>
      <c r="H74" s="1041"/>
    </row>
    <row r="75" spans="1:8" ht="15.75" customHeight="1">
      <c r="D75" s="1045" t="s">
        <v>8</v>
      </c>
      <c r="E75" s="1041" t="s">
        <v>9</v>
      </c>
      <c r="F75" s="1041"/>
      <c r="G75" s="1041"/>
      <c r="H75" s="1041"/>
    </row>
    <row r="76" spans="1:8" ht="15.75" customHeight="1">
      <c r="D76" s="1045" t="s">
        <v>10</v>
      </c>
      <c r="E76" s="1041" t="s">
        <v>11</v>
      </c>
      <c r="F76" s="1041"/>
      <c r="G76" s="1041"/>
      <c r="H76" s="1041"/>
    </row>
    <row r="77" spans="1:8" ht="15.75" customHeight="1">
      <c r="D77" s="1045" t="s">
        <v>12</v>
      </c>
      <c r="E77" s="1041" t="s">
        <v>13</v>
      </c>
      <c r="F77" s="1041"/>
      <c r="G77" s="1041"/>
      <c r="H77" s="1041"/>
    </row>
    <row r="78" spans="1:8" ht="15.75" customHeight="1">
      <c r="D78" s="1045" t="s">
        <v>14</v>
      </c>
      <c r="E78" s="1041" t="s">
        <v>15</v>
      </c>
      <c r="F78" s="1041"/>
      <c r="G78" s="1041"/>
      <c r="H78" s="1041"/>
    </row>
    <row r="79" spans="1:8" ht="15.75" customHeight="1">
      <c r="D79" s="1045" t="s">
        <v>16</v>
      </c>
      <c r="E79" s="1041" t="s">
        <v>17</v>
      </c>
      <c r="F79" s="1041"/>
      <c r="G79" s="1041"/>
      <c r="H79" s="1041"/>
    </row>
  </sheetData>
  <sortState xmlns:xlrd2="http://schemas.microsoft.com/office/spreadsheetml/2017/richdata2" ref="D50:H69">
    <sortCondition ref="D50"/>
  </sortState>
  <pageMargins left="0.7" right="0.7" top="0.75" bottom="0.75" header="0.3" footer="0.3"/>
  <pageSetup scale="77"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04B89-4019-4BEB-A022-1B15CF85869A}">
  <sheetPr codeName="Sheet4">
    <tabColor rgb="FFCCFFFF"/>
    <pageSetUpPr autoPageBreaks="0"/>
  </sheetPr>
  <dimension ref="A1:AX104"/>
  <sheetViews>
    <sheetView zoomScale="85" zoomScaleNormal="85" workbookViewId="0">
      <pane xSplit="10" ySplit="3" topLeftCell="K4" activePane="bottomRight" state="frozen"/>
      <selection pane="bottomRight" activeCell="K4" sqref="K4"/>
      <selection pane="bottomLeft" activeCell="N31" sqref="N31"/>
      <selection pane="topRight" activeCell="N31" sqref="N31"/>
    </sheetView>
  </sheetViews>
  <sheetFormatPr defaultColWidth="0" defaultRowHeight="15"/>
  <cols>
    <col min="1" max="1" width="1.28515625" style="324" customWidth="1"/>
    <col min="2" max="2" width="1.28515625" style="1" customWidth="1"/>
    <col min="3" max="4" width="1.28515625" style="324" customWidth="1"/>
    <col min="5" max="5" width="50.7109375" style="324" customWidth="1"/>
    <col min="6" max="6" width="12.7109375" style="324" customWidth="1"/>
    <col min="7" max="7" width="15.7109375" style="324" customWidth="1"/>
    <col min="8" max="8" width="2.28515625" style="324" customWidth="1"/>
    <col min="9" max="9" width="5.5703125" style="324" customWidth="1"/>
    <col min="10" max="10" width="11.7109375" style="324" customWidth="1"/>
    <col min="11" max="11" width="2.28515625" style="324" customWidth="1"/>
    <col min="12" max="12" width="2.28515625" style="285" customWidth="1"/>
    <col min="13" max="13" width="15" style="324" bestFit="1" customWidth="1"/>
    <col min="14" max="14" width="2.28515625" style="285" customWidth="1"/>
    <col min="15" max="15" width="10.7109375" style="324" customWidth="1"/>
    <col min="16" max="16" width="55.7109375" style="324" customWidth="1"/>
    <col min="17" max="25" width="10.7109375" style="324" customWidth="1"/>
    <col min="26" max="50" width="0" style="324" hidden="1" customWidth="1"/>
    <col min="51" max="16384" width="10.7109375" style="324" hidden="1"/>
  </cols>
  <sheetData>
    <row r="1" spans="1:25" s="477" customFormat="1" ht="15" customHeight="1">
      <c r="A1" s="18" t="e">
        <f ca="1" xml:space="preserve"> RIGHT( CELL("filename",$A$1), LEN( CELL("filename",$A$1)) - SEARCH("]", CELL("filename",$A$1)))</f>
        <v>#VALUE!</v>
      </c>
      <c r="B1" s="475"/>
      <c r="C1" s="476"/>
      <c r="D1" s="476"/>
      <c r="E1" s="476"/>
      <c r="F1" s="514">
        <f ca="1" xml:space="preserve"> SUM(I5:I102)</f>
        <v>0</v>
      </c>
      <c r="G1" s="451" t="str">
        <f xml:space="preserve"> Translate!E$446</f>
        <v>Track changes</v>
      </c>
      <c r="H1" s="476"/>
      <c r="I1" s="476"/>
      <c r="J1" s="476"/>
      <c r="K1" s="476"/>
      <c r="L1" s="284"/>
      <c r="M1" s="476"/>
      <c r="N1" s="284"/>
      <c r="O1" s="476"/>
      <c r="P1" s="476"/>
      <c r="Q1" s="476"/>
      <c r="R1" s="476"/>
      <c r="S1" s="476"/>
      <c r="T1" s="476"/>
      <c r="U1" s="476"/>
      <c r="V1" s="476"/>
      <c r="W1" s="476"/>
      <c r="X1" s="476"/>
      <c r="Y1" s="476"/>
    </row>
    <row r="2" spans="1:25" ht="15" customHeight="1">
      <c r="A2" s="326"/>
      <c r="B2" s="327"/>
      <c r="C2" s="1046"/>
      <c r="D2" s="1046"/>
      <c r="E2" s="951" t="s">
        <v>18</v>
      </c>
      <c r="F2" s="950" t="str">
        <f>"&lt;= " &amp; Translate!E$553</f>
        <v>&lt;= Compare live results to</v>
      </c>
      <c r="G2" s="1047"/>
      <c r="H2" s="1047"/>
      <c r="I2" s="1047"/>
      <c r="J2" s="1036"/>
      <c r="K2" s="346"/>
      <c r="L2" s="284"/>
      <c r="M2" s="346"/>
      <c r="N2" s="284"/>
      <c r="O2" s="1048"/>
      <c r="P2" s="1048"/>
      <c r="Q2" s="1048"/>
      <c r="R2" s="1048"/>
      <c r="S2" s="1048"/>
      <c r="T2" s="1048"/>
      <c r="U2" s="1048"/>
      <c r="V2" s="1048"/>
      <c r="W2" s="1048"/>
      <c r="X2" s="1048"/>
      <c r="Y2" s="1048"/>
    </row>
    <row r="3" spans="1:25" ht="15" customHeight="1">
      <c r="A3" s="1049"/>
      <c r="B3" s="332"/>
      <c r="C3" s="1049"/>
      <c r="D3" s="1049"/>
      <c r="E3" s="1049"/>
      <c r="F3" s="298"/>
      <c r="G3" s="1047"/>
      <c r="H3" s="1049"/>
      <c r="I3" s="1049"/>
      <c r="J3" s="1049"/>
      <c r="K3" s="1049"/>
      <c r="L3" s="284"/>
      <c r="M3" s="1049"/>
      <c r="N3" s="284"/>
      <c r="O3" s="1049"/>
      <c r="P3" s="1049"/>
      <c r="Q3" s="1049"/>
      <c r="R3" s="1049"/>
      <c r="S3" s="1049"/>
      <c r="T3" s="1049"/>
      <c r="U3" s="1049"/>
      <c r="V3" s="1049"/>
      <c r="W3" s="1049"/>
      <c r="X3" s="1049"/>
      <c r="Y3" s="1049"/>
    </row>
    <row r="4" spans="1:25">
      <c r="A4" s="1041"/>
      <c r="C4" s="1041"/>
      <c r="D4" s="1041"/>
      <c r="E4" s="1041"/>
      <c r="F4" s="1041"/>
      <c r="G4" s="1041"/>
      <c r="H4" s="1041"/>
      <c r="I4" s="285">
        <f xml:space="preserve"> MATCH(E2, L4:N4, 0)</f>
        <v>2</v>
      </c>
      <c r="J4" s="871" t="str">
        <f xml:space="preserve"> Translate!E$279</f>
        <v>Difference</v>
      </c>
      <c r="K4" s="1041"/>
      <c r="L4" s="284"/>
      <c r="M4" s="873" t="s">
        <v>18</v>
      </c>
      <c r="N4" s="284"/>
      <c r="O4" s="1041"/>
      <c r="P4" s="1041"/>
      <c r="Q4" s="1041"/>
      <c r="R4" s="1041"/>
      <c r="S4" s="1041"/>
      <c r="T4" s="1041"/>
      <c r="U4" s="1041"/>
      <c r="V4" s="1041"/>
      <c r="W4" s="1041"/>
      <c r="X4" s="1041"/>
      <c r="Y4" s="1041"/>
    </row>
    <row r="5" spans="1:25" s="285" customFormat="1" ht="12.75" customHeight="1">
      <c r="A5" s="278"/>
      <c r="B5" s="278"/>
      <c r="C5" s="279"/>
      <c r="D5" s="280"/>
      <c r="E5" s="872" t="str">
        <f xml:space="preserve"> Translate!E$617</f>
        <v>Top of track results</v>
      </c>
      <c r="F5" s="281"/>
      <c r="G5" s="281"/>
      <c r="H5" s="281"/>
      <c r="I5" s="281"/>
      <c r="J5" s="281"/>
      <c r="K5" s="281"/>
      <c r="L5" s="284"/>
      <c r="M5" s="281"/>
      <c r="N5" s="284"/>
      <c r="O5" s="281"/>
      <c r="P5" s="281"/>
      <c r="Q5" s="281"/>
      <c r="R5" s="281"/>
      <c r="S5" s="281"/>
      <c r="T5" s="281"/>
      <c r="U5" s="281"/>
      <c r="V5" s="281"/>
      <c r="W5" s="281"/>
      <c r="X5" s="281"/>
      <c r="Y5" s="281"/>
    </row>
    <row r="6" spans="1:25" s="285" customFormat="1">
      <c r="A6" s="1041"/>
      <c r="B6" s="1"/>
      <c r="C6" s="1041"/>
      <c r="D6" s="1041"/>
      <c r="E6" s="1041"/>
      <c r="F6" s="1041"/>
      <c r="G6" s="1041"/>
      <c r="H6" s="1041"/>
      <c r="I6" s="1041"/>
      <c r="J6" s="1041"/>
      <c r="K6" s="1041"/>
      <c r="L6" s="284"/>
      <c r="M6" s="1041"/>
      <c r="N6" s="284"/>
      <c r="O6" s="1041"/>
      <c r="P6" s="1041"/>
      <c r="Q6" s="1041"/>
      <c r="R6" s="1041"/>
      <c r="S6" s="1041"/>
      <c r="T6" s="1041"/>
      <c r="U6" s="1041"/>
      <c r="V6" s="1041"/>
      <c r="W6" s="1041"/>
      <c r="X6" s="1041"/>
      <c r="Y6" s="1041"/>
    </row>
    <row r="7" spans="1:25" s="285" customFormat="1" ht="12.75" customHeight="1">
      <c r="A7" s="276" t="str">
        <f>Translate!$E$566</f>
        <v>Dashboard parameters and results</v>
      </c>
      <c r="B7" s="276"/>
      <c r="C7" s="276"/>
      <c r="D7" s="276"/>
      <c r="E7" s="276"/>
      <c r="F7" s="276"/>
      <c r="G7" s="276"/>
      <c r="H7" s="276"/>
      <c r="I7" s="276"/>
      <c r="J7" s="276"/>
      <c r="K7" s="276"/>
      <c r="L7" s="276"/>
      <c r="M7" s="276"/>
      <c r="N7" s="276"/>
      <c r="O7" s="276"/>
      <c r="P7" s="276"/>
      <c r="Q7" s="276"/>
      <c r="R7" s="276"/>
      <c r="S7" s="276"/>
      <c r="T7" s="276"/>
      <c r="U7" s="276"/>
      <c r="V7" s="276"/>
      <c r="W7" s="276"/>
      <c r="X7" s="276"/>
      <c r="Y7" s="276"/>
    </row>
    <row r="8" spans="1:25">
      <c r="A8" s="1041"/>
      <c r="C8" s="1041"/>
      <c r="D8" s="1041"/>
      <c r="E8" s="1041"/>
      <c r="F8" s="1041"/>
      <c r="G8" s="1041"/>
      <c r="H8" s="1041"/>
      <c r="I8" s="1041"/>
      <c r="J8" s="1041"/>
      <c r="K8" s="1041"/>
      <c r="L8" s="284"/>
      <c r="M8" s="1041"/>
      <c r="N8" s="284"/>
      <c r="O8" s="1041"/>
      <c r="P8" s="1041"/>
      <c r="Q8" s="1041"/>
      <c r="R8" s="1041"/>
      <c r="S8" s="1041"/>
      <c r="T8" s="1041"/>
      <c r="U8" s="1041"/>
      <c r="V8" s="1041"/>
      <c r="W8" s="1041"/>
      <c r="X8" s="1041"/>
      <c r="Y8" s="1041"/>
    </row>
    <row r="9" spans="1:25" ht="15" customHeight="1">
      <c r="A9" s="1041"/>
      <c r="B9" s="1" t="str">
        <f>Translate!$E$616</f>
        <v>Dashboard parameters</v>
      </c>
      <c r="C9" s="1041"/>
      <c r="D9" s="1041"/>
      <c r="E9" s="1041"/>
      <c r="F9" s="1041"/>
      <c r="G9" s="1041"/>
      <c r="H9" s="1041"/>
      <c r="I9" s="1041"/>
      <c r="J9" s="1041"/>
      <c r="K9" s="1041"/>
      <c r="L9" s="284"/>
      <c r="M9" s="1041"/>
      <c r="N9" s="284"/>
      <c r="O9" s="1041"/>
      <c r="P9" s="1032" t="str">
        <f>Translate!$E$721</f>
        <v>Purpose of this sheet is to save a set of baseline results so that the model can be confirmed to be / brought back to baseline, or changes in results over time can be documented.
Process for creating a new saved case:</v>
      </c>
      <c r="Q9" s="1032"/>
      <c r="R9" s="1032"/>
      <c r="S9" s="1032"/>
      <c r="T9" s="1032"/>
      <c r="U9" s="1032"/>
      <c r="V9" s="1032"/>
      <c r="W9" s="1032"/>
      <c r="X9" s="1032"/>
      <c r="Y9" s="1032"/>
    </row>
    <row r="10" spans="1:25">
      <c r="A10" s="1041"/>
      <c r="C10" s="1041"/>
      <c r="D10" s="1041"/>
      <c r="E10" s="221" t="str">
        <f xml:space="preserve"> Dashboard!B$6</f>
        <v>Fiscal regime selected</v>
      </c>
      <c r="F10" s="221" t="str">
        <f xml:space="preserve"> Dashboard!C$6</f>
        <v>Royalty + CIT</v>
      </c>
      <c r="G10" s="221" t="str">
        <f xml:space="preserve"> Dashboard!D$6</f>
        <v>Option</v>
      </c>
      <c r="H10" s="1041"/>
      <c r="I10" s="514">
        <f xml:space="preserve"> IF(ABS(J10) &gt; CHK_TOL, 1, 0)</f>
        <v>0</v>
      </c>
      <c r="J10" s="283">
        <f xml:space="preserve"> IF(F10=INDEX(L10:M10, $I$4), 0, 1)</f>
        <v>0</v>
      </c>
      <c r="K10" s="1041"/>
      <c r="L10" s="284"/>
      <c r="M10" s="1005" t="s">
        <v>19</v>
      </c>
      <c r="N10" s="284"/>
      <c r="O10" s="1041"/>
      <c r="P10" s="1032"/>
      <c r="Q10" s="1032"/>
      <c r="R10" s="1032"/>
      <c r="S10" s="1032"/>
      <c r="T10" s="1032"/>
      <c r="U10" s="1032"/>
      <c r="V10" s="1032"/>
      <c r="W10" s="1032"/>
      <c r="X10" s="1032"/>
      <c r="Y10" s="1032"/>
    </row>
    <row r="11" spans="1:25">
      <c r="A11" s="1041"/>
      <c r="C11" s="1041"/>
      <c r="D11" s="1041"/>
      <c r="E11" s="221" t="str">
        <f xml:space="preserve"> Dashboard!B$7</f>
        <v>Selected project</v>
      </c>
      <c r="F11" s="221" t="str">
        <f xml:space="preserve"> Dashboard!C$7</f>
        <v>Gold(2MMoz)</v>
      </c>
      <c r="G11" s="221" t="str">
        <f xml:space="preserve"> Dashboard!D$7</f>
        <v>Option</v>
      </c>
      <c r="H11" s="1041"/>
      <c r="I11" s="514">
        <f t="shared" ref="I11:I18" si="0" xml:space="preserve"> IF(ABS(J11) &gt; CHK_TOL, 1, 0)</f>
        <v>0</v>
      </c>
      <c r="J11" s="283">
        <f xml:space="preserve"> IF(F11=INDEX(L11:M11, $I$4), 0, 1)</f>
        <v>0</v>
      </c>
      <c r="K11" s="1041"/>
      <c r="L11" s="284"/>
      <c r="M11" s="1005" t="s">
        <v>20</v>
      </c>
      <c r="N11" s="284"/>
      <c r="O11" s="1041"/>
      <c r="P11" s="1032"/>
      <c r="Q11" s="1032"/>
      <c r="R11" s="1032"/>
      <c r="S11" s="1032"/>
      <c r="T11" s="1032"/>
      <c r="U11" s="1032"/>
      <c r="V11" s="1032"/>
      <c r="W11" s="1032"/>
      <c r="X11" s="1032"/>
      <c r="Y11" s="1032"/>
    </row>
    <row r="12" spans="1:25">
      <c r="A12" s="1041"/>
      <c r="C12" s="1041"/>
      <c r="D12" s="1041"/>
      <c r="E12" s="221" t="str">
        <f ca="1" xml:space="preserve"> ProjectCashflows!E$144</f>
        <v>Gold sales, after ELT, Total</v>
      </c>
      <c r="F12" s="221">
        <f ca="1" xml:space="preserve"> Dashboard!C28</f>
        <v>2000</v>
      </c>
      <c r="G12" s="221" t="str">
        <f ca="1" xml:space="preserve"> Dashboard!D28</f>
        <v>000 ounce</v>
      </c>
      <c r="H12" s="1041"/>
      <c r="I12" s="514">
        <f t="shared" ca="1" si="0"/>
        <v>0</v>
      </c>
      <c r="J12" s="283">
        <f t="shared" ref="J12:J18" ca="1" si="1" xml:space="preserve"> IF(OR(ISTEXT(F12), ISTEXT(INDEX(L12:M12, $I$4))), 0, F12 - INDEX(L12:M12, $I$4))</f>
        <v>0</v>
      </c>
      <c r="K12" s="1041"/>
      <c r="L12" s="284"/>
      <c r="M12" s="1041">
        <v>2000</v>
      </c>
      <c r="N12" s="284"/>
      <c r="O12" s="1041"/>
      <c r="P12" s="1031"/>
      <c r="Q12" s="1031"/>
      <c r="R12" s="1031"/>
      <c r="S12" s="1031"/>
      <c r="T12" s="1031"/>
      <c r="U12" s="1031"/>
      <c r="V12" s="1031"/>
      <c r="W12" s="1031"/>
      <c r="X12" s="1031"/>
      <c r="Y12" s="1031"/>
    </row>
    <row r="13" spans="1:25">
      <c r="A13" s="1041"/>
      <c r="C13" s="1041"/>
      <c r="D13" s="1041"/>
      <c r="E13" s="221" t="str">
        <f ca="1" xml:space="preserve"> Dashboard!B$17</f>
        <v>Gold (into model)</v>
      </c>
      <c r="F13" s="221">
        <f ca="1" xml:space="preserve"> Dashboard!C$17</f>
        <v>1500</v>
      </c>
      <c r="G13" s="221" t="str">
        <f ca="1" xml:space="preserve"> Dashboard!D$17</f>
        <v>US$ 2021 / ounce</v>
      </c>
      <c r="H13" s="1041"/>
      <c r="I13" s="514">
        <f t="shared" ca="1" si="0"/>
        <v>0</v>
      </c>
      <c r="J13" s="283">
        <f t="shared" ca="1" si="1"/>
        <v>0</v>
      </c>
      <c r="K13" s="1041"/>
      <c r="L13" s="284"/>
      <c r="M13" s="1041">
        <v>1500</v>
      </c>
      <c r="N13" s="284"/>
      <c r="O13" s="1041"/>
      <c r="P13" s="1031" t="str">
        <f>Translate!$E$722</f>
        <v>1. Select column M</v>
      </c>
      <c r="Q13" s="1031"/>
      <c r="R13" s="1031"/>
      <c r="S13" s="1031"/>
      <c r="T13" s="1031"/>
      <c r="U13" s="1031"/>
      <c r="V13" s="1031"/>
      <c r="W13" s="1031"/>
      <c r="X13" s="1031"/>
      <c r="Y13" s="1031"/>
    </row>
    <row r="14" spans="1:25" s="478" customFormat="1">
      <c r="A14" s="1050"/>
      <c r="B14" s="479"/>
      <c r="C14" s="1050"/>
      <c r="D14" s="1050"/>
      <c r="E14" s="448" t="str">
        <f xml:space="preserve"> Dashboard!B$19</f>
        <v>Price sensitivity</v>
      </c>
      <c r="F14" s="448">
        <f xml:space="preserve"> Dashboard!C$19</f>
        <v>1</v>
      </c>
      <c r="G14" s="448" t="str">
        <f xml:space="preserve"> Dashboard!D$19</f>
        <v>factor</v>
      </c>
      <c r="H14" s="1050"/>
      <c r="I14" s="514">
        <f xml:space="preserve"> IF(ABS(J14) &gt; CHK_TOL, 1, 0)</f>
        <v>0</v>
      </c>
      <c r="J14" s="283">
        <f xml:space="preserve"> IF(OR(ISTEXT(F14), ISTEXT(INDEX(L14:M14, $I$4))), 0, F14 - INDEX(L14:M14, $I$4))</f>
        <v>0</v>
      </c>
      <c r="K14" s="1050"/>
      <c r="L14" s="284"/>
      <c r="M14" s="1050">
        <v>1</v>
      </c>
      <c r="N14" s="284"/>
      <c r="O14" s="1050"/>
      <c r="P14" s="1031" t="str">
        <f>Translate!$E$723</f>
        <v>2. Copy column M and immediately Right click insert copied cells. This duplicates the existing saved results set</v>
      </c>
      <c r="Q14" s="1031"/>
      <c r="R14" s="1031"/>
      <c r="S14" s="1031"/>
      <c r="T14" s="1031"/>
      <c r="U14" s="1031"/>
      <c r="V14" s="1031"/>
      <c r="W14" s="1031"/>
      <c r="X14" s="1031"/>
      <c r="Y14" s="1031"/>
    </row>
    <row r="15" spans="1:25" s="478" customFormat="1">
      <c r="A15" s="1050"/>
      <c r="B15" s="479"/>
      <c r="C15" s="1050"/>
      <c r="D15" s="1050"/>
      <c r="E15" s="448" t="str">
        <f xml:space="preserve"> Dashboard!B$20</f>
        <v>Production sensitivity</v>
      </c>
      <c r="F15" s="448">
        <f xml:space="preserve"> Dashboard!C$20</f>
        <v>1</v>
      </c>
      <c r="G15" s="448" t="str">
        <f xml:space="preserve"> Dashboard!D$20</f>
        <v>factor</v>
      </c>
      <c r="H15" s="1050"/>
      <c r="I15" s="514">
        <f t="shared" si="0"/>
        <v>0</v>
      </c>
      <c r="J15" s="283">
        <f t="shared" si="1"/>
        <v>0</v>
      </c>
      <c r="K15" s="1050"/>
      <c r="L15" s="284"/>
      <c r="M15" s="1050">
        <v>1</v>
      </c>
      <c r="N15" s="284"/>
      <c r="O15" s="1050"/>
      <c r="P15" s="1031" t="str">
        <f>Translate!$E$724</f>
        <v>3. Now copy the live results from column F between Row 5 and 89 (i.e. each gray row)</v>
      </c>
      <c r="Q15" s="1031"/>
      <c r="R15" s="1031"/>
      <c r="S15" s="1031"/>
      <c r="T15" s="1031"/>
      <c r="U15" s="1031"/>
      <c r="V15" s="1031"/>
      <c r="W15" s="1031"/>
      <c r="X15" s="1031"/>
      <c r="Y15" s="1031"/>
    </row>
    <row r="16" spans="1:25" s="478" customFormat="1">
      <c r="A16" s="1050"/>
      <c r="B16" s="479"/>
      <c r="C16" s="1050"/>
      <c r="D16" s="1050"/>
      <c r="E16" s="448" t="str">
        <f xml:space="preserve"> Dashboard!B$21</f>
        <v>Exploration cost sensitivity</v>
      </c>
      <c r="F16" s="448">
        <f xml:space="preserve"> Dashboard!C$21</f>
        <v>1</v>
      </c>
      <c r="G16" s="448" t="str">
        <f xml:space="preserve"> Dashboard!D$21</f>
        <v>factor</v>
      </c>
      <c r="H16" s="1050"/>
      <c r="I16" s="514">
        <f t="shared" si="0"/>
        <v>0</v>
      </c>
      <c r="J16" s="283">
        <f t="shared" si="1"/>
        <v>0</v>
      </c>
      <c r="K16" s="1050"/>
      <c r="L16" s="284"/>
      <c r="M16" s="1050">
        <v>1</v>
      </c>
      <c r="N16" s="284"/>
      <c r="O16" s="1050"/>
      <c r="P16" s="1031" t="str">
        <f>Translate!$E$725</f>
        <v>4. Paste as values over the newly created duplicate saved results</v>
      </c>
      <c r="Q16" s="1031"/>
      <c r="R16" s="1031"/>
      <c r="S16" s="1031"/>
      <c r="T16" s="1031"/>
      <c r="U16" s="1031"/>
      <c r="V16" s="1031"/>
      <c r="W16" s="1031"/>
      <c r="X16" s="1031"/>
      <c r="Y16" s="1031"/>
    </row>
    <row r="17" spans="2:25" s="478" customFormat="1">
      <c r="B17" s="479"/>
      <c r="C17" s="1050"/>
      <c r="D17" s="1050"/>
      <c r="E17" s="448" t="str">
        <f xml:space="preserve"> Dashboard!B$22</f>
        <v xml:space="preserve">Capex sensitivity (Development; Replacement; Decommissioning) </v>
      </c>
      <c r="F17" s="448">
        <f xml:space="preserve"> Dashboard!C$22</f>
        <v>1</v>
      </c>
      <c r="G17" s="448" t="str">
        <f xml:space="preserve"> Dashboard!D$22</f>
        <v>factor</v>
      </c>
      <c r="H17" s="1050"/>
      <c r="I17" s="514">
        <f t="shared" si="0"/>
        <v>0</v>
      </c>
      <c r="J17" s="283">
        <f t="shared" si="1"/>
        <v>0</v>
      </c>
      <c r="K17" s="1050"/>
      <c r="L17" s="284"/>
      <c r="M17" s="1050">
        <v>1</v>
      </c>
      <c r="N17" s="284"/>
      <c r="O17" s="1050"/>
      <c r="P17" s="1031" t="str">
        <f>Translate!$E$726</f>
        <v>5. Rename the new saved results case in row 4</v>
      </c>
      <c r="Q17" s="1031"/>
      <c r="R17" s="1031"/>
      <c r="S17" s="1031"/>
      <c r="T17" s="1031"/>
      <c r="U17" s="1031"/>
      <c r="V17" s="1031"/>
      <c r="W17" s="1031"/>
      <c r="X17" s="1031"/>
      <c r="Y17" s="1031"/>
    </row>
    <row r="18" spans="2:25" s="478" customFormat="1">
      <c r="B18" s="479"/>
      <c r="C18" s="1050"/>
      <c r="D18" s="1050"/>
      <c r="E18" s="448" t="str">
        <f xml:space="preserve"> Dashboard!B$23</f>
        <v>Operating cost sensitivity</v>
      </c>
      <c r="F18" s="448">
        <f xml:space="preserve"> Dashboard!C$23</f>
        <v>1</v>
      </c>
      <c r="G18" s="448" t="str">
        <f xml:space="preserve"> Dashboard!D$23</f>
        <v>factor</v>
      </c>
      <c r="H18" s="1050"/>
      <c r="I18" s="514">
        <f t="shared" si="0"/>
        <v>0</v>
      </c>
      <c r="J18" s="283">
        <f t="shared" si="1"/>
        <v>0</v>
      </c>
      <c r="K18" s="1050"/>
      <c r="L18" s="284"/>
      <c r="M18" s="1050">
        <v>1</v>
      </c>
      <c r="N18" s="284"/>
      <c r="O18" s="1050"/>
      <c r="P18" s="1031" t="str">
        <f>Translate!$E$727</f>
        <v>6. Track sheet will show differences between live results and saved case selected at E2</v>
      </c>
      <c r="Q18" s="1031"/>
      <c r="R18" s="1031"/>
      <c r="S18" s="1031"/>
      <c r="T18" s="1031"/>
      <c r="U18" s="1031"/>
      <c r="V18" s="1031"/>
      <c r="W18" s="1031"/>
      <c r="X18" s="1031"/>
      <c r="Y18" s="1031"/>
    </row>
    <row r="19" spans="2:25" ht="15" customHeight="1">
      <c r="C19" s="1041"/>
      <c r="D19" s="1041"/>
      <c r="E19" s="1041"/>
      <c r="F19" s="1041"/>
      <c r="G19" s="1041"/>
      <c r="H19" s="1041"/>
      <c r="I19" s="1051"/>
      <c r="J19" s="1041"/>
      <c r="K19" s="1041"/>
      <c r="L19" s="284"/>
      <c r="M19" s="1041"/>
      <c r="N19" s="284"/>
      <c r="O19" s="1041"/>
      <c r="P19" s="1033" t="str">
        <f>Translate!$E$728</f>
        <v>7. Additional results and/or parameters can be added to results set. For example, fiscal parameters for baseline mission country regime could be captured to ensure no inadvertent changes</v>
      </c>
      <c r="Q19" s="1033"/>
      <c r="R19" s="1033"/>
      <c r="S19" s="1033"/>
      <c r="T19" s="1033"/>
      <c r="U19" s="1033"/>
      <c r="V19" s="1033"/>
      <c r="W19" s="1033"/>
      <c r="X19" s="1033"/>
      <c r="Y19" s="1033"/>
    </row>
    <row r="20" spans="2:25">
      <c r="B20" s="1" t="str">
        <f xml:space="preserve"> Analysis!C$122</f>
        <v>Project participants: full-cycle, real</v>
      </c>
      <c r="C20" s="1041"/>
      <c r="D20" s="1041"/>
      <c r="E20" s="1041"/>
      <c r="F20" s="1041"/>
      <c r="G20" s="1041"/>
      <c r="H20" s="1041"/>
      <c r="I20" s="1051"/>
      <c r="J20" s="1041"/>
      <c r="K20" s="1041"/>
      <c r="L20" s="284"/>
      <c r="M20" s="1041"/>
      <c r="N20" s="284"/>
      <c r="O20" s="1041"/>
      <c r="P20" s="1033"/>
      <c r="Q20" s="1033"/>
      <c r="R20" s="1033"/>
      <c r="S20" s="1033"/>
      <c r="T20" s="1033"/>
      <c r="U20" s="1033"/>
      <c r="V20" s="1033"/>
      <c r="W20" s="1033"/>
      <c r="X20" s="1033"/>
      <c r="Y20" s="1033"/>
    </row>
    <row r="21" spans="2:25">
      <c r="C21" s="1041"/>
      <c r="D21" s="1041"/>
      <c r="E21" s="221" t="str">
        <f xml:space="preserve"> Dashboard!F$5</f>
        <v>Project</v>
      </c>
      <c r="F21" s="221">
        <f ca="1" xml:space="preserve"> Dashboard!I$5</f>
        <v>1504</v>
      </c>
      <c r="G21" s="221" t="str">
        <f xml:space="preserve"> Dashboard!$I$3</f>
        <v>US$ mn 2021</v>
      </c>
      <c r="H21" s="1041"/>
      <c r="I21" s="514">
        <f ca="1" xml:space="preserve"> IF(ABS(J21) &gt; CHK_TOL, 1, 0)</f>
        <v>0</v>
      </c>
      <c r="J21" s="283">
        <f t="shared" ref="J21:J28" ca="1" si="2" xml:space="preserve"> IF(OR(ISTEXT(F21), ISTEXT(INDEX(L21:M21, $I$4))), 0, F21 - INDEX(L21:M21, $I$4))</f>
        <v>0</v>
      </c>
      <c r="K21" s="1041"/>
      <c r="L21" s="284"/>
      <c r="M21" s="1041">
        <v>1504</v>
      </c>
      <c r="N21" s="284"/>
      <c r="O21" s="1041"/>
      <c r="P21" s="1041"/>
      <c r="Q21" s="1041"/>
      <c r="R21" s="1041"/>
      <c r="S21" s="1041"/>
      <c r="T21" s="1041"/>
      <c r="U21" s="1041"/>
      <c r="V21" s="1041"/>
      <c r="W21" s="1041"/>
      <c r="X21" s="1041"/>
      <c r="Y21" s="1041"/>
    </row>
    <row r="22" spans="2:25">
      <c r="C22" s="1041"/>
      <c r="D22" s="1041"/>
      <c r="E22" s="221" t="str">
        <f xml:space="preserve"> Dashboard!F$6</f>
        <v>Mining company</v>
      </c>
      <c r="F22" s="221">
        <f ca="1">Dashboard!I6</f>
        <v>831.01304756082709</v>
      </c>
      <c r="G22" s="221" t="str">
        <f xml:space="preserve"> Dashboard!$I$3</f>
        <v>US$ mn 2021</v>
      </c>
      <c r="H22" s="1041"/>
      <c r="I22" s="514">
        <f t="shared" ref="I22:I28" ca="1" si="3" xml:space="preserve"> IF(ABS(J22) &gt; CHK_TOL, 1, 0)</f>
        <v>0</v>
      </c>
      <c r="J22" s="283">
        <f t="shared" ca="1" si="2"/>
        <v>0</v>
      </c>
      <c r="K22" s="1041"/>
      <c r="L22" s="284"/>
      <c r="M22" s="1041">
        <v>831.01304756082709</v>
      </c>
      <c r="N22" s="284"/>
      <c r="O22" s="1041"/>
      <c r="P22" s="1041"/>
      <c r="Q22" s="1041"/>
      <c r="R22" s="1041"/>
      <c r="S22" s="1041"/>
      <c r="T22" s="1041"/>
      <c r="U22" s="1041"/>
      <c r="V22" s="1041"/>
      <c r="W22" s="1041"/>
      <c r="X22" s="1041"/>
      <c r="Y22" s="1041"/>
    </row>
    <row r="23" spans="2:25">
      <c r="C23" s="1041"/>
      <c r="D23" s="1041"/>
      <c r="E23" s="221" t="str">
        <f xml:space="preserve"> Dashboard!F$7</f>
        <v>Lender (Parent company share)</v>
      </c>
      <c r="F23" s="221">
        <f ca="1">Dashboard!I7</f>
        <v>60.794447830754194</v>
      </c>
      <c r="G23" s="221" t="str">
        <f xml:space="preserve"> Dashboard!$I$3</f>
        <v>US$ mn 2021</v>
      </c>
      <c r="H23" s="1041"/>
      <c r="I23" s="514">
        <f t="shared" ca="1" si="3"/>
        <v>0</v>
      </c>
      <c r="J23" s="283">
        <f t="shared" ca="1" si="2"/>
        <v>0</v>
      </c>
      <c r="K23" s="1041"/>
      <c r="L23" s="284"/>
      <c r="M23" s="1041">
        <v>60.794447830754194</v>
      </c>
      <c r="N23" s="284"/>
      <c r="O23" s="1041"/>
      <c r="P23" s="1041"/>
      <c r="Q23" s="1041"/>
      <c r="R23" s="1041"/>
      <c r="S23" s="1041"/>
      <c r="T23" s="1041"/>
      <c r="U23" s="1041"/>
      <c r="V23" s="1041"/>
      <c r="W23" s="1041"/>
      <c r="X23" s="1041"/>
      <c r="Y23" s="1041"/>
    </row>
    <row r="24" spans="2:25">
      <c r="C24" s="1041"/>
      <c r="D24" s="1041"/>
      <c r="E24" s="221" t="str">
        <f xml:space="preserve"> Dashboard!F$8</f>
        <v>Mining company + lender</v>
      </c>
      <c r="F24" s="221">
        <f ca="1" xml:space="preserve"> Dashboard!I$8</f>
        <v>891.80749539158114</v>
      </c>
      <c r="G24" s="221" t="str">
        <f xml:space="preserve"> Dashboard!$I$3</f>
        <v>US$ mn 2021</v>
      </c>
      <c r="H24" s="1041"/>
      <c r="I24" s="514">
        <f t="shared" ca="1" si="3"/>
        <v>0</v>
      </c>
      <c r="J24" s="283">
        <f t="shared" ca="1" si="2"/>
        <v>0</v>
      </c>
      <c r="K24" s="1041"/>
      <c r="L24" s="284"/>
      <c r="M24" s="1041">
        <v>891.80749539158114</v>
      </c>
      <c r="N24" s="284"/>
      <c r="O24" s="1041"/>
      <c r="P24" s="1041"/>
      <c r="Q24" s="1041"/>
      <c r="R24" s="1041"/>
      <c r="S24" s="1041"/>
      <c r="T24" s="1041"/>
      <c r="U24" s="1041"/>
      <c r="V24" s="1041"/>
      <c r="W24" s="1041"/>
      <c r="X24" s="1041"/>
      <c r="Y24" s="1041"/>
    </row>
    <row r="25" spans="2:25">
      <c r="C25" s="1041"/>
      <c r="D25" s="1041"/>
      <c r="E25" s="221" t="str">
        <f xml:space="preserve"> Dashboard!F$11</f>
        <v>Government incl. participation</v>
      </c>
      <c r="F25" s="221">
        <f ca="1" xml:space="preserve"> Dashboard!I$11</f>
        <v>611.79250460841865</v>
      </c>
      <c r="G25" s="221" t="str">
        <f xml:space="preserve"> Dashboard!$I$3</f>
        <v>US$ mn 2021</v>
      </c>
      <c r="H25" s="1041"/>
      <c r="I25" s="514">
        <f t="shared" ca="1" si="3"/>
        <v>0</v>
      </c>
      <c r="J25" s="283">
        <f t="shared" ca="1" si="2"/>
        <v>0</v>
      </c>
      <c r="K25" s="1041"/>
      <c r="L25" s="284"/>
      <c r="M25" s="1041">
        <v>611.79250460841865</v>
      </c>
      <c r="N25" s="284"/>
      <c r="O25" s="1041"/>
      <c r="P25" s="1041"/>
      <c r="Q25" s="1041"/>
      <c r="R25" s="1041"/>
      <c r="S25" s="1041"/>
      <c r="T25" s="1041"/>
      <c r="U25" s="1041"/>
      <c r="V25" s="1041"/>
      <c r="W25" s="1041"/>
      <c r="X25" s="1041"/>
      <c r="Y25" s="1041"/>
    </row>
    <row r="26" spans="2:25">
      <c r="C26" s="1041"/>
      <c r="D26" s="1041"/>
      <c r="E26" s="221" t="str">
        <f xml:space="preserve"> Dashboard!F$14</f>
        <v>Net decommissioning fund</v>
      </c>
      <c r="F26" s="221">
        <f ca="1" xml:space="preserve"> Dashboard!I$14</f>
        <v>-0.40000000000000924</v>
      </c>
      <c r="G26" s="221" t="str">
        <f xml:space="preserve"> Dashboard!$I$3</f>
        <v>US$ mn 2021</v>
      </c>
      <c r="H26" s="1041"/>
      <c r="I26" s="514">
        <f t="shared" ca="1" si="3"/>
        <v>0</v>
      </c>
      <c r="J26" s="283">
        <f t="shared" ca="1" si="2"/>
        <v>0</v>
      </c>
      <c r="K26" s="1041"/>
      <c r="L26" s="284"/>
      <c r="M26" s="1041">
        <v>-0.40000000000000924</v>
      </c>
      <c r="N26" s="284"/>
      <c r="O26" s="1041"/>
      <c r="P26" s="1041"/>
      <c r="Q26" s="1041"/>
      <c r="R26" s="1041"/>
      <c r="S26" s="1041"/>
      <c r="T26" s="1041"/>
      <c r="U26" s="1041"/>
      <c r="V26" s="1041"/>
      <c r="W26" s="1041"/>
      <c r="X26" s="1041"/>
      <c r="Y26" s="1041"/>
    </row>
    <row r="27" spans="2:25" s="478" customFormat="1">
      <c r="B27" s="479"/>
      <c r="C27" s="1050"/>
      <c r="D27" s="1050"/>
      <c r="E27" s="448" t="str">
        <f xml:space="preserve"> Dashboard!F$12</f>
        <v>Government share (AETR)</v>
      </c>
      <c r="F27" s="448">
        <f ca="1" xml:space="preserve"> Dashboard!I$12</f>
        <v>0.4067769312555975</v>
      </c>
      <c r="G27" s="221" t="str">
        <f xml:space="preserve"> Dashboard!$I$3</f>
        <v>US$ mn 2021</v>
      </c>
      <c r="H27" s="1050"/>
      <c r="I27" s="514">
        <f t="shared" ca="1" si="3"/>
        <v>0</v>
      </c>
      <c r="J27" s="288">
        <f t="shared" ca="1" si="2"/>
        <v>0</v>
      </c>
      <c r="K27" s="1050"/>
      <c r="L27" s="286"/>
      <c r="M27" s="1050">
        <v>0.4067769312555975</v>
      </c>
      <c r="N27" s="286"/>
      <c r="O27" s="1050"/>
      <c r="P27" s="1050"/>
      <c r="Q27" s="1050"/>
      <c r="R27" s="1050"/>
      <c r="S27" s="1050"/>
      <c r="T27" s="1050"/>
      <c r="U27" s="1050"/>
      <c r="V27" s="1050"/>
      <c r="W27" s="1050"/>
      <c r="X27" s="1050"/>
      <c r="Y27" s="1050"/>
    </row>
    <row r="28" spans="2:25" s="478" customFormat="1">
      <c r="B28" s="479"/>
      <c r="C28" s="1050"/>
      <c r="D28" s="1050"/>
      <c r="E28" s="448" t="str">
        <f xml:space="preserve"> Dashboard!F$13</f>
        <v>Government share of project benefits</v>
      </c>
      <c r="F28" s="448">
        <f ca="1" xml:space="preserve"> Dashboard!I$13</f>
        <v>0.31633531779132301</v>
      </c>
      <c r="G28" s="221" t="str">
        <f xml:space="preserve"> Dashboard!$I$3</f>
        <v>US$ mn 2021</v>
      </c>
      <c r="H28" s="1050"/>
      <c r="I28" s="514">
        <f t="shared" ca="1" si="3"/>
        <v>0</v>
      </c>
      <c r="J28" s="288">
        <f t="shared" ca="1" si="2"/>
        <v>0</v>
      </c>
      <c r="K28" s="1050"/>
      <c r="L28" s="286"/>
      <c r="M28" s="1050">
        <v>0.31633531779132301</v>
      </c>
      <c r="N28" s="286"/>
      <c r="O28" s="1050"/>
      <c r="P28" s="1050"/>
      <c r="Q28" s="1050"/>
      <c r="R28" s="1050"/>
      <c r="S28" s="1050"/>
      <c r="T28" s="1050"/>
      <c r="U28" s="1050"/>
      <c r="V28" s="1050"/>
      <c r="W28" s="1050"/>
      <c r="X28" s="1050"/>
      <c r="Y28" s="1050"/>
    </row>
    <row r="29" spans="2:25">
      <c r="C29" s="1041"/>
      <c r="D29" s="1041"/>
      <c r="E29" s="1041"/>
      <c r="F29" s="1041"/>
      <c r="G29" s="1041"/>
      <c r="H29" s="1041"/>
      <c r="I29" s="1051"/>
      <c r="J29" s="1041"/>
      <c r="K29" s="1041"/>
      <c r="L29" s="284"/>
      <c r="M29" s="1041"/>
      <c r="N29" s="284"/>
      <c r="O29" s="1041"/>
      <c r="P29" s="1041"/>
      <c r="Q29" s="1041"/>
      <c r="R29" s="1041"/>
      <c r="S29" s="1041"/>
      <c r="T29" s="1041"/>
      <c r="U29" s="1041"/>
      <c r="V29" s="1041"/>
      <c r="W29" s="1041"/>
      <c r="X29" s="1041"/>
      <c r="Y29" s="1041"/>
    </row>
    <row r="30" spans="2:25">
      <c r="B30" s="1" t="str">
        <f>Translate!$E$16 &amp; ": " &amp; Inputs!F$83 &amp; ", " &amp; Inputs!F$85 &amp; ", " &amp; Inputs!F$59</f>
        <v>Project participants: full-cycle, real, NPV8</v>
      </c>
      <c r="C30" s="1041"/>
      <c r="D30" s="1041"/>
      <c r="E30" s="1041"/>
      <c r="F30" s="1041"/>
      <c r="G30" s="1041"/>
      <c r="H30" s="1041"/>
      <c r="I30" s="1051"/>
      <c r="J30" s="1041"/>
      <c r="K30" s="1041"/>
      <c r="L30" s="284"/>
      <c r="M30" s="1041"/>
      <c r="N30" s="284"/>
      <c r="O30" s="1041"/>
      <c r="P30" s="1041"/>
      <c r="Q30" s="1041"/>
      <c r="R30" s="1041"/>
      <c r="S30" s="1041"/>
      <c r="T30" s="1041"/>
      <c r="U30" s="1041"/>
      <c r="V30" s="1041"/>
      <c r="W30" s="1041"/>
      <c r="X30" s="1041"/>
      <c r="Y30" s="1041"/>
    </row>
    <row r="31" spans="2:25">
      <c r="C31" s="1041"/>
      <c r="D31" s="1041"/>
      <c r="E31" s="221" t="str">
        <f xml:space="preserve"> Dashboard!F$5</f>
        <v>Project</v>
      </c>
      <c r="F31" s="221">
        <f ca="1" xml:space="preserve"> Dashboard!K$5</f>
        <v>505.1398131257335</v>
      </c>
      <c r="G31" s="221" t="str">
        <f xml:space="preserve"> Dashboard!$K$3</f>
        <v>US$ mn NPV8.0 real</v>
      </c>
      <c r="H31" s="1041"/>
      <c r="I31" s="514">
        <f ca="1" xml:space="preserve"> IF(ABS(J31) &gt; CHK_TOL, 1, 0)</f>
        <v>0</v>
      </c>
      <c r="J31" s="283">
        <f t="shared" ref="J31:J38" ca="1" si="4" xml:space="preserve"> IF(OR(ISTEXT(F31), ISTEXT(INDEX(L31:M31, $I$4))), 0, F31 - INDEX(L31:M31, $I$4))</f>
        <v>0</v>
      </c>
      <c r="K31" s="1041"/>
      <c r="L31" s="284"/>
      <c r="M31" s="1041">
        <v>505.1398131257335</v>
      </c>
      <c r="N31" s="284"/>
      <c r="O31" s="1041"/>
      <c r="P31" s="1041"/>
      <c r="Q31" s="1041"/>
      <c r="R31" s="1041"/>
      <c r="S31" s="1041"/>
      <c r="T31" s="1041"/>
      <c r="U31" s="1041"/>
      <c r="V31" s="1041"/>
      <c r="W31" s="1041"/>
      <c r="X31" s="1041"/>
      <c r="Y31" s="1041"/>
    </row>
    <row r="32" spans="2:25">
      <c r="C32" s="1041"/>
      <c r="D32" s="1041"/>
      <c r="E32" s="221" t="str">
        <f xml:space="preserve"> Dashboard!F$6</f>
        <v>Mining company</v>
      </c>
      <c r="F32" s="221">
        <f ca="1">Dashboard!K$6</f>
        <v>282.69387763624388</v>
      </c>
      <c r="G32" s="221" t="str">
        <f xml:space="preserve"> Dashboard!$K$3</f>
        <v>US$ mn NPV8.0 real</v>
      </c>
      <c r="H32" s="1041"/>
      <c r="I32" s="514">
        <f t="shared" ref="I32:I38" ca="1" si="5" xml:space="preserve"> IF(ABS(J32) &gt; CHK_TOL, 1, 0)</f>
        <v>0</v>
      </c>
      <c r="J32" s="283">
        <f t="shared" ca="1" si="4"/>
        <v>0</v>
      </c>
      <c r="K32" s="1041"/>
      <c r="L32" s="284"/>
      <c r="M32" s="1041">
        <v>282.69387763624388</v>
      </c>
      <c r="N32" s="284"/>
      <c r="O32" s="1041"/>
      <c r="P32" s="1041"/>
      <c r="Q32" s="1041"/>
      <c r="R32" s="1041"/>
      <c r="S32" s="1041"/>
      <c r="T32" s="1041"/>
      <c r="U32" s="1041"/>
      <c r="V32" s="1041"/>
      <c r="W32" s="1041"/>
      <c r="X32" s="1041"/>
      <c r="Y32" s="1041"/>
    </row>
    <row r="33" spans="2:14">
      <c r="C33" s="1041"/>
      <c r="D33" s="1041"/>
      <c r="E33" s="221" t="str">
        <f xml:space="preserve"> Dashboard!F$7</f>
        <v>Lender (Parent company share)</v>
      </c>
      <c r="F33" s="221">
        <f ca="1">Dashboard!K$7</f>
        <v>-16.756511524024599</v>
      </c>
      <c r="G33" s="221" t="str">
        <f xml:space="preserve"> Dashboard!$K$3</f>
        <v>US$ mn NPV8.0 real</v>
      </c>
      <c r="H33" s="1041"/>
      <c r="I33" s="514">
        <f t="shared" ca="1" si="5"/>
        <v>0</v>
      </c>
      <c r="J33" s="283">
        <f t="shared" ca="1" si="4"/>
        <v>0</v>
      </c>
      <c r="K33" s="1041"/>
      <c r="L33" s="284"/>
      <c r="M33" s="1041">
        <v>-16.756511524024599</v>
      </c>
      <c r="N33" s="284"/>
    </row>
    <row r="34" spans="2:14">
      <c r="C34" s="1041"/>
      <c r="D34" s="1041"/>
      <c r="E34" s="221" t="str">
        <f xml:space="preserve"> Dashboard!F$8</f>
        <v>Mining company + lender</v>
      </c>
      <c r="F34" s="221">
        <f ca="1" xml:space="preserve"> Dashboard!K$8</f>
        <v>265.93736611221931</v>
      </c>
      <c r="G34" s="221" t="str">
        <f xml:space="preserve"> Dashboard!$K$3</f>
        <v>US$ mn NPV8.0 real</v>
      </c>
      <c r="H34" s="1041"/>
      <c r="I34" s="514">
        <f t="shared" ca="1" si="5"/>
        <v>0</v>
      </c>
      <c r="J34" s="283">
        <f t="shared" ca="1" si="4"/>
        <v>0</v>
      </c>
      <c r="K34" s="1041"/>
      <c r="L34" s="284"/>
      <c r="M34" s="1041">
        <v>265.93736611221931</v>
      </c>
      <c r="N34" s="284"/>
    </row>
    <row r="35" spans="2:14">
      <c r="C35" s="1041"/>
      <c r="D35" s="1041"/>
      <c r="E35" s="221" t="str">
        <f xml:space="preserve"> Dashboard!F$11</f>
        <v>Government incl. participation</v>
      </c>
      <c r="F35" s="221">
        <f ca="1" xml:space="preserve"> Dashboard!K$11</f>
        <v>237.30996946654363</v>
      </c>
      <c r="G35" s="221" t="str">
        <f xml:space="preserve"> Dashboard!$K$3</f>
        <v>US$ mn NPV8.0 real</v>
      </c>
      <c r="H35" s="1041"/>
      <c r="I35" s="514">
        <f t="shared" ca="1" si="5"/>
        <v>0</v>
      </c>
      <c r="J35" s="283">
        <f t="shared" ca="1" si="4"/>
        <v>0</v>
      </c>
      <c r="K35" s="1041"/>
      <c r="L35" s="284"/>
      <c r="M35" s="1041">
        <v>237.30996946654363</v>
      </c>
      <c r="N35" s="284"/>
    </row>
    <row r="36" spans="2:14">
      <c r="C36" s="1041"/>
      <c r="D36" s="1041"/>
      <c r="E36" s="221" t="str">
        <f xml:space="preserve"> Dashboard!F$14</f>
        <v>Net decommissioning fund</v>
      </c>
      <c r="F36" s="221">
        <f ca="1" xml:space="preserve"> Dashboard!K$14</f>
        <v>-1.8924775469705732</v>
      </c>
      <c r="G36" s="221" t="str">
        <f xml:space="preserve"> Dashboard!$K$3</f>
        <v>US$ mn NPV8.0 real</v>
      </c>
      <c r="H36" s="1041"/>
      <c r="I36" s="514">
        <f t="shared" ca="1" si="5"/>
        <v>0</v>
      </c>
      <c r="J36" s="283">
        <f t="shared" ca="1" si="4"/>
        <v>0</v>
      </c>
      <c r="K36" s="1041"/>
      <c r="L36" s="284"/>
      <c r="M36" s="1041">
        <v>-1.8924775469705732</v>
      </c>
      <c r="N36" s="284"/>
    </row>
    <row r="37" spans="2:14" s="478" customFormat="1">
      <c r="B37" s="479"/>
      <c r="C37" s="1050"/>
      <c r="D37" s="1050"/>
      <c r="E37" s="448" t="str">
        <f xml:space="preserve"> Dashboard!F$12</f>
        <v>Government share (AETR)</v>
      </c>
      <c r="F37" s="448">
        <f ca="1" xml:space="preserve"> Dashboard!K$12</f>
        <v>0.46979066646539541</v>
      </c>
      <c r="G37" s="448" t="str">
        <f xml:space="preserve"> Dashboard!$K$3</f>
        <v>US$ mn NPV8.0 real</v>
      </c>
      <c r="H37" s="1050"/>
      <c r="I37" s="514">
        <f t="shared" ca="1" si="5"/>
        <v>0</v>
      </c>
      <c r="J37" s="288">
        <f t="shared" ca="1" si="4"/>
        <v>0</v>
      </c>
      <c r="K37" s="1050"/>
      <c r="L37" s="286"/>
      <c r="M37" s="1050">
        <v>0.46979066646539541</v>
      </c>
      <c r="N37" s="286"/>
    </row>
    <row r="38" spans="2:14" s="478" customFormat="1">
      <c r="B38" s="479"/>
      <c r="C38" s="1050"/>
      <c r="D38" s="1050"/>
      <c r="E38" s="448" t="str">
        <f xml:space="preserve"> Dashboard!F$13</f>
        <v>Government share of project benefits</v>
      </c>
      <c r="F38" s="448">
        <f ca="1" xml:space="preserve"> Dashboard!K$13</f>
        <v>0.28782991830732063</v>
      </c>
      <c r="G38" s="448" t="str">
        <f xml:space="preserve"> Dashboard!$K$3</f>
        <v>US$ mn NPV8.0 real</v>
      </c>
      <c r="H38" s="1050"/>
      <c r="I38" s="514">
        <f t="shared" ca="1" si="5"/>
        <v>0</v>
      </c>
      <c r="J38" s="288">
        <f t="shared" ca="1" si="4"/>
        <v>0</v>
      </c>
      <c r="K38" s="1050"/>
      <c r="L38" s="286"/>
      <c r="M38" s="1050">
        <v>0.28782991830732063</v>
      </c>
      <c r="N38" s="286"/>
    </row>
    <row r="39" spans="2:14">
      <c r="C39" s="1041"/>
      <c r="D39" s="1041"/>
      <c r="E39" s="1041"/>
      <c r="F39" s="1041"/>
      <c r="G39" s="1041"/>
      <c r="H39" s="1041"/>
      <c r="I39" s="1051"/>
      <c r="J39" s="1041"/>
      <c r="K39" s="1041"/>
      <c r="L39" s="284"/>
      <c r="M39" s="1041"/>
      <c r="N39" s="284"/>
    </row>
    <row r="40" spans="2:14">
      <c r="B40" s="1" t="str">
        <f xml:space="preserve"> Translate!E$15</f>
        <v>Project cashflows</v>
      </c>
      <c r="C40" s="1041"/>
      <c r="D40" s="1041"/>
      <c r="E40" s="1041"/>
      <c r="F40" s="1041"/>
      <c r="G40" s="1041"/>
      <c r="H40" s="1041"/>
      <c r="I40" s="1051"/>
      <c r="J40" s="1041"/>
      <c r="K40" s="1041"/>
      <c r="L40" s="284"/>
      <c r="M40" s="1041"/>
      <c r="N40" s="284"/>
    </row>
    <row r="41" spans="2:14">
      <c r="C41" s="1041"/>
      <c r="D41" s="1041"/>
      <c r="E41" s="221" t="str">
        <f xml:space="preserve"> Dashboard!N$5</f>
        <v>Sales revenues: gross, after ELT</v>
      </c>
      <c r="F41" s="221">
        <f ca="1" xml:space="preserve"> Dashboard!O$5</f>
        <v>3000</v>
      </c>
      <c r="G41" s="221" t="str">
        <f xml:space="preserve"> Dashboard!$O$3</f>
        <v>US$ mn 2021</v>
      </c>
      <c r="H41" s="1041"/>
      <c r="I41" s="514">
        <f ca="1" xml:space="preserve"> IF(ABS(J41) &gt; CHK_TOL, 1, 0)</f>
        <v>0</v>
      </c>
      <c r="J41" s="283">
        <f t="shared" ref="J41:J49" ca="1" si="6" xml:space="preserve"> IF(OR(ISTEXT(F41), ISTEXT(INDEX(L41:M41, $I$4))), 0, F41 - INDEX(L41:M41, $I$4))</f>
        <v>0</v>
      </c>
      <c r="K41" s="1041"/>
      <c r="L41" s="284"/>
      <c r="M41" s="1041">
        <v>3000</v>
      </c>
      <c r="N41" s="284"/>
    </row>
    <row r="42" spans="2:14">
      <c r="C42" s="1041"/>
      <c r="D42" s="1041"/>
      <c r="E42" s="221" t="str">
        <f xml:space="preserve"> Dashboard!N$6</f>
        <v>Transport costs post-fiscal point, after ELT</v>
      </c>
      <c r="F42" s="221">
        <f ca="1" xml:space="preserve"> Dashboard!O$6</f>
        <v>50</v>
      </c>
      <c r="G42" s="221" t="str">
        <f xml:space="preserve"> Dashboard!$O$3</f>
        <v>US$ mn 2021</v>
      </c>
      <c r="H42" s="1041"/>
      <c r="I42" s="514">
        <f t="shared" ref="I42:I49" ca="1" si="7" xml:space="preserve"> IF(ABS(J42) &gt; CHK_TOL, 1, 0)</f>
        <v>0</v>
      </c>
      <c r="J42" s="283">
        <f t="shared" ca="1" si="6"/>
        <v>0</v>
      </c>
      <c r="K42" s="1041"/>
      <c r="L42" s="284"/>
      <c r="M42" s="1041">
        <v>50</v>
      </c>
      <c r="N42" s="284"/>
    </row>
    <row r="43" spans="2:14">
      <c r="C43" s="1041"/>
      <c r="D43" s="1041"/>
      <c r="E43" s="221" t="str">
        <f xml:space="preserve"> Dashboard!N$7</f>
        <v>Sales revenues: net, after ELT</v>
      </c>
      <c r="F43" s="221">
        <f ca="1" xml:space="preserve"> Dashboard!O$7</f>
        <v>2950</v>
      </c>
      <c r="G43" s="221" t="str">
        <f xml:space="preserve"> Dashboard!$O$3</f>
        <v>US$ mn 2021</v>
      </c>
      <c r="H43" s="1041"/>
      <c r="I43" s="514">
        <f t="shared" ca="1" si="7"/>
        <v>0</v>
      </c>
      <c r="J43" s="283">
        <f t="shared" ca="1" si="6"/>
        <v>0</v>
      </c>
      <c r="K43" s="1041"/>
      <c r="L43" s="284"/>
      <c r="M43" s="1041">
        <v>2950</v>
      </c>
      <c r="N43" s="284"/>
    </row>
    <row r="44" spans="2:14">
      <c r="C44" s="1041"/>
      <c r="D44" s="1041"/>
      <c r="E44" s="221" t="str">
        <f xml:space="preserve"> Dashboard!N$9</f>
        <v>Exploration costs, after ELT</v>
      </c>
      <c r="F44" s="221">
        <f ca="1" xml:space="preserve"> Dashboard!O$9</f>
        <v>30</v>
      </c>
      <c r="G44" s="221" t="str">
        <f xml:space="preserve"> Dashboard!$O$3</f>
        <v>US$ mn 2021</v>
      </c>
      <c r="H44" s="1041"/>
      <c r="I44" s="514">
        <f t="shared" ca="1" si="7"/>
        <v>0</v>
      </c>
      <c r="J44" s="283">
        <f t="shared" ca="1" si="6"/>
        <v>0</v>
      </c>
      <c r="K44" s="1041"/>
      <c r="L44" s="284"/>
      <c r="M44" s="1041">
        <v>30</v>
      </c>
      <c r="N44" s="284"/>
    </row>
    <row r="45" spans="2:14">
      <c r="C45" s="1041"/>
      <c r="D45" s="1041"/>
      <c r="E45" s="221" t="str">
        <f xml:space="preserve"> Dashboard!N$10</f>
        <v>Development costs, after ELT</v>
      </c>
      <c r="F45" s="221">
        <f ca="1" xml:space="preserve"> Dashboard!O$10</f>
        <v>400</v>
      </c>
      <c r="G45" s="221" t="str">
        <f xml:space="preserve"> Dashboard!$O$3</f>
        <v>US$ mn 2021</v>
      </c>
      <c r="H45" s="1041"/>
      <c r="I45" s="514">
        <f t="shared" ca="1" si="7"/>
        <v>0</v>
      </c>
      <c r="J45" s="283">
        <f t="shared" ca="1" si="6"/>
        <v>0</v>
      </c>
      <c r="K45" s="1041"/>
      <c r="L45" s="284"/>
      <c r="M45" s="1041">
        <v>400</v>
      </c>
      <c r="N45" s="284"/>
    </row>
    <row r="46" spans="2:14">
      <c r="C46" s="1041"/>
      <c r="D46" s="1041"/>
      <c r="E46" s="221" t="str">
        <f xml:space="preserve"> Dashboard!N$11</f>
        <v>Replacement capital costs, after ELT</v>
      </c>
      <c r="F46" s="221">
        <f ca="1" xml:space="preserve"> Dashboard!O$11</f>
        <v>96</v>
      </c>
      <c r="G46" s="221" t="str">
        <f xml:space="preserve"> Dashboard!$O$3</f>
        <v>US$ mn 2021</v>
      </c>
      <c r="H46" s="1041"/>
      <c r="I46" s="514">
        <f t="shared" ca="1" si="7"/>
        <v>0</v>
      </c>
      <c r="J46" s="283">
        <f t="shared" ca="1" si="6"/>
        <v>0</v>
      </c>
      <c r="K46" s="1041"/>
      <c r="L46" s="284"/>
      <c r="M46" s="1041">
        <v>96</v>
      </c>
      <c r="N46" s="284"/>
    </row>
    <row r="47" spans="2:14">
      <c r="C47" s="1041"/>
      <c r="D47" s="1041"/>
      <c r="E47" s="221" t="str">
        <f xml:space="preserve"> Dashboard!N$12</f>
        <v>Operating costs, after ELT</v>
      </c>
      <c r="F47" s="221">
        <f ca="1" xml:space="preserve"> Dashboard!O$12</f>
        <v>900</v>
      </c>
      <c r="G47" s="221" t="str">
        <f xml:space="preserve"> Dashboard!$O$3</f>
        <v>US$ mn 2021</v>
      </c>
      <c r="H47" s="1041"/>
      <c r="I47" s="514">
        <f t="shared" ca="1" si="7"/>
        <v>0</v>
      </c>
      <c r="J47" s="283">
        <f t="shared" ca="1" si="6"/>
        <v>0</v>
      </c>
      <c r="K47" s="1041"/>
      <c r="L47" s="284"/>
      <c r="M47" s="1041">
        <v>900</v>
      </c>
      <c r="N47" s="284"/>
    </row>
    <row r="48" spans="2:14">
      <c r="C48" s="1041"/>
      <c r="D48" s="1041"/>
      <c r="E48" s="221" t="str">
        <f xml:space="preserve"> Dashboard!N$13</f>
        <v>Decommissioning costs, after ELT</v>
      </c>
      <c r="F48" s="221">
        <f ca="1" xml:space="preserve"> Dashboard!O$13</f>
        <v>20</v>
      </c>
      <c r="G48" s="221" t="str">
        <f xml:space="preserve"> Dashboard!$O$3</f>
        <v>US$ mn 2021</v>
      </c>
      <c r="H48" s="1041"/>
      <c r="I48" s="514">
        <f t="shared" ca="1" si="7"/>
        <v>0</v>
      </c>
      <c r="J48" s="283">
        <f t="shared" ca="1" si="6"/>
        <v>0</v>
      </c>
      <c r="K48" s="1041"/>
      <c r="L48" s="284"/>
      <c r="M48" s="1041">
        <v>20</v>
      </c>
      <c r="N48" s="284"/>
    </row>
    <row r="49" spans="1:25">
      <c r="A49" s="1041"/>
      <c r="C49" s="1041"/>
      <c r="D49" s="1041"/>
      <c r="E49" s="221" t="str">
        <f xml:space="preserve"> Dashboard!N$14</f>
        <v>Project costs, after ELT</v>
      </c>
      <c r="F49" s="221">
        <f ca="1" xml:space="preserve"> Dashboard!O$14</f>
        <v>1446</v>
      </c>
      <c r="G49" s="221" t="str">
        <f xml:space="preserve"> Dashboard!$O$3</f>
        <v>US$ mn 2021</v>
      </c>
      <c r="H49" s="1041"/>
      <c r="I49" s="514">
        <f t="shared" ca="1" si="7"/>
        <v>0</v>
      </c>
      <c r="J49" s="283">
        <f t="shared" ca="1" si="6"/>
        <v>0</v>
      </c>
      <c r="K49" s="1041"/>
      <c r="L49" s="284"/>
      <c r="M49" s="1041">
        <v>1446</v>
      </c>
      <c r="N49" s="284"/>
      <c r="O49" s="1041"/>
      <c r="P49" s="1041"/>
      <c r="Q49" s="1041"/>
      <c r="R49" s="1041"/>
      <c r="S49" s="1041"/>
      <c r="T49" s="1041"/>
      <c r="U49" s="1041"/>
      <c r="V49" s="1041"/>
      <c r="W49" s="1041"/>
      <c r="X49" s="1041"/>
      <c r="Y49" s="1041"/>
    </row>
    <row r="50" spans="1:25">
      <c r="A50" s="1041"/>
      <c r="C50" s="1041"/>
      <c r="D50" s="1041"/>
      <c r="E50" s="1041"/>
      <c r="F50" s="1041"/>
      <c r="G50" s="1041"/>
      <c r="H50" s="1041"/>
      <c r="I50" s="1051"/>
      <c r="J50" s="1041"/>
      <c r="K50" s="1041"/>
      <c r="L50" s="284"/>
      <c r="M50" s="1041"/>
      <c r="N50" s="284"/>
      <c r="O50" s="1041"/>
      <c r="P50" s="1041"/>
      <c r="Q50" s="1041"/>
      <c r="R50" s="1041"/>
      <c r="S50" s="1041"/>
      <c r="T50" s="1041"/>
      <c r="U50" s="1041"/>
      <c r="V50" s="1041"/>
      <c r="W50" s="1041"/>
      <c r="X50" s="1041"/>
      <c r="Y50" s="1041"/>
    </row>
    <row r="51" spans="1:25">
      <c r="A51" s="1041"/>
      <c r="C51" s="1041"/>
      <c r="D51" s="1041"/>
      <c r="E51" s="221" t="str">
        <f xml:space="preserve"> Dashboard!N$16</f>
        <v>Project cashflow before decommissioning fund</v>
      </c>
      <c r="F51" s="221">
        <f ca="1" xml:space="preserve"> Dashboard!O$16</f>
        <v>1504</v>
      </c>
      <c r="G51" s="221" t="str">
        <f xml:space="preserve"> Dashboard!$O$3</f>
        <v>US$ mn 2021</v>
      </c>
      <c r="H51" s="1041"/>
      <c r="I51" s="514">
        <f ca="1" xml:space="preserve"> IF(ABS(J51) &gt; CHK_TOL, 1, 0)</f>
        <v>0</v>
      </c>
      <c r="J51" s="283">
        <f ca="1" xml:space="preserve"> IF(OR(ISTEXT(F51), ISTEXT(INDEX(L51:M51, $I$4))), 0, F51 - INDEX(L51:M51, $I$4))</f>
        <v>0</v>
      </c>
      <c r="K51" s="1041"/>
      <c r="L51" s="284"/>
      <c r="M51" s="1041">
        <v>1504</v>
      </c>
      <c r="N51" s="284"/>
      <c r="O51" s="1041"/>
      <c r="P51" s="1041"/>
      <c r="Q51" s="1041"/>
      <c r="R51" s="1041"/>
      <c r="S51" s="1041"/>
      <c r="T51" s="1041"/>
      <c r="U51" s="1041"/>
      <c r="V51" s="1041"/>
      <c r="W51" s="1041"/>
      <c r="X51" s="1041"/>
      <c r="Y51" s="1041"/>
    </row>
    <row r="52" spans="1:25">
      <c r="A52" s="1041"/>
      <c r="C52" s="1041"/>
      <c r="D52" s="1041"/>
      <c r="E52" s="1041"/>
      <c r="F52" s="1041"/>
      <c r="G52" s="1041"/>
      <c r="H52" s="1041"/>
      <c r="I52" s="1051"/>
      <c r="J52" s="1041"/>
      <c r="K52" s="1041"/>
      <c r="L52" s="284"/>
      <c r="M52" s="1041"/>
      <c r="N52" s="284"/>
      <c r="O52" s="1041"/>
      <c r="P52" s="1041"/>
      <c r="Q52" s="1041"/>
      <c r="R52" s="1041"/>
      <c r="S52" s="1041"/>
      <c r="T52" s="1041"/>
      <c r="U52" s="1041"/>
      <c r="V52" s="1041"/>
      <c r="W52" s="1041"/>
      <c r="X52" s="1041"/>
      <c r="Y52" s="1041"/>
    </row>
    <row r="53" spans="1:25" s="285" customFormat="1" ht="12.75" customHeight="1">
      <c r="A53" s="276" t="str">
        <f>Translate!$E$567</f>
        <v>Primary fiscal regime results</v>
      </c>
      <c r="B53" s="276"/>
      <c r="C53" s="276"/>
      <c r="D53" s="276"/>
      <c r="E53" s="276"/>
      <c r="F53" s="276"/>
      <c r="G53" s="276"/>
      <c r="H53" s="276"/>
      <c r="I53" s="515"/>
      <c r="J53" s="276"/>
      <c r="K53" s="276"/>
      <c r="L53" s="276"/>
      <c r="M53" s="276"/>
      <c r="N53" s="276"/>
      <c r="O53" s="276"/>
      <c r="P53" s="276"/>
      <c r="Q53" s="276"/>
      <c r="R53" s="276"/>
      <c r="S53" s="276"/>
      <c r="T53" s="276"/>
      <c r="U53" s="276"/>
      <c r="V53" s="276"/>
      <c r="W53" s="276"/>
      <c r="X53" s="276"/>
      <c r="Y53" s="276"/>
    </row>
    <row r="54" spans="1:25">
      <c r="A54" s="1041"/>
      <c r="C54" s="1041"/>
      <c r="D54" s="1041"/>
      <c r="E54" s="1041"/>
      <c r="F54" s="1041"/>
      <c r="G54" s="1041"/>
      <c r="H54" s="1041"/>
      <c r="I54" s="1051"/>
      <c r="J54" s="1041"/>
      <c r="K54" s="1041"/>
      <c r="L54" s="284"/>
      <c r="M54" s="1041"/>
      <c r="N54" s="284"/>
      <c r="O54" s="1041"/>
      <c r="P54" s="1041"/>
      <c r="Q54" s="1041"/>
      <c r="R54" s="1041"/>
      <c r="S54" s="1041"/>
      <c r="T54" s="1041"/>
      <c r="U54" s="1041"/>
      <c r="V54" s="1041"/>
      <c r="W54" s="1041"/>
      <c r="X54" s="1041"/>
      <c r="Y54" s="1041"/>
    </row>
    <row r="55" spans="1:25">
      <c r="A55" s="1041"/>
      <c r="C55" s="1041"/>
      <c r="D55" s="1041"/>
      <c r="E55" s="221" t="str">
        <f xml:space="preserve"> Dashboard!B$6</f>
        <v>Fiscal regime selected</v>
      </c>
      <c r="F55" s="221" t="str">
        <f xml:space="preserve"> Dashboard!C$6</f>
        <v>Royalty + CIT</v>
      </c>
      <c r="G55" s="221" t="str">
        <f xml:space="preserve"> Dashboard!D$6</f>
        <v>Option</v>
      </c>
      <c r="H55" s="1041"/>
      <c r="I55" s="514">
        <f xml:space="preserve"> IF(ABS(J55) &gt; CHK_TOL, 1, 0)</f>
        <v>0</v>
      </c>
      <c r="J55" s="283">
        <f xml:space="preserve"> IF(F55=INDEX(L55:M55, $I$4), 0, 1)</f>
        <v>0</v>
      </c>
      <c r="K55" s="1041"/>
      <c r="L55" s="284"/>
      <c r="M55" s="1041" t="s">
        <v>19</v>
      </c>
      <c r="N55" s="284"/>
      <c r="O55" s="1041"/>
      <c r="P55" s="1041"/>
      <c r="Q55" s="1041"/>
      <c r="R55" s="1041"/>
      <c r="S55" s="1041"/>
      <c r="T55" s="1041"/>
      <c r="U55" s="1041"/>
      <c r="V55" s="1041"/>
      <c r="W55" s="1041"/>
      <c r="X55" s="1041"/>
      <c r="Y55" s="1041"/>
    </row>
    <row r="56" spans="1:25">
      <c r="A56" s="1041"/>
      <c r="C56" s="1041"/>
      <c r="D56" s="1041"/>
      <c r="E56" s="1041"/>
      <c r="F56" s="1041"/>
      <c r="G56" s="1041"/>
      <c r="H56" s="1041"/>
      <c r="I56" s="1051"/>
      <c r="J56" s="1041"/>
      <c r="K56" s="1041"/>
      <c r="L56" s="284"/>
      <c r="M56" s="1041"/>
      <c r="N56" s="284"/>
      <c r="O56" s="1041"/>
      <c r="P56" s="1041"/>
      <c r="Q56" s="1041"/>
      <c r="R56" s="1041"/>
      <c r="S56" s="1041"/>
      <c r="T56" s="1041"/>
      <c r="U56" s="1041"/>
      <c r="V56" s="1041"/>
      <c r="W56" s="1041"/>
      <c r="X56" s="1041"/>
      <c r="Y56" s="1041"/>
    </row>
    <row r="57" spans="1:25">
      <c r="A57" s="1041"/>
      <c r="C57" s="1041"/>
      <c r="D57" s="1041"/>
      <c r="E57" s="1041" t="str">
        <f xml:space="preserve"> Dashboard!N$21</f>
        <v>Royalty</v>
      </c>
      <c r="F57" s="1041">
        <f ca="1" xml:space="preserve"> Dashboard!O$21</f>
        <v>147.5</v>
      </c>
      <c r="G57" s="1041" t="str">
        <f xml:space="preserve"> Dashboard!$O$19</f>
        <v>US$ mn 2021</v>
      </c>
      <c r="H57" s="1041"/>
      <c r="I57" s="514">
        <f t="shared" ref="I57:I67" ca="1" si="8" xml:space="preserve"> IF(ABS(J57) &gt; CHK_TOL, 1, 0)</f>
        <v>0</v>
      </c>
      <c r="J57" s="283">
        <f t="shared" ref="J57:J67" ca="1" si="9" xml:space="preserve"> IF(OR(ISTEXT(F57), ISTEXT(INDEX(L57:M57, $I$4))), 0, F57 - INDEX(L57:M57, $I$4))</f>
        <v>0</v>
      </c>
      <c r="K57" s="1041"/>
      <c r="L57" s="284"/>
      <c r="M57" s="1041">
        <v>147.5</v>
      </c>
      <c r="N57" s="284"/>
      <c r="O57" s="1041"/>
      <c r="P57" s="1041"/>
      <c r="Q57" s="1041"/>
      <c r="R57" s="1041"/>
      <c r="S57" s="1041"/>
      <c r="T57" s="1041"/>
      <c r="U57" s="1041"/>
      <c r="V57" s="1041"/>
      <c r="W57" s="1041"/>
      <c r="X57" s="1041"/>
      <c r="Y57" s="1041"/>
    </row>
    <row r="58" spans="1:25">
      <c r="A58" s="1041"/>
      <c r="C58" s="1041"/>
      <c r="D58" s="1041"/>
      <c r="E58" s="1041" t="str">
        <f xml:space="preserve"> Dashboard!N$20</f>
        <v>Signature bonus</v>
      </c>
      <c r="F58" s="1041">
        <f ca="1" xml:space="preserve"> Dashboard!O$20</f>
        <v>0</v>
      </c>
      <c r="G58" s="1041" t="str">
        <f xml:space="preserve"> Dashboard!$O$19</f>
        <v>US$ mn 2021</v>
      </c>
      <c r="H58" s="1041"/>
      <c r="I58" s="514">
        <f t="shared" ca="1" si="8"/>
        <v>0</v>
      </c>
      <c r="J58" s="283">
        <f t="shared" ca="1" si="9"/>
        <v>0</v>
      </c>
      <c r="K58" s="1041"/>
      <c r="L58" s="284"/>
      <c r="M58" s="1041">
        <v>0</v>
      </c>
      <c r="N58" s="284"/>
      <c r="O58" s="1041"/>
      <c r="P58" s="1041"/>
      <c r="Q58" s="1041"/>
      <c r="R58" s="1041"/>
      <c r="S58" s="1041"/>
      <c r="T58" s="1041"/>
      <c r="U58" s="1041"/>
      <c r="V58" s="1041"/>
      <c r="W58" s="1041"/>
      <c r="X58" s="1041"/>
      <c r="Y58" s="1041"/>
    </row>
    <row r="59" spans="1:25">
      <c r="A59" s="1041"/>
      <c r="C59" s="1041"/>
      <c r="D59" s="1041"/>
      <c r="E59" s="1041" t="str">
        <f xml:space="preserve"> Dashboard!N$23</f>
        <v>CIT: Mining company</v>
      </c>
      <c r="F59" s="1041">
        <f ca="1" xml:space="preserve"> Dashboard!O$23</f>
        <v>362.41177277536571</v>
      </c>
      <c r="G59" s="1041" t="str">
        <f xml:space="preserve"> Dashboard!$O$19</f>
        <v>US$ mn 2021</v>
      </c>
      <c r="H59" s="1041"/>
      <c r="I59" s="514">
        <f t="shared" ca="1" si="8"/>
        <v>0</v>
      </c>
      <c r="J59" s="283">
        <f t="shared" ca="1" si="9"/>
        <v>0</v>
      </c>
      <c r="K59" s="1041"/>
      <c r="L59" s="284"/>
      <c r="M59" s="1041">
        <v>362.41177277536571</v>
      </c>
      <c r="N59" s="284"/>
      <c r="O59" s="1041"/>
      <c r="P59" s="1041"/>
      <c r="Q59" s="1041"/>
      <c r="R59" s="1041"/>
      <c r="S59" s="1041"/>
      <c r="T59" s="1041"/>
      <c r="U59" s="1041"/>
      <c r="V59" s="1041"/>
      <c r="W59" s="1041"/>
      <c r="X59" s="1041"/>
      <c r="Y59" s="1041"/>
    </row>
    <row r="60" spans="1:25">
      <c r="A60" s="1041"/>
      <c r="C60" s="1041"/>
      <c r="D60" s="1041"/>
      <c r="E60" s="1041" t="str">
        <f xml:space="preserve"> Dashboard!N$24</f>
        <v>RRT: Mining company</v>
      </c>
      <c r="F60" s="1041">
        <f ca="1" xml:space="preserve"> Dashboard!O$24</f>
        <v>0</v>
      </c>
      <c r="G60" s="1041" t="str">
        <f xml:space="preserve"> Dashboard!$O$19</f>
        <v>US$ mn 2021</v>
      </c>
      <c r="H60" s="1041"/>
      <c r="I60" s="514">
        <f t="shared" ca="1" si="8"/>
        <v>0</v>
      </c>
      <c r="J60" s="283">
        <f t="shared" ca="1" si="9"/>
        <v>0</v>
      </c>
      <c r="K60" s="1041"/>
      <c r="L60" s="284"/>
      <c r="M60" s="1041">
        <v>0</v>
      </c>
      <c r="N60" s="284"/>
      <c r="O60" s="1041"/>
      <c r="P60" s="1041"/>
      <c r="Q60" s="1041"/>
      <c r="R60" s="1041"/>
      <c r="S60" s="1041"/>
      <c r="T60" s="1041"/>
      <c r="U60" s="1041"/>
      <c r="V60" s="1041"/>
      <c r="W60" s="1041"/>
      <c r="X60" s="1041"/>
      <c r="Y60" s="1041"/>
    </row>
    <row r="61" spans="1:25">
      <c r="A61" s="1041"/>
      <c r="C61" s="1041"/>
      <c r="D61" s="1041"/>
      <c r="E61" s="1041" t="str">
        <f xml:space="preserve"> Dashboard!N$25</f>
        <v>Dividend withholding tax</v>
      </c>
      <c r="F61" s="1041">
        <f ca="1" xml:space="preserve"> Dashboard!O$25</f>
        <v>95.722174595619009</v>
      </c>
      <c r="G61" s="1041" t="str">
        <f xml:space="preserve"> Dashboard!$O$19</f>
        <v>US$ mn 2021</v>
      </c>
      <c r="H61" s="1041"/>
      <c r="I61" s="514">
        <f t="shared" ca="1" si="8"/>
        <v>0</v>
      </c>
      <c r="J61" s="283">
        <f t="shared" ca="1" si="9"/>
        <v>0</v>
      </c>
      <c r="K61" s="1041"/>
      <c r="L61" s="284"/>
      <c r="M61" s="1041">
        <v>95.722174595619009</v>
      </c>
      <c r="N61" s="284"/>
      <c r="O61" s="1041"/>
      <c r="P61" s="1041"/>
      <c r="Q61" s="1041"/>
      <c r="R61" s="1041"/>
      <c r="S61" s="1041"/>
      <c r="T61" s="1041"/>
      <c r="U61" s="1041"/>
      <c r="V61" s="1041"/>
      <c r="W61" s="1041"/>
      <c r="X61" s="1041"/>
      <c r="Y61" s="1041"/>
    </row>
    <row r="62" spans="1:25">
      <c r="A62" s="1041"/>
      <c r="C62" s="1041"/>
      <c r="D62" s="1041"/>
      <c r="E62" s="1041" t="str">
        <f xml:space="preserve"> Dashboard!N$26</f>
        <v>Interest withholding tax</v>
      </c>
      <c r="F62" s="1041">
        <f ca="1" xml:space="preserve"> Dashboard!O$26</f>
        <v>6.158557237434052</v>
      </c>
      <c r="G62" s="1041" t="str">
        <f xml:space="preserve"> Dashboard!$O$19</f>
        <v>US$ mn 2021</v>
      </c>
      <c r="H62" s="1041"/>
      <c r="I62" s="514">
        <f t="shared" ca="1" si="8"/>
        <v>0</v>
      </c>
      <c r="J62" s="283">
        <f t="shared" ca="1" si="9"/>
        <v>0</v>
      </c>
      <c r="K62" s="1041"/>
      <c r="L62" s="284"/>
      <c r="M62" s="1041">
        <v>6.158557237434052</v>
      </c>
      <c r="N62" s="284"/>
      <c r="O62" s="1041"/>
      <c r="P62" s="1041"/>
      <c r="Q62" s="1041"/>
      <c r="R62" s="1041"/>
      <c r="S62" s="1041"/>
      <c r="T62" s="1041"/>
      <c r="U62" s="1041"/>
      <c r="V62" s="1041"/>
      <c r="W62" s="1041"/>
      <c r="X62" s="1041"/>
      <c r="Y62" s="1041"/>
    </row>
    <row r="63" spans="1:25">
      <c r="A63" s="1041"/>
      <c r="C63" s="1041"/>
      <c r="D63" s="1041"/>
      <c r="E63" s="1041" t="str">
        <f xml:space="preserve"> Dashboard!N$27</f>
        <v>VAT cashflow: government</v>
      </c>
      <c r="F63" s="1041">
        <f ca="1" xml:space="preserve"> Dashboard!O$27</f>
        <v>0</v>
      </c>
      <c r="G63" s="1041" t="str">
        <f xml:space="preserve"> Dashboard!$O$19</f>
        <v>US$ mn 2021</v>
      </c>
      <c r="H63" s="1041"/>
      <c r="I63" s="514">
        <f ca="1" xml:space="preserve"> IF(ABS(J63) &gt; CHK_TOL, 1, 0)</f>
        <v>0</v>
      </c>
      <c r="J63" s="283">
        <f ca="1" xml:space="preserve"> IF(OR(ISTEXT(F63), ISTEXT(INDEX(L63:M63, $I$4))), 0, F63 - INDEX(L63:M63, $I$4))</f>
        <v>0</v>
      </c>
      <c r="K63" s="1041"/>
      <c r="L63" s="284"/>
      <c r="M63" s="1041">
        <v>0</v>
      </c>
      <c r="N63" s="284"/>
      <c r="O63" s="1041"/>
      <c r="P63" s="1041"/>
      <c r="Q63" s="1041"/>
      <c r="R63" s="1041"/>
      <c r="S63" s="1041"/>
      <c r="T63" s="1041"/>
      <c r="U63" s="1041"/>
      <c r="V63" s="1041"/>
      <c r="W63" s="1041"/>
      <c r="X63" s="1041"/>
      <c r="Y63" s="1041"/>
    </row>
    <row r="64" spans="1:25">
      <c r="A64" s="1041"/>
      <c r="C64" s="1041"/>
      <c r="D64" s="1041"/>
      <c r="E64" s="1041" t="str">
        <f xml:space="preserve"> Dashboard!N$28</f>
        <v>Government revenues excluding participation</v>
      </c>
      <c r="F64" s="1041">
        <f ca="1" xml:space="preserve"> Dashboard!O$28</f>
        <v>611.79250460841877</v>
      </c>
      <c r="G64" s="1041" t="str">
        <f xml:space="preserve"> Dashboard!$O$19</f>
        <v>US$ mn 2021</v>
      </c>
      <c r="H64" s="1041"/>
      <c r="I64" s="514">
        <f t="shared" ca="1" si="8"/>
        <v>0</v>
      </c>
      <c r="J64" s="283">
        <f t="shared" ca="1" si="9"/>
        <v>0</v>
      </c>
      <c r="K64" s="1041"/>
      <c r="L64" s="284"/>
      <c r="M64" s="1041">
        <v>611.79250460841877</v>
      </c>
      <c r="N64" s="284"/>
      <c r="O64" s="1041"/>
      <c r="P64" s="1041"/>
      <c r="Q64" s="1041"/>
      <c r="R64" s="1041"/>
      <c r="S64" s="1041"/>
      <c r="T64" s="1041"/>
      <c r="U64" s="1041"/>
      <c r="V64" s="1041"/>
      <c r="W64" s="1041"/>
      <c r="X64" s="1041"/>
      <c r="Y64" s="1041"/>
    </row>
    <row r="65" spans="1:25">
      <c r="A65" s="1041"/>
      <c r="C65" s="1041"/>
      <c r="D65" s="1041"/>
      <c r="E65" s="1041" t="str">
        <f xml:space="preserve"> Dashboard!N$29</f>
        <v>State participation cashflows including share of loan</v>
      </c>
      <c r="F65" s="1041">
        <f ca="1" xml:space="preserve"> Dashboard!O$29</f>
        <v>0</v>
      </c>
      <c r="G65" s="1041" t="str">
        <f xml:space="preserve"> Dashboard!$O$19</f>
        <v>US$ mn 2021</v>
      </c>
      <c r="H65" s="1041"/>
      <c r="I65" s="514">
        <f t="shared" ca="1" si="8"/>
        <v>0</v>
      </c>
      <c r="J65" s="283">
        <f t="shared" ca="1" si="9"/>
        <v>0</v>
      </c>
      <c r="K65" s="1041"/>
      <c r="L65" s="284"/>
      <c r="M65" s="1041">
        <v>0</v>
      </c>
      <c r="N65" s="284"/>
      <c r="O65" s="1041"/>
      <c r="P65" s="1041"/>
      <c r="Q65" s="1041"/>
      <c r="R65" s="1041"/>
      <c r="S65" s="1041"/>
      <c r="T65" s="1041"/>
      <c r="U65" s="1041"/>
      <c r="V65" s="1041"/>
      <c r="W65" s="1041"/>
      <c r="X65" s="1041"/>
      <c r="Y65" s="1041"/>
    </row>
    <row r="66" spans="1:25">
      <c r="A66" s="1041"/>
      <c r="C66" s="1041"/>
      <c r="D66" s="1041"/>
      <c r="E66" s="1041" t="str">
        <f xml:space="preserve"> Dashboard!N$30</f>
        <v>Government revenues including participation</v>
      </c>
      <c r="F66" s="1041">
        <f ca="1" xml:space="preserve"> Dashboard!O$30</f>
        <v>611.79250460841877</v>
      </c>
      <c r="G66" s="1041" t="str">
        <f xml:space="preserve"> Dashboard!$O$19</f>
        <v>US$ mn 2021</v>
      </c>
      <c r="H66" s="1041"/>
      <c r="I66" s="514">
        <f t="shared" ca="1" si="8"/>
        <v>0</v>
      </c>
      <c r="J66" s="283">
        <f t="shared" ca="1" si="9"/>
        <v>0</v>
      </c>
      <c r="K66" s="1041"/>
      <c r="L66" s="284"/>
      <c r="M66" s="1041">
        <v>611.79250460841877</v>
      </c>
      <c r="N66" s="284"/>
      <c r="O66" s="1041"/>
      <c r="P66" s="1041"/>
      <c r="Q66" s="1041"/>
      <c r="R66" s="1041"/>
      <c r="S66" s="1041"/>
      <c r="T66" s="1041"/>
      <c r="U66" s="1041"/>
      <c r="V66" s="1041"/>
      <c r="W66" s="1041"/>
      <c r="X66" s="1041"/>
      <c r="Y66" s="1041"/>
    </row>
    <row r="67" spans="1:25" s="478" customFormat="1">
      <c r="A67" s="1050"/>
      <c r="B67" s="479"/>
      <c r="C67" s="1050"/>
      <c r="D67" s="1050"/>
      <c r="E67" s="1050" t="str">
        <f xml:space="preserve"> Dashboard!N$31</f>
        <v>Government share (AETR)</v>
      </c>
      <c r="F67" s="1050">
        <f ca="1" xml:space="preserve"> Dashboard!O$31</f>
        <v>0.40677693125559761</v>
      </c>
      <c r="G67" s="1041" t="str">
        <f xml:space="preserve"> Dashboard!$O$19</f>
        <v>US$ mn 2021</v>
      </c>
      <c r="H67" s="1050"/>
      <c r="I67" s="514">
        <f t="shared" ca="1" si="8"/>
        <v>0</v>
      </c>
      <c r="J67" s="288">
        <f t="shared" ca="1" si="9"/>
        <v>0</v>
      </c>
      <c r="K67" s="1050"/>
      <c r="L67" s="286"/>
      <c r="M67" s="1050">
        <v>0.40677693125559761</v>
      </c>
      <c r="N67" s="284"/>
      <c r="O67" s="1050"/>
      <c r="P67" s="1050"/>
      <c r="Q67" s="1050"/>
      <c r="R67" s="1050"/>
      <c r="S67" s="1050"/>
      <c r="T67" s="1050"/>
      <c r="U67" s="1050"/>
      <c r="V67" s="1050"/>
      <c r="W67" s="1050"/>
      <c r="X67" s="1050"/>
      <c r="Y67" s="1050"/>
    </row>
    <row r="68" spans="1:25">
      <c r="A68" s="1041"/>
      <c r="C68" s="1041"/>
      <c r="D68" s="1041"/>
      <c r="E68" s="1041"/>
      <c r="F68" s="1041"/>
      <c r="G68" s="1041"/>
      <c r="H68" s="1041"/>
      <c r="I68" s="1051"/>
      <c r="J68" s="1041"/>
      <c r="K68" s="1041"/>
      <c r="L68" s="284"/>
      <c r="M68" s="1041"/>
      <c r="N68" s="284"/>
      <c r="O68" s="1041"/>
      <c r="P68" s="1041"/>
      <c r="Q68" s="1041"/>
      <c r="R68" s="1041"/>
      <c r="S68" s="1041"/>
      <c r="T68" s="1041"/>
      <c r="U68" s="1041"/>
      <c r="V68" s="1041"/>
      <c r="W68" s="1041"/>
      <c r="X68" s="1041"/>
      <c r="Y68" s="1041"/>
    </row>
    <row r="69" spans="1:25" s="285" customFormat="1" ht="12.75" customHeight="1">
      <c r="A69" s="276" t="str">
        <f>Translate!$E$448</f>
        <v>Results for selected fiscal regimes</v>
      </c>
      <c r="B69" s="276"/>
      <c r="C69" s="276"/>
      <c r="D69" s="276"/>
      <c r="E69" s="276"/>
      <c r="F69" s="276"/>
      <c r="G69" s="276"/>
      <c r="H69" s="276"/>
      <c r="I69" s="515"/>
      <c r="J69" s="276"/>
      <c r="K69" s="276"/>
      <c r="L69" s="276"/>
      <c r="M69" s="276"/>
      <c r="N69" s="276"/>
      <c r="O69" s="276"/>
      <c r="P69" s="276"/>
      <c r="Q69" s="276"/>
      <c r="R69" s="276"/>
      <c r="S69" s="276"/>
      <c r="T69" s="276"/>
      <c r="U69" s="276"/>
      <c r="V69" s="276"/>
      <c r="W69" s="276"/>
      <c r="X69" s="276"/>
      <c r="Y69" s="276"/>
    </row>
    <row r="70" spans="1:25">
      <c r="A70" s="1041"/>
      <c r="C70" s="1041"/>
      <c r="D70" s="1041"/>
      <c r="E70" s="1041"/>
      <c r="F70" s="1041"/>
      <c r="G70" s="1041"/>
      <c r="H70" s="1041"/>
      <c r="I70" s="1051"/>
      <c r="J70" s="1041"/>
      <c r="K70" s="1041"/>
      <c r="L70" s="284"/>
      <c r="M70" s="1041"/>
      <c r="N70" s="284"/>
      <c r="O70" s="1041"/>
      <c r="P70" s="1041"/>
      <c r="Q70" s="1041"/>
      <c r="R70" s="1041"/>
      <c r="S70" s="1041"/>
      <c r="T70" s="1041"/>
      <c r="U70" s="1041"/>
      <c r="V70" s="1041"/>
      <c r="W70" s="1041"/>
      <c r="X70" s="1041"/>
      <c r="Y70" s="1041"/>
    </row>
    <row r="71" spans="1:25">
      <c r="A71" s="1041"/>
      <c r="B71" s="1" t="str">
        <f xml:space="preserve"> Dashboard!R$79</f>
        <v>Government revenues including participation</v>
      </c>
      <c r="C71" s="1041"/>
      <c r="D71" s="1041"/>
      <c r="E71" s="1041"/>
      <c r="F71" s="1041"/>
      <c r="G71" s="1041"/>
      <c r="H71" s="1041"/>
      <c r="I71" s="1051"/>
      <c r="J71" s="1041"/>
      <c r="K71" s="1041"/>
      <c r="L71" s="284"/>
      <c r="M71" s="1041"/>
      <c r="N71" s="284"/>
      <c r="O71" s="1041"/>
      <c r="P71" s="1041"/>
      <c r="Q71" s="1041"/>
      <c r="R71" s="1041"/>
      <c r="S71" s="1041"/>
      <c r="T71" s="1041"/>
      <c r="U71" s="1041"/>
      <c r="V71" s="1041"/>
      <c r="W71" s="1041"/>
      <c r="X71" s="1041"/>
      <c r="Y71" s="1041"/>
    </row>
    <row r="72" spans="1:25" s="221" customFormat="1">
      <c r="B72" s="969"/>
      <c r="E72" s="968" t="str">
        <f t="array" ref="E72:E76" xml:space="preserve"> TRANSPOSE(Dashboard!U68:Y68)</f>
        <v>Royalty + CIT</v>
      </c>
      <c r="F72" s="221">
        <f t="array" ref="F72:F76" xml:space="preserve"> TRANSPOSE(Dashboard!U79:Y79)</f>
        <v>611.79250460841877</v>
      </c>
      <c r="G72" s="221" t="str">
        <f xml:space="preserve"> Dashboard!S$79</f>
        <v>US$ mn 2021</v>
      </c>
      <c r="I72" s="514">
        <f t="shared" ref="I72:I76" si="10" xml:space="preserve"> IF(ABS(J72) &gt; CHK_TOL, 1, 0)</f>
        <v>0</v>
      </c>
      <c r="J72" s="283">
        <f t="shared" ref="J72:J76" si="11" xml:space="preserve"> IF(OR(ISTEXT(F72), ISTEXT(INDEX(L72:M72, $I$4))), 0, F72 - INDEX(L72:M72, $I$4))</f>
        <v>0</v>
      </c>
      <c r="K72" s="1041"/>
      <c r="L72" s="284"/>
      <c r="M72" s="1041">
        <v>611.79250460841877</v>
      </c>
      <c r="N72" s="284"/>
    </row>
    <row r="73" spans="1:25" s="221" customFormat="1">
      <c r="B73" s="969"/>
      <c r="E73" s="968" t="str">
        <v>High royalty / low CIT</v>
      </c>
      <c r="F73" s="221">
        <v>603.73921737123328</v>
      </c>
      <c r="G73" s="221" t="str">
        <f xml:space="preserve"> Dashboard!S$79</f>
        <v>US$ mn 2021</v>
      </c>
      <c r="I73" s="514">
        <f t="shared" si="10"/>
        <v>0</v>
      </c>
      <c r="J73" s="283">
        <f t="shared" si="11"/>
        <v>0</v>
      </c>
      <c r="K73" s="1041"/>
      <c r="L73" s="284"/>
      <c r="M73" s="1041">
        <v>603.73921737123328</v>
      </c>
      <c r="N73" s="284"/>
    </row>
    <row r="74" spans="1:25" s="221" customFormat="1">
      <c r="B74" s="969"/>
      <c r="E74" s="968" t="str">
        <v>RRT</v>
      </c>
      <c r="F74" s="221">
        <v>636.94994767572405</v>
      </c>
      <c r="G74" s="221" t="str">
        <f xml:space="preserve"> Dashboard!S$79</f>
        <v>US$ mn 2021</v>
      </c>
      <c r="I74" s="514">
        <f t="shared" si="10"/>
        <v>0</v>
      </c>
      <c r="J74" s="283">
        <f t="shared" si="11"/>
        <v>0</v>
      </c>
      <c r="K74" s="1041"/>
      <c r="L74" s="284"/>
      <c r="M74" s="1041">
        <v>636.94994767572405</v>
      </c>
      <c r="N74" s="284"/>
    </row>
    <row r="75" spans="1:25" s="221" customFormat="1">
      <c r="B75" s="969"/>
      <c r="E75" s="968" t="str">
        <v>Royalty + CIT + SP</v>
      </c>
      <c r="F75" s="221">
        <v>614.09614195607014</v>
      </c>
      <c r="G75" s="221" t="str">
        <f xml:space="preserve"> Dashboard!S$79</f>
        <v>US$ mn 2021</v>
      </c>
      <c r="I75" s="514">
        <f t="shared" si="10"/>
        <v>0</v>
      </c>
      <c r="J75" s="283">
        <f t="shared" si="11"/>
        <v>0</v>
      </c>
      <c r="K75" s="1041"/>
      <c r="L75" s="284"/>
      <c r="M75" s="1041">
        <v>614.09614195607014</v>
      </c>
      <c r="N75" s="284"/>
    </row>
    <row r="76" spans="1:25" s="221" customFormat="1">
      <c r="B76" s="969"/>
      <c r="E76" s="968" t="str">
        <v>Royalty + CIT, no debt</v>
      </c>
      <c r="F76" s="221">
        <v>639.83696035092794</v>
      </c>
      <c r="G76" s="221" t="str">
        <f xml:space="preserve"> Dashboard!S$79</f>
        <v>US$ mn 2021</v>
      </c>
      <c r="I76" s="514">
        <f t="shared" si="10"/>
        <v>0</v>
      </c>
      <c r="J76" s="283">
        <f t="shared" si="11"/>
        <v>0</v>
      </c>
      <c r="K76" s="1041"/>
      <c r="L76" s="284"/>
      <c r="M76" s="1041">
        <v>639.83696035092794</v>
      </c>
      <c r="N76" s="284"/>
    </row>
    <row r="77" spans="1:25">
      <c r="A77" s="1041"/>
      <c r="C77" s="1041"/>
      <c r="D77" s="1041"/>
      <c r="E77" s="1041"/>
      <c r="F77" s="1041"/>
      <c r="G77" s="1041"/>
      <c r="H77" s="1041"/>
      <c r="I77" s="1051"/>
      <c r="J77" s="1041"/>
      <c r="K77" s="1041"/>
      <c r="L77" s="284"/>
      <c r="M77" s="1041"/>
      <c r="N77" s="284"/>
      <c r="O77" s="1041"/>
      <c r="P77" s="1041"/>
      <c r="Q77" s="1041"/>
      <c r="R77" s="1041"/>
      <c r="S77" s="1041"/>
      <c r="T77" s="1041"/>
      <c r="U77" s="1041"/>
      <c r="V77" s="1041"/>
      <c r="W77" s="1041"/>
      <c r="X77" s="1041"/>
      <c r="Y77" s="1041"/>
    </row>
    <row r="78" spans="1:25">
      <c r="A78" s="1041"/>
      <c r="B78" s="1" t="str">
        <f xml:space="preserve"> Dashboard!R$89</f>
        <v>AETR: full-cycle, undiscounted</v>
      </c>
      <c r="C78" s="1041"/>
      <c r="D78" s="1041"/>
      <c r="E78" s="1041"/>
      <c r="F78" s="1041"/>
      <c r="G78" s="1041"/>
      <c r="H78" s="1041"/>
      <c r="I78" s="1051"/>
      <c r="J78" s="1041"/>
      <c r="K78" s="1041"/>
      <c r="L78" s="284"/>
      <c r="M78" s="1041"/>
      <c r="N78" s="284"/>
      <c r="O78" s="1041"/>
      <c r="P78" s="1041"/>
      <c r="Q78" s="1041"/>
      <c r="R78" s="1041"/>
      <c r="S78" s="1041"/>
      <c r="T78" s="1041"/>
      <c r="U78" s="1041"/>
      <c r="V78" s="1041"/>
      <c r="W78" s="1041"/>
      <c r="X78" s="1041"/>
      <c r="Y78" s="1041"/>
    </row>
    <row r="79" spans="1:25" s="221" customFormat="1">
      <c r="B79" s="969"/>
      <c r="E79" s="968" t="str">
        <f t="array" ref="E79:E83" xml:space="preserve"> TRANSPOSE( Dashboard!U68:Y68)</f>
        <v>Royalty + CIT</v>
      </c>
      <c r="F79" s="370">
        <f t="array" ref="F79:F83" xml:space="preserve"> TRANSPOSE(Dashboard!U89:Y89)</f>
        <v>0.4067769312555975</v>
      </c>
      <c r="G79" s="221" t="str">
        <f xml:space="preserve"> Dashboard!S$89</f>
        <v>%</v>
      </c>
      <c r="I79" s="514">
        <f t="shared" ref="I79:I83" si="12" xml:space="preserve"> IF(ABS(J79) &gt; CHK_TOL, 1, 0)</f>
        <v>0</v>
      </c>
      <c r="J79" s="288">
        <f t="shared" ref="J79:J83" si="13" xml:space="preserve"> IF(OR(ISTEXT(F79), ISTEXT(INDEX(L79:M79, $I$4))), 0, F79 - INDEX(L79:M79, $I$4))</f>
        <v>0</v>
      </c>
      <c r="K79" s="1050"/>
      <c r="L79" s="286"/>
      <c r="M79" s="1050">
        <v>0.4067769312555975</v>
      </c>
      <c r="N79" s="284"/>
    </row>
    <row r="80" spans="1:25" s="221" customFormat="1">
      <c r="B80" s="969"/>
      <c r="E80" s="968" t="str">
        <v>High royalty / low CIT</v>
      </c>
      <c r="F80" s="370">
        <v>0.40142235197555404</v>
      </c>
      <c r="G80" s="221" t="str">
        <f xml:space="preserve"> Dashboard!S$89</f>
        <v>%</v>
      </c>
      <c r="I80" s="514">
        <f t="shared" si="12"/>
        <v>0</v>
      </c>
      <c r="J80" s="288">
        <f t="shared" si="13"/>
        <v>0</v>
      </c>
      <c r="K80" s="1050"/>
      <c r="L80" s="286"/>
      <c r="M80" s="1050">
        <v>0.40142235197555404</v>
      </c>
      <c r="N80" s="284"/>
    </row>
    <row r="81" spans="1:25" s="221" customFormat="1">
      <c r="B81" s="969"/>
      <c r="E81" s="968" t="str">
        <v>RRT</v>
      </c>
      <c r="F81" s="370">
        <v>0.42350395457162493</v>
      </c>
      <c r="G81" s="221" t="str">
        <f xml:space="preserve"> Dashboard!S$89</f>
        <v>%</v>
      </c>
      <c r="I81" s="514">
        <f t="shared" si="12"/>
        <v>0</v>
      </c>
      <c r="J81" s="288">
        <f t="shared" si="13"/>
        <v>0</v>
      </c>
      <c r="K81" s="1050"/>
      <c r="L81" s="286"/>
      <c r="M81" s="1050">
        <v>0.42350395457162493</v>
      </c>
      <c r="N81" s="284"/>
    </row>
    <row r="82" spans="1:25" s="221" customFormat="1">
      <c r="B82" s="969"/>
      <c r="E82" s="968" t="str">
        <v>Royalty + CIT + SP</v>
      </c>
      <c r="F82" s="370">
        <v>0.40830860502398275</v>
      </c>
      <c r="G82" s="221" t="str">
        <f xml:space="preserve"> Dashboard!S$89</f>
        <v>%</v>
      </c>
      <c r="I82" s="514">
        <f t="shared" si="12"/>
        <v>0</v>
      </c>
      <c r="J82" s="288">
        <f t="shared" si="13"/>
        <v>0</v>
      </c>
      <c r="K82" s="1050"/>
      <c r="L82" s="286"/>
      <c r="M82" s="1050">
        <v>0.40830860502398275</v>
      </c>
      <c r="N82" s="284"/>
    </row>
    <row r="83" spans="1:25" s="221" customFormat="1">
      <c r="B83" s="969"/>
      <c r="E83" s="968" t="str">
        <v>Royalty + CIT, no debt</v>
      </c>
      <c r="F83" s="370">
        <v>0.42542351087162755</v>
      </c>
      <c r="G83" s="221" t="str">
        <f xml:space="preserve"> Dashboard!S$89</f>
        <v>%</v>
      </c>
      <c r="I83" s="514">
        <f t="shared" si="12"/>
        <v>0</v>
      </c>
      <c r="J83" s="288">
        <f t="shared" si="13"/>
        <v>0</v>
      </c>
      <c r="K83" s="1050"/>
      <c r="L83" s="286"/>
      <c r="M83" s="1050">
        <v>0.42542351087162755</v>
      </c>
      <c r="N83" s="284"/>
    </row>
    <row r="84" spans="1:25">
      <c r="A84" s="1041"/>
      <c r="C84" s="1041"/>
      <c r="D84" s="1041"/>
      <c r="E84" s="1041"/>
      <c r="F84" s="1041"/>
      <c r="G84" s="1041"/>
      <c r="H84" s="1041"/>
      <c r="I84" s="1051"/>
      <c r="J84" s="1041"/>
      <c r="K84" s="1041"/>
      <c r="L84" s="284"/>
      <c r="M84" s="1041"/>
      <c r="N84" s="284"/>
      <c r="O84" s="1041"/>
      <c r="P84" s="1041"/>
      <c r="Q84" s="1041"/>
      <c r="R84" s="1041"/>
      <c r="S84" s="1041"/>
      <c r="T84" s="1041"/>
      <c r="U84" s="1041"/>
      <c r="V84" s="1041"/>
      <c r="W84" s="1041"/>
      <c r="X84" s="1041"/>
      <c r="Y84" s="1041"/>
    </row>
    <row r="85" spans="1:25" s="285" customFormat="1" ht="12.75" customHeight="1">
      <c r="A85" s="276" t="str">
        <f>Translate!$E$639</f>
        <v>Checks</v>
      </c>
      <c r="B85" s="276"/>
      <c r="C85" s="276"/>
      <c r="D85" s="276"/>
      <c r="E85" s="276"/>
      <c r="F85" s="276"/>
      <c r="G85" s="276"/>
      <c r="H85" s="276"/>
      <c r="I85" s="515"/>
      <c r="J85" s="276"/>
      <c r="K85" s="276"/>
      <c r="L85" s="276"/>
      <c r="M85" s="276"/>
      <c r="N85" s="276"/>
      <c r="O85" s="276"/>
      <c r="P85" s="276"/>
      <c r="Q85" s="276"/>
      <c r="R85" s="276"/>
      <c r="S85" s="276"/>
      <c r="T85" s="276"/>
      <c r="U85" s="276"/>
      <c r="V85" s="276"/>
      <c r="W85" s="276"/>
      <c r="X85" s="276"/>
      <c r="Y85" s="276"/>
    </row>
    <row r="86" spans="1:25">
      <c r="A86" s="1041"/>
      <c r="C86" s="1041"/>
      <c r="D86" s="1041"/>
      <c r="E86" s="1041"/>
      <c r="F86" s="1041"/>
      <c r="G86" s="1041"/>
      <c r="H86" s="1041"/>
      <c r="I86" s="1051"/>
      <c r="J86" s="1041"/>
      <c r="K86" s="1041"/>
      <c r="L86" s="284"/>
      <c r="M86" s="1041"/>
      <c r="N86" s="284"/>
      <c r="O86" s="1041"/>
      <c r="P86" s="1041"/>
      <c r="Q86" s="1041"/>
      <c r="R86" s="1041"/>
      <c r="S86" s="1041"/>
      <c r="T86" s="1041"/>
      <c r="U86" s="1041"/>
      <c r="V86" s="1041"/>
      <c r="W86" s="1041"/>
      <c r="X86" s="1041"/>
      <c r="Y86" s="1041"/>
    </row>
    <row r="87" spans="1:25">
      <c r="A87" s="1041"/>
      <c r="C87" s="1041"/>
      <c r="D87" s="1041"/>
      <c r="E87" s="221" t="e">
        <f ca="1" xml:space="preserve"> ReadMe!J$5</f>
        <v>#VALUE!</v>
      </c>
      <c r="F87" s="282">
        <f ca="1" xml:space="preserve"> ReadMe!K$5</f>
        <v>0</v>
      </c>
      <c r="G87" s="221" t="str">
        <f xml:space="preserve"> ReadMe!L$5</f>
        <v>Check</v>
      </c>
      <c r="H87" s="1041"/>
      <c r="I87" s="514">
        <f ca="1" xml:space="preserve"> IF(ABS(J87) &gt; CHK_TOL, 1, 0)</f>
        <v>0</v>
      </c>
      <c r="J87" s="288">
        <f t="shared" ref="J87:J94" ca="1" si="14" xml:space="preserve"> IF(OR(ISTEXT(F87), ISTEXT(INDEX(L87:N87, $I$4))), 0, F87 - INDEX(L87:N87, $I$4))</f>
        <v>0</v>
      </c>
      <c r="K87" s="1041"/>
      <c r="L87" s="284"/>
      <c r="M87" s="282">
        <v>0</v>
      </c>
      <c r="N87" s="284"/>
      <c r="O87" s="1041"/>
      <c r="P87" s="1041"/>
      <c r="Q87" s="1041"/>
      <c r="R87" s="1041"/>
      <c r="S87" s="1041"/>
      <c r="T87" s="1041"/>
      <c r="U87" s="1041"/>
      <c r="V87" s="1041"/>
      <c r="W87" s="1041"/>
      <c r="X87" s="1041"/>
      <c r="Y87" s="1041"/>
    </row>
    <row r="88" spans="1:25">
      <c r="A88" s="1041"/>
      <c r="C88" s="1041"/>
      <c r="D88" s="1041"/>
      <c r="E88" s="221" t="e">
        <f ca="1" xml:space="preserve"> ReadMe!J$6</f>
        <v>#VALUE!</v>
      </c>
      <c r="F88" s="282">
        <f xml:space="preserve"> ReadMe!K$6</f>
        <v>0</v>
      </c>
      <c r="G88" s="221" t="str">
        <f xml:space="preserve"> ReadMe!L$6</f>
        <v>Check</v>
      </c>
      <c r="H88" s="1041"/>
      <c r="I88" s="514">
        <f t="shared" ref="I88:I94" si="15" xml:space="preserve"> IF(ABS(J88) &gt; CHK_TOL, 1, 0)</f>
        <v>0</v>
      </c>
      <c r="J88" s="288">
        <f t="shared" si="14"/>
        <v>0</v>
      </c>
      <c r="K88" s="1041"/>
      <c r="L88" s="284"/>
      <c r="M88" s="282">
        <v>0</v>
      </c>
      <c r="N88" s="284"/>
      <c r="O88" s="1041"/>
      <c r="P88" s="1041"/>
      <c r="Q88" s="1041"/>
      <c r="R88" s="1041"/>
      <c r="S88" s="1041"/>
      <c r="T88" s="1041"/>
      <c r="U88" s="1041"/>
      <c r="V88" s="1041"/>
      <c r="W88" s="1041"/>
      <c r="X88" s="1041"/>
      <c r="Y88" s="1041"/>
    </row>
    <row r="89" spans="1:25">
      <c r="A89" s="1041"/>
      <c r="C89" s="1041"/>
      <c r="D89" s="1041"/>
      <c r="E89" s="221" t="e">
        <f ca="1" xml:space="preserve"> ReadMe!J$7</f>
        <v>#VALUE!</v>
      </c>
      <c r="F89" s="282">
        <f ca="1" xml:space="preserve"> ReadMe!K$7</f>
        <v>0</v>
      </c>
      <c r="G89" s="221" t="str">
        <f xml:space="preserve"> ReadMe!L$7</f>
        <v>Check</v>
      </c>
      <c r="H89" s="1041"/>
      <c r="I89" s="514">
        <f t="shared" ca="1" si="15"/>
        <v>0</v>
      </c>
      <c r="J89" s="288">
        <f t="shared" ca="1" si="14"/>
        <v>0</v>
      </c>
      <c r="K89" s="1041"/>
      <c r="L89" s="284"/>
      <c r="M89" s="282">
        <v>0</v>
      </c>
      <c r="N89" s="284"/>
      <c r="O89" s="1041"/>
      <c r="P89" s="1041"/>
      <c r="Q89" s="1041"/>
      <c r="R89" s="1041"/>
      <c r="S89" s="1041"/>
      <c r="T89" s="1041"/>
      <c r="U89" s="1041"/>
      <c r="V89" s="1041"/>
      <c r="W89" s="1041"/>
      <c r="X89" s="1041"/>
      <c r="Y89" s="1041"/>
    </row>
    <row r="90" spans="1:25">
      <c r="A90" s="1041"/>
      <c r="C90" s="1041"/>
      <c r="D90" s="1041"/>
      <c r="E90" s="221" t="e">
        <f ca="1" xml:space="preserve"> ReadMe!J$8</f>
        <v>#VALUE!</v>
      </c>
      <c r="F90" s="282">
        <f ca="1" xml:space="preserve"> ReadMe!K$8</f>
        <v>0</v>
      </c>
      <c r="G90" s="221" t="str">
        <f xml:space="preserve"> ReadMe!L$8</f>
        <v>Check</v>
      </c>
      <c r="H90" s="1041"/>
      <c r="I90" s="514">
        <f t="shared" ca="1" si="15"/>
        <v>0</v>
      </c>
      <c r="J90" s="288">
        <f t="shared" ca="1" si="14"/>
        <v>0</v>
      </c>
      <c r="K90" s="1041"/>
      <c r="L90" s="284"/>
      <c r="M90" s="282">
        <v>0</v>
      </c>
      <c r="N90" s="284"/>
      <c r="O90" s="1041"/>
      <c r="P90" s="1041"/>
      <c r="Q90" s="1041"/>
      <c r="R90" s="1041"/>
      <c r="S90" s="1041"/>
      <c r="T90" s="1041"/>
      <c r="U90" s="1041"/>
      <c r="V90" s="1041"/>
      <c r="W90" s="1041"/>
      <c r="X90" s="1041"/>
      <c r="Y90" s="1041"/>
    </row>
    <row r="91" spans="1:25">
      <c r="A91" s="1041"/>
      <c r="C91" s="1041"/>
      <c r="D91" s="1041"/>
      <c r="E91" s="221" t="e">
        <f ca="1" xml:space="preserve"> ReadMe!J$9</f>
        <v>#VALUE!</v>
      </c>
      <c r="F91" s="282">
        <f ca="1" xml:space="preserve"> ReadMe!K$9</f>
        <v>0</v>
      </c>
      <c r="G91" s="221" t="str">
        <f xml:space="preserve"> ReadMe!L$9</f>
        <v>Check</v>
      </c>
      <c r="H91" s="1041"/>
      <c r="I91" s="514">
        <f t="shared" ca="1" si="15"/>
        <v>0</v>
      </c>
      <c r="J91" s="288">
        <f t="shared" ca="1" si="14"/>
        <v>0</v>
      </c>
      <c r="K91" s="1041"/>
      <c r="L91" s="284"/>
      <c r="M91" s="282">
        <v>0</v>
      </c>
      <c r="N91" s="284"/>
      <c r="O91" s="1041"/>
      <c r="P91" s="1041"/>
      <c r="Q91" s="1041"/>
      <c r="R91" s="1041"/>
      <c r="S91" s="1041"/>
      <c r="T91" s="1041"/>
      <c r="U91" s="1041"/>
      <c r="V91" s="1041"/>
      <c r="W91" s="1041"/>
      <c r="X91" s="1041"/>
      <c r="Y91" s="1041"/>
    </row>
    <row r="92" spans="1:25">
      <c r="A92" s="1041"/>
      <c r="C92" s="1041"/>
      <c r="D92" s="1041"/>
      <c r="E92" s="221" t="e">
        <f ca="1" xml:space="preserve"> ReadMe!J$10</f>
        <v>#VALUE!</v>
      </c>
      <c r="F92" s="282">
        <f ca="1" xml:space="preserve"> ReadMe!K$10</f>
        <v>0</v>
      </c>
      <c r="G92" s="221" t="str">
        <f xml:space="preserve"> ReadMe!L$10</f>
        <v>Check</v>
      </c>
      <c r="H92" s="1041"/>
      <c r="I92" s="514">
        <f t="shared" ca="1" si="15"/>
        <v>0</v>
      </c>
      <c r="J92" s="288">
        <f t="shared" ca="1" si="14"/>
        <v>0</v>
      </c>
      <c r="K92" s="1041"/>
      <c r="L92" s="284"/>
      <c r="M92" s="282">
        <v>0</v>
      </c>
      <c r="N92" s="284"/>
      <c r="O92" s="1041"/>
      <c r="P92" s="1041"/>
      <c r="Q92" s="1041"/>
      <c r="R92" s="1041"/>
      <c r="S92" s="1041"/>
      <c r="T92" s="1041"/>
      <c r="U92" s="1041"/>
      <c r="V92" s="1041"/>
      <c r="W92" s="1041"/>
      <c r="X92" s="1041"/>
      <c r="Y92" s="1041"/>
    </row>
    <row r="93" spans="1:25">
      <c r="A93" s="1041"/>
      <c r="C93" s="1041"/>
      <c r="D93" s="1041"/>
      <c r="E93" s="221" t="e">
        <f ca="1" xml:space="preserve"> ReadMe!J$11</f>
        <v>#VALUE!</v>
      </c>
      <c r="F93" s="282">
        <f xml:space="preserve"> ReadMe!K$11</f>
        <v>0</v>
      </c>
      <c r="G93" s="221" t="str">
        <f xml:space="preserve"> ReadMe!L$11</f>
        <v>Check</v>
      </c>
      <c r="H93" s="1041"/>
      <c r="I93" s="514">
        <f t="shared" si="15"/>
        <v>0</v>
      </c>
      <c r="J93" s="288">
        <f t="shared" si="14"/>
        <v>0</v>
      </c>
      <c r="K93" s="1041"/>
      <c r="L93" s="284"/>
      <c r="M93" s="282">
        <v>0</v>
      </c>
      <c r="N93" s="284"/>
      <c r="O93" s="1041"/>
      <c r="P93" s="1041"/>
      <c r="Q93" s="1041"/>
      <c r="R93" s="1041"/>
      <c r="S93" s="1041"/>
      <c r="T93" s="1041"/>
      <c r="U93" s="1041"/>
      <c r="V93" s="1041"/>
      <c r="W93" s="1041"/>
      <c r="X93" s="1041"/>
      <c r="Y93" s="1041"/>
    </row>
    <row r="94" spans="1:25">
      <c r="A94" s="1041"/>
      <c r="C94" s="1041"/>
      <c r="D94" s="1041"/>
      <c r="E94" s="221" t="e">
        <f ca="1" xml:space="preserve"> ReadMe!J$12</f>
        <v>#VALUE!</v>
      </c>
      <c r="F94" s="282">
        <f xml:space="preserve"> ReadMe!K$12</f>
        <v>0</v>
      </c>
      <c r="G94" s="221" t="str">
        <f xml:space="preserve"> ReadMe!L$12</f>
        <v>Check</v>
      </c>
      <c r="H94" s="1041"/>
      <c r="I94" s="514">
        <f t="shared" si="15"/>
        <v>0</v>
      </c>
      <c r="J94" s="288">
        <f t="shared" si="14"/>
        <v>0</v>
      </c>
      <c r="K94" s="1041"/>
      <c r="L94" s="284"/>
      <c r="M94" s="282">
        <v>0</v>
      </c>
      <c r="N94" s="284"/>
      <c r="O94" s="1041"/>
      <c r="P94" s="1041"/>
      <c r="Q94" s="1041"/>
      <c r="R94" s="1041"/>
      <c r="S94" s="1041"/>
      <c r="T94" s="1041"/>
      <c r="U94" s="1041"/>
      <c r="V94" s="1041"/>
      <c r="W94" s="1041"/>
      <c r="X94" s="1041"/>
      <c r="Y94" s="1041"/>
    </row>
    <row r="95" spans="1:25">
      <c r="A95" s="1041"/>
      <c r="C95" s="1041"/>
      <c r="D95" s="1041"/>
      <c r="E95" s="1041"/>
      <c r="F95" s="1041"/>
      <c r="G95" s="1041"/>
      <c r="H95" s="1041"/>
      <c r="I95" s="1041"/>
      <c r="J95" s="1041"/>
      <c r="K95" s="1041"/>
      <c r="L95" s="284"/>
      <c r="M95" s="1041"/>
      <c r="N95" s="284"/>
      <c r="O95" s="1041"/>
      <c r="P95" s="1041"/>
      <c r="Q95" s="1041"/>
      <c r="R95" s="1041"/>
      <c r="S95" s="1041"/>
      <c r="T95" s="1041"/>
      <c r="U95" s="1041"/>
      <c r="V95" s="1041"/>
      <c r="W95" s="1041"/>
      <c r="X95" s="1041"/>
      <c r="Y95" s="1041"/>
    </row>
    <row r="96" spans="1:25" s="285" customFormat="1" ht="12.75" customHeight="1">
      <c r="A96" s="276" t="str">
        <f>Translate!$E$568</f>
        <v>Model info</v>
      </c>
      <c r="B96" s="276"/>
      <c r="C96" s="276"/>
      <c r="D96" s="276"/>
      <c r="E96" s="276"/>
      <c r="F96" s="276"/>
      <c r="G96" s="276"/>
      <c r="H96" s="276"/>
      <c r="I96" s="276"/>
      <c r="J96" s="276"/>
      <c r="K96" s="276"/>
      <c r="L96" s="276"/>
      <c r="M96" s="276"/>
      <c r="N96" s="284"/>
      <c r="O96" s="276"/>
      <c r="P96" s="276"/>
      <c r="Q96" s="276"/>
      <c r="R96" s="276"/>
      <c r="S96" s="276"/>
      <c r="T96" s="276"/>
      <c r="U96" s="276"/>
      <c r="V96" s="276"/>
      <c r="W96" s="276"/>
      <c r="X96" s="276"/>
      <c r="Y96" s="276"/>
    </row>
    <row r="97" spans="1:25" s="285" customFormat="1" ht="12.75" customHeight="1">
      <c r="A97" s="287"/>
      <c r="B97" s="287"/>
      <c r="C97" s="289"/>
      <c r="D97" s="290"/>
      <c r="E97" s="291"/>
      <c r="F97" s="291"/>
      <c r="G97" s="291"/>
      <c r="L97" s="284"/>
      <c r="M97" s="291"/>
      <c r="N97" s="284"/>
    </row>
    <row r="98" spans="1:25" s="285" customFormat="1" ht="12.75" customHeight="1">
      <c r="A98" s="287"/>
      <c r="B98" s="287"/>
      <c r="C98" s="289"/>
      <c r="D98" s="290"/>
      <c r="E98" s="870" t="str">
        <f xml:space="preserve"> Translate!E$613</f>
        <v>Date</v>
      </c>
      <c r="F98" s="292">
        <f ca="1" xml:space="preserve"> TODAY()</f>
        <v>44991</v>
      </c>
      <c r="H98" s="292"/>
      <c r="L98" s="284"/>
      <c r="M98" s="293">
        <v>44747</v>
      </c>
      <c r="N98" s="284"/>
    </row>
    <row r="99" spans="1:25" s="285" customFormat="1" ht="12.75" customHeight="1">
      <c r="A99" s="287"/>
      <c r="B99" s="287"/>
      <c r="C99" s="289"/>
      <c r="D99" s="290"/>
      <c r="E99" s="870" t="str">
        <f xml:space="preserve"> Translate!E$614</f>
        <v>Time</v>
      </c>
      <c r="F99" s="294">
        <f ca="1" xml:space="preserve"> NOW()</f>
        <v>44991.705073726851</v>
      </c>
      <c r="H99" s="294"/>
      <c r="L99" s="284"/>
      <c r="M99" s="295">
        <v>44747.511200231478</v>
      </c>
      <c r="N99" s="284"/>
    </row>
    <row r="100" spans="1:25" s="285" customFormat="1" ht="12.75" customHeight="1">
      <c r="A100" s="287"/>
      <c r="B100" s="287"/>
      <c r="C100" s="289"/>
      <c r="D100" s="290"/>
      <c r="E100" s="871" t="str">
        <f xml:space="preserve"> Translate!E$615</f>
        <v>File</v>
      </c>
      <c r="F100" s="283" t="e">
        <f ca="1" xml:space="preserve"> MID(CELL("filename",$A$1), SEARCH("[", CELL("filename",$A$1)) + 1, SEARCH("]", CELL("filename",$A$1)) - SEARCH("[", CELL("filename",$A$1)) - 1)</f>
        <v>#VALUE!</v>
      </c>
      <c r="H100" s="283"/>
      <c r="L100" s="284"/>
      <c r="M100" s="296" t="s">
        <v>21</v>
      </c>
      <c r="N100" s="284"/>
    </row>
    <row r="101" spans="1:25" s="285" customFormat="1" ht="12.75" customHeight="1">
      <c r="A101" s="287"/>
      <c r="B101" s="287"/>
      <c r="C101" s="289"/>
      <c r="D101" s="290"/>
      <c r="E101" s="291"/>
      <c r="F101" s="291"/>
      <c r="G101" s="291"/>
      <c r="L101" s="284"/>
      <c r="M101" s="291"/>
      <c r="N101" s="284"/>
    </row>
    <row r="102" spans="1:25" s="285" customFormat="1" ht="12.75" customHeight="1">
      <c r="A102" s="278"/>
      <c r="B102" s="278"/>
      <c r="C102" s="279"/>
      <c r="D102" s="280"/>
      <c r="E102" s="872" t="str">
        <f xml:space="preserve"> Translate!E$618</f>
        <v>Bottom of track results</v>
      </c>
      <c r="F102" s="281"/>
      <c r="G102" s="281"/>
      <c r="H102" s="281"/>
      <c r="I102" s="281"/>
      <c r="J102" s="281"/>
      <c r="K102" s="281"/>
      <c r="L102" s="284"/>
      <c r="M102" s="281"/>
      <c r="N102" s="284"/>
      <c r="O102" s="281"/>
      <c r="P102" s="281"/>
      <c r="Q102" s="281"/>
      <c r="R102" s="281"/>
      <c r="S102" s="281"/>
      <c r="T102" s="281"/>
      <c r="U102" s="281"/>
      <c r="V102" s="281"/>
      <c r="W102" s="281"/>
      <c r="X102" s="281"/>
      <c r="Y102" s="281"/>
    </row>
    <row r="103" spans="1:25" s="285" customFormat="1" ht="12.75" customHeight="1">
      <c r="A103" s="276" t="str">
        <f>Translate!$E$569</f>
        <v>Comments and version changes</v>
      </c>
      <c r="B103" s="276"/>
      <c r="C103" s="276"/>
      <c r="D103" s="276"/>
      <c r="E103" s="276"/>
      <c r="F103" s="276"/>
      <c r="G103" s="276"/>
      <c r="H103" s="276"/>
      <c r="I103" s="276"/>
      <c r="J103" s="276"/>
      <c r="K103" s="276"/>
      <c r="L103" s="276"/>
      <c r="M103" s="276"/>
      <c r="N103" s="276"/>
      <c r="O103" s="276"/>
      <c r="P103" s="276"/>
      <c r="Q103" s="276"/>
      <c r="R103" s="276"/>
      <c r="S103" s="276"/>
      <c r="T103" s="276"/>
      <c r="U103" s="276"/>
      <c r="V103" s="276"/>
      <c r="W103" s="276"/>
      <c r="X103" s="276"/>
      <c r="Y103" s="276"/>
    </row>
    <row r="104" spans="1:25" s="283" customFormat="1" ht="159" customHeight="1">
      <c r="A104" s="287"/>
      <c r="B104" s="287"/>
      <c r="C104" s="289"/>
      <c r="D104" s="290"/>
      <c r="E104" s="871" t="str">
        <f xml:space="preserve"> Translate!E$619</f>
        <v>Describe changes</v>
      </c>
      <c r="K104" s="285"/>
      <c r="L104" s="284"/>
      <c r="M104" s="297"/>
      <c r="N104" s="284"/>
    </row>
  </sheetData>
  <mergeCells count="9">
    <mergeCell ref="P12:Y12"/>
    <mergeCell ref="P9:Y11"/>
    <mergeCell ref="P18:Y18"/>
    <mergeCell ref="P19:Y20"/>
    <mergeCell ref="P13:Y13"/>
    <mergeCell ref="P14:Y14"/>
    <mergeCell ref="P15:Y15"/>
    <mergeCell ref="P16:Y16"/>
    <mergeCell ref="P17:Y17"/>
  </mergeCells>
  <conditionalFormatting sqref="I21:I28 I31:I38 I10:I18 I57:I67">
    <cfRule type="cellIs" dxfId="323" priority="35" stopIfTrue="1" operator="notEqual">
      <formula>0</formula>
    </cfRule>
    <cfRule type="cellIs" dxfId="322" priority="36" stopIfTrue="1" operator="equal">
      <formula>""</formula>
    </cfRule>
  </conditionalFormatting>
  <conditionalFormatting sqref="I41:I49">
    <cfRule type="cellIs" dxfId="321" priority="29" stopIfTrue="1" operator="notEqual">
      <formula>0</formula>
    </cfRule>
    <cfRule type="cellIs" dxfId="320" priority="30" stopIfTrue="1" operator="equal">
      <formula>""</formula>
    </cfRule>
  </conditionalFormatting>
  <conditionalFormatting sqref="I51">
    <cfRule type="cellIs" dxfId="319" priority="27" stopIfTrue="1" operator="notEqual">
      <formula>0</formula>
    </cfRule>
    <cfRule type="cellIs" dxfId="318" priority="28" stopIfTrue="1" operator="equal">
      <formula>""</formula>
    </cfRule>
  </conditionalFormatting>
  <conditionalFormatting sqref="I55">
    <cfRule type="cellIs" dxfId="317" priority="25" stopIfTrue="1" operator="notEqual">
      <formula>0</formula>
    </cfRule>
    <cfRule type="cellIs" dxfId="316" priority="26" stopIfTrue="1" operator="equal">
      <formula>""</formula>
    </cfRule>
  </conditionalFormatting>
  <conditionalFormatting sqref="F87:F94">
    <cfRule type="cellIs" dxfId="315" priority="19" stopIfTrue="1" operator="notEqual">
      <formula>0</formula>
    </cfRule>
    <cfRule type="cellIs" dxfId="314" priority="20" stopIfTrue="1" operator="equal">
      <formula>""</formula>
    </cfRule>
  </conditionalFormatting>
  <conditionalFormatting sqref="I87:I94">
    <cfRule type="cellIs" dxfId="313" priority="17" stopIfTrue="1" operator="notEqual">
      <formula>0</formula>
    </cfRule>
    <cfRule type="cellIs" dxfId="312" priority="18" stopIfTrue="1" operator="equal">
      <formula>""</formula>
    </cfRule>
  </conditionalFormatting>
  <conditionalFormatting sqref="F1">
    <cfRule type="cellIs" dxfId="311" priority="9" stopIfTrue="1" operator="notEqual">
      <formula>0</formula>
    </cfRule>
    <cfRule type="cellIs" dxfId="310" priority="10" stopIfTrue="1" operator="equal">
      <formula>""</formula>
    </cfRule>
  </conditionalFormatting>
  <conditionalFormatting sqref="M87:M94">
    <cfRule type="cellIs" dxfId="309" priority="7" stopIfTrue="1" operator="notEqual">
      <formula>0</formula>
    </cfRule>
    <cfRule type="cellIs" dxfId="308" priority="8" stopIfTrue="1" operator="equal">
      <formula>""</formula>
    </cfRule>
  </conditionalFormatting>
  <conditionalFormatting sqref="I14">
    <cfRule type="cellIs" dxfId="307" priority="5" stopIfTrue="1" operator="notEqual">
      <formula>0</formula>
    </cfRule>
    <cfRule type="cellIs" dxfId="306" priority="6" stopIfTrue="1" operator="equal">
      <formula>""</formula>
    </cfRule>
  </conditionalFormatting>
  <conditionalFormatting sqref="I72:I76">
    <cfRule type="cellIs" dxfId="305" priority="3" stopIfTrue="1" operator="notEqual">
      <formula>0</formula>
    </cfRule>
    <cfRule type="cellIs" dxfId="304" priority="4" stopIfTrue="1" operator="equal">
      <formula>""</formula>
    </cfRule>
  </conditionalFormatting>
  <conditionalFormatting sqref="I79:I83">
    <cfRule type="cellIs" dxfId="303" priority="1" stopIfTrue="1" operator="notEqual">
      <formula>0</formula>
    </cfRule>
    <cfRule type="cellIs" dxfId="302" priority="2" stopIfTrue="1" operator="equal">
      <formula>""</formula>
    </cfRule>
  </conditionalFormatting>
  <dataValidations count="1">
    <dataValidation type="list" allowBlank="1" showInputMessage="1" showErrorMessage="1" sqref="E2" xr:uid="{202B7546-5F0B-4E86-90C4-40EC2960F2C4}">
      <formula1>$L$4:$N$4</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2060"/>
    <pageSetUpPr autoPageBreaks="0"/>
  </sheetPr>
  <dimension ref="A1:BO200"/>
  <sheetViews>
    <sheetView showGridLines="0" zoomScale="55" zoomScaleNormal="55" workbookViewId="0">
      <selection activeCell="C15" sqref="C15"/>
    </sheetView>
  </sheetViews>
  <sheetFormatPr defaultColWidth="0" defaultRowHeight="15" zeroHeight="1"/>
  <cols>
    <col min="1" max="1" width="3.7109375" style="4" customWidth="1"/>
    <col min="2" max="2" width="63.140625" style="4" customWidth="1"/>
    <col min="3" max="3" width="20.5703125" style="4" customWidth="1"/>
    <col min="4" max="4" width="19.42578125" style="4" customWidth="1"/>
    <col min="5" max="5" width="9" style="4" customWidth="1"/>
    <col min="6" max="6" width="33.7109375" style="4" customWidth="1"/>
    <col min="7" max="12" width="11.42578125" style="4" customWidth="1"/>
    <col min="13" max="13" width="9.42578125" style="4" customWidth="1"/>
    <col min="14" max="14" width="81.85546875" style="4" bestFit="1" customWidth="1"/>
    <col min="15" max="15" width="14.7109375" style="4" customWidth="1"/>
    <col min="16" max="16" width="15.85546875" style="4" customWidth="1"/>
    <col min="17" max="17" width="3.7109375" style="4" customWidth="1"/>
    <col min="18" max="18" width="91.85546875" style="4" bestFit="1" customWidth="1"/>
    <col min="19" max="19" width="22.140625" style="4" bestFit="1" customWidth="1"/>
    <col min="20" max="59" width="9.7109375" style="4" customWidth="1"/>
    <col min="60" max="67" width="0" style="4" hidden="1" customWidth="1"/>
    <col min="68" max="16384" width="9.140625" style="4" hidden="1"/>
  </cols>
  <sheetData>
    <row r="1" spans="1:19" ht="15.75" thickBot="1">
      <c r="A1" s="3" t="e">
        <f ca="1" xml:space="preserve"> RIGHT( CELL("filename",$A$1), LEN( CELL("filename",$A$1)) - SEARCH("]", CELL("filename",$A$1)))</f>
        <v>#VALUE!</v>
      </c>
      <c r="B1" s="3"/>
      <c r="C1" s="15">
        <f ca="1" xml:space="preserve"> ReadMe!D7</f>
        <v>0</v>
      </c>
      <c r="D1" s="16" t="str">
        <f xml:space="preserve"> ReadMe!E7</f>
        <v>Checks</v>
      </c>
      <c r="E1" s="17"/>
      <c r="F1" s="254" t="str">
        <f xml:space="preserve"> Inputs!E71</f>
        <v>Simplified Mining FARI model: February 2022</v>
      </c>
      <c r="G1" s="254"/>
      <c r="H1" s="254"/>
      <c r="I1" s="254"/>
      <c r="J1" s="512">
        <f ca="1" xml:space="preserve"> Track!$F$1</f>
        <v>0</v>
      </c>
      <c r="K1" s="16" t="str">
        <f xml:space="preserve"> Track!G1</f>
        <v>Track changes</v>
      </c>
      <c r="L1" s="254"/>
      <c r="M1" s="254"/>
      <c r="N1" s="254"/>
      <c r="O1" s="254"/>
      <c r="P1" s="254"/>
      <c r="Q1" s="17"/>
      <c r="R1" s="41"/>
      <c r="S1" s="41"/>
    </row>
    <row r="2" spans="1:19" ht="5.25" customHeight="1">
      <c r="A2" s="35"/>
      <c r="Q2" s="35"/>
      <c r="R2" s="41"/>
      <c r="S2" s="41"/>
    </row>
    <row r="3" spans="1:19" ht="30">
      <c r="A3" s="35"/>
      <c r="B3" s="36" t="str">
        <f>Translate!$E$453</f>
        <v>Project, Fiscal Regime &amp; Prices</v>
      </c>
      <c r="C3" s="36"/>
      <c r="D3" s="36"/>
      <c r="F3" s="844" t="str">
        <f>Translate!E353</f>
        <v>Participant cashflows</v>
      </c>
      <c r="G3" s="1034" t="str">
        <f>Translate!E$13 &amp; ": " &amp; Inputs!F$85</f>
        <v>IRR: real</v>
      </c>
      <c r="H3" s="1034"/>
      <c r="I3" s="264" t="str">
        <f xml:space="preserve"> Inputs!F$53</f>
        <v>US$ mn 2021</v>
      </c>
      <c r="J3" s="264"/>
      <c r="K3" s="264" t="str">
        <f xml:space="preserve"> Inputs!$F$58</f>
        <v>US$ mn NPV8.0 real</v>
      </c>
      <c r="L3" s="264"/>
      <c r="N3" s="36" t="str">
        <f xml:space="preserve"> Translate!E$366</f>
        <v>Project cashflows and government revenues</v>
      </c>
      <c r="O3" s="946" t="str">
        <f xml:space="preserve"> Analysis!$F$70</f>
        <v>US$ mn 2021</v>
      </c>
      <c r="P3" s="946" t="str">
        <f ca="1" xml:space="preserve"> D17</f>
        <v>US$ 2021 / ounce</v>
      </c>
      <c r="Q3" s="35"/>
      <c r="R3" s="41"/>
      <c r="S3" s="41"/>
    </row>
    <row r="4" spans="1:19" ht="30">
      <c r="A4" s="35"/>
      <c r="C4" s="38"/>
      <c r="F4" s="39"/>
      <c r="G4" s="945" t="str">
        <f xml:space="preserve"> Inputs!F$83</f>
        <v>full-cycle</v>
      </c>
      <c r="H4" s="945" t="str">
        <f xml:space="preserve"> Inputs!F$84</f>
        <v>FID forward</v>
      </c>
      <c r="I4" s="945" t="str">
        <f xml:space="preserve"> Inputs!F$83</f>
        <v>full-cycle</v>
      </c>
      <c r="J4" s="945" t="str">
        <f xml:space="preserve"> Inputs!F$84</f>
        <v>FID forward</v>
      </c>
      <c r="K4" s="945" t="str">
        <f xml:space="preserve"> Inputs!F$83</f>
        <v>full-cycle</v>
      </c>
      <c r="L4" s="945" t="str">
        <f xml:space="preserve"> Inputs!F$84</f>
        <v>FID forward</v>
      </c>
      <c r="Q4" s="35"/>
      <c r="R4" s="41"/>
      <c r="S4" s="41"/>
    </row>
    <row r="5" spans="1:19" ht="15" customHeight="1">
      <c r="A5" s="35"/>
      <c r="B5" s="4" t="str">
        <f>Translate!$E$482</f>
        <v>Language</v>
      </c>
      <c r="C5" s="487" t="s">
        <v>22</v>
      </c>
      <c r="D5" s="4" t="str">
        <f>Translate!$E$351</f>
        <v>Option</v>
      </c>
      <c r="F5" s="4" t="str">
        <f>Translate!E504</f>
        <v>Project</v>
      </c>
      <c r="G5" s="40">
        <f ca="1" xml:space="preserve"> Analysis!F154</f>
        <v>0.2771083167569921</v>
      </c>
      <c r="H5" s="40">
        <f ca="1" xml:space="preserve"> Analysis!F255</f>
        <v>0.32357722056597038</v>
      </c>
      <c r="I5" s="4">
        <f ca="1" xml:space="preserve"> Analysis!F136</f>
        <v>1504</v>
      </c>
      <c r="J5" s="41">
        <f ca="1" xml:space="preserve"> Analysis!F237</f>
        <v>1534</v>
      </c>
      <c r="K5" s="4">
        <f ca="1" xml:space="preserve"> Analysis!F191</f>
        <v>505.1398131257335</v>
      </c>
      <c r="L5" s="41">
        <f ca="1" xml:space="preserve"> Analysis!F292</f>
        <v>671.39180427224403</v>
      </c>
      <c r="N5" s="4" t="str">
        <f xml:space="preserve"> Analysis!E73</f>
        <v>Sales revenues: gross, after ELT</v>
      </c>
      <c r="O5" s="4">
        <f ca="1" xml:space="preserve"> Analysis!F86</f>
        <v>3000</v>
      </c>
      <c r="P5" s="599">
        <f ca="1" xml:space="preserve"> Analysis!F107</f>
        <v>1500</v>
      </c>
      <c r="Q5" s="35"/>
      <c r="R5" s="41"/>
      <c r="S5" s="41"/>
    </row>
    <row r="6" spans="1:19" ht="15" customHeight="1">
      <c r="A6" s="35"/>
      <c r="B6" s="4" t="str">
        <f>Translate!$E$483</f>
        <v>Fiscal regime selected</v>
      </c>
      <c r="C6" s="487" t="s">
        <v>19</v>
      </c>
      <c r="D6" s="4" t="str">
        <f>Translate!$E$351</f>
        <v>Option</v>
      </c>
      <c r="F6" s="4" t="str">
        <f>Translate!E459</f>
        <v>Mining company</v>
      </c>
      <c r="G6" s="40">
        <f ca="1">Analysis!F155</f>
        <v>0.31384946621920196</v>
      </c>
      <c r="H6" s="40">
        <f ca="1">Analysis!F256</f>
        <v>0.50992349748940002</v>
      </c>
      <c r="I6" s="4">
        <f ca="1" xml:space="preserve"> IFERROR(Analysis!F141, 0)</f>
        <v>831.01304756082709</v>
      </c>
      <c r="J6" s="4">
        <f ca="1" xml:space="preserve"> IFERROR( Analysis!F242, 0)</f>
        <v>861.01304756082686</v>
      </c>
      <c r="K6" s="4">
        <f ca="1">Analysis!F196</f>
        <v>282.69387763624388</v>
      </c>
      <c r="L6" s="4">
        <f ca="1">Analysis!F297</f>
        <v>391.17398998490813</v>
      </c>
      <c r="N6" s="4" t="str">
        <f xml:space="preserve"> Analysis!E74</f>
        <v>Transport costs post-fiscal point, after ELT</v>
      </c>
      <c r="O6" s="4">
        <f ca="1" xml:space="preserve"> Analysis!F87</f>
        <v>50</v>
      </c>
      <c r="P6" s="599">
        <f ca="1" xml:space="preserve"> Analysis!F108</f>
        <v>25</v>
      </c>
      <c r="Q6" s="35"/>
      <c r="R6" s="41"/>
      <c r="S6" s="41"/>
    </row>
    <row r="7" spans="1:19" ht="15" customHeight="1">
      <c r="A7" s="35"/>
      <c r="B7" s="4" t="str">
        <f>Translate!$E$484</f>
        <v>Selected project</v>
      </c>
      <c r="C7" s="488" t="s">
        <v>20</v>
      </c>
      <c r="D7" s="4" t="str">
        <f>Translate!$E$351</f>
        <v>Option</v>
      </c>
      <c r="F7" s="4" t="str">
        <f>Translate!E505</f>
        <v>Lender (Parent company share)</v>
      </c>
      <c r="G7" s="40">
        <f ca="1">Analysis!F156</f>
        <v>5.4762649400369456E-2</v>
      </c>
      <c r="H7" s="40">
        <f ca="1">Analysis!F257</f>
        <v>5.4762649400369456E-2</v>
      </c>
      <c r="I7" s="4">
        <f ca="1" xml:space="preserve"> IFERROR(Analysis!F142, 0)</f>
        <v>60.794447830754194</v>
      </c>
      <c r="J7" s="4">
        <f ca="1" xml:space="preserve"> IFERROR( Analysis!F243, 0)</f>
        <v>60.794447830754194</v>
      </c>
      <c r="K7" s="4">
        <f ca="1">Analysis!F197</f>
        <v>-16.756511524024599</v>
      </c>
      <c r="L7" s="4">
        <f ca="1">Analysis!F298</f>
        <v>-21.108378644952047</v>
      </c>
      <c r="N7" s="4" t="str">
        <f xml:space="preserve"> Analysis!E75</f>
        <v>Sales revenues: net, after ELT</v>
      </c>
      <c r="O7" s="4">
        <f ca="1" xml:space="preserve"> Analysis!F88</f>
        <v>2950</v>
      </c>
      <c r="P7" s="599">
        <f ca="1" xml:space="preserve"> Analysis!F109</f>
        <v>1475</v>
      </c>
      <c r="Q7" s="35"/>
      <c r="R7" s="41"/>
      <c r="S7" s="41"/>
    </row>
    <row r="8" spans="1:19" ht="15" customHeight="1">
      <c r="A8" s="35"/>
      <c r="C8" s="38"/>
      <c r="F8" s="4" t="str">
        <f>Translate!E506</f>
        <v>Mining company + lender</v>
      </c>
      <c r="G8" s="40">
        <f ca="1" xml:space="preserve"> Analysis!F157</f>
        <v>0.20711716461514151</v>
      </c>
      <c r="H8" s="40">
        <f ca="1" xml:space="preserve"> Analysis!F258</f>
        <v>0.24324745050459429</v>
      </c>
      <c r="I8" s="4">
        <f ca="1" xml:space="preserve"> IFERROR( Analysis!F143, 0)</f>
        <v>891.80749539158114</v>
      </c>
      <c r="J8" s="41">
        <f ca="1" xml:space="preserve"> IFERROR( Analysis!F244, 0)</f>
        <v>921.80749539158114</v>
      </c>
      <c r="K8" s="4">
        <f ca="1" xml:space="preserve"> Analysis!F198</f>
        <v>265.93736611221931</v>
      </c>
      <c r="L8" s="41">
        <f ca="1" xml:space="preserve"> Analysis!F299</f>
        <v>370.06561133995615</v>
      </c>
      <c r="P8" s="599"/>
      <c r="Q8" s="35"/>
      <c r="R8" s="41"/>
      <c r="S8" s="41"/>
    </row>
    <row r="9" spans="1:19" ht="15" customHeight="1">
      <c r="A9" s="35"/>
      <c r="B9" s="34" t="str">
        <f xml:space="preserve"> ProjectCashflows!E$9</f>
        <v>Mineral</v>
      </c>
      <c r="C9" s="198" t="str">
        <f ca="1" xml:space="preserve"> ProjectCashflows!F$9</f>
        <v>Gold</v>
      </c>
      <c r="D9" s="34" t="str">
        <f xml:space="preserve"> ProjectCashflows!G$9</f>
        <v>Label</v>
      </c>
      <c r="F9" s="4" t="str">
        <f>Translate!E507</f>
        <v>Government excl. participation</v>
      </c>
      <c r="I9" s="4">
        <f ca="1" xml:space="preserve"> IFERROR( Analysis!F138, 0)</f>
        <v>611.79250460841865</v>
      </c>
      <c r="J9" s="41">
        <f ca="1" xml:space="preserve"> IFERROR(Analysis!F239, 0)</f>
        <v>611.79250460841865</v>
      </c>
      <c r="K9" s="4">
        <f ca="1" xml:space="preserve"> Analysis!F193</f>
        <v>237.30996946654363</v>
      </c>
      <c r="L9" s="41">
        <f ca="1" xml:space="preserve"> Analysis!F294</f>
        <v>298.94221625663874</v>
      </c>
      <c r="N9" s="4" t="str">
        <f xml:space="preserve"> Analysis!E77</f>
        <v>Exploration costs, after ELT</v>
      </c>
      <c r="O9" s="4">
        <f ca="1" xml:space="preserve"> Analysis!F90</f>
        <v>30</v>
      </c>
      <c r="P9" s="599">
        <f ca="1" xml:space="preserve"> Analysis!F111</f>
        <v>15</v>
      </c>
      <c r="Q9" s="35"/>
      <c r="R9" s="41"/>
      <c r="S9" s="41"/>
    </row>
    <row r="10" spans="1:19" ht="15" customHeight="1">
      <c r="A10" s="35"/>
      <c r="F10" s="4" t="str">
        <f>Translate!E152</f>
        <v>State participation</v>
      </c>
      <c r="G10" s="40">
        <f ca="1">Analysis!F158</f>
        <v>0</v>
      </c>
      <c r="H10" s="40">
        <f ca="1" xml:space="preserve"> Analysis!F259</f>
        <v>0</v>
      </c>
      <c r="I10" s="4">
        <f ca="1" xml:space="preserve"> IFERROR( Analysis!F139, 0)</f>
        <v>0</v>
      </c>
      <c r="J10" s="41">
        <f ca="1" xml:space="preserve"> IFERROR(Analysis!F240, 0)</f>
        <v>0</v>
      </c>
      <c r="K10" s="4">
        <f ca="1" xml:space="preserve"> Analysis!F194</f>
        <v>0</v>
      </c>
      <c r="L10" s="41">
        <f ca="1" xml:space="preserve"> Analysis!F295</f>
        <v>0</v>
      </c>
      <c r="N10" s="4" t="str">
        <f xml:space="preserve"> Analysis!E78</f>
        <v>Development costs, after ELT</v>
      </c>
      <c r="O10" s="4">
        <f ca="1" xml:space="preserve"> Analysis!F91</f>
        <v>400</v>
      </c>
      <c r="P10" s="599">
        <f ca="1" xml:space="preserve"> Analysis!F112</f>
        <v>200</v>
      </c>
      <c r="Q10" s="35"/>
      <c r="R10" s="41"/>
      <c r="S10" s="41"/>
    </row>
    <row r="11" spans="1:19" ht="15" customHeight="1">
      <c r="A11" s="35"/>
      <c r="B11" s="36" t="str">
        <f>Translate!$E$485</f>
        <v>Prices (constant real terms)</v>
      </c>
      <c r="C11" s="36"/>
      <c r="D11" s="36"/>
      <c r="F11" s="4" t="str">
        <f>Translate!E508</f>
        <v>Government incl. participation</v>
      </c>
      <c r="I11" s="4">
        <f ca="1" xml:space="preserve"> IFERROR( Analysis!F140, 0)</f>
        <v>611.79250460841865</v>
      </c>
      <c r="J11" s="41">
        <f ca="1" xml:space="preserve"> IFERROR(Analysis!F241, 0)</f>
        <v>611.79250460841865</v>
      </c>
      <c r="K11" s="4">
        <f ca="1" xml:space="preserve"> Analysis!F195</f>
        <v>237.30996946654363</v>
      </c>
      <c r="L11" s="41">
        <f ca="1" xml:space="preserve"> Analysis!F296</f>
        <v>298.94221625663874</v>
      </c>
      <c r="N11" s="4" t="str">
        <f xml:space="preserve"> Analysis!E79</f>
        <v>Replacement capital costs, after ELT</v>
      </c>
      <c r="O11" s="4">
        <f ca="1" xml:space="preserve"> Analysis!F92</f>
        <v>96</v>
      </c>
      <c r="P11" s="599">
        <f ca="1" xml:space="preserve"> Analysis!F113</f>
        <v>48</v>
      </c>
      <c r="Q11" s="35"/>
      <c r="R11" s="41"/>
      <c r="S11" s="41"/>
    </row>
    <row r="12" spans="1:19" ht="15" customHeight="1">
      <c r="A12" s="35"/>
      <c r="B12" s="4" t="str">
        <f>Translate!$E$486</f>
        <v>Gold</v>
      </c>
      <c r="C12" s="481">
        <v>1500</v>
      </c>
      <c r="D12" s="304" t="str">
        <f xml:space="preserve"> Inputs!F$52 &amp; " / " &amp; Translate!E$599</f>
        <v>US$ 2021 / ounce</v>
      </c>
      <c r="F12" s="4" t="str">
        <f>Translate!E$509</f>
        <v>Government share (AETR)</v>
      </c>
      <c r="I12" s="40">
        <f ca="1" xml:space="preserve"> IFERROR( Analysis!F150, 0)</f>
        <v>0.4067769312555975</v>
      </c>
      <c r="J12" s="47">
        <f ca="1" xml:space="preserve"> IFERROR(Analysis!F251, 0)</f>
        <v>0.39882171095724817</v>
      </c>
      <c r="K12" s="40">
        <f ca="1" xml:space="preserve"> Analysis!F205</f>
        <v>0.46979066646539541</v>
      </c>
      <c r="L12" s="47">
        <f ca="1" xml:space="preserve"> Analysis!F306</f>
        <v>0.4452574701603299</v>
      </c>
      <c r="N12" s="4" t="str">
        <f xml:space="preserve"> Analysis!E80</f>
        <v>Operating costs, after ELT</v>
      </c>
      <c r="O12" s="4">
        <f ca="1" xml:space="preserve"> Analysis!F93</f>
        <v>900</v>
      </c>
      <c r="P12" s="599">
        <f ca="1" xml:space="preserve"> Analysis!F114</f>
        <v>450</v>
      </c>
      <c r="Q12" s="35"/>
      <c r="R12" s="41"/>
      <c r="S12" s="41"/>
    </row>
    <row r="13" spans="1:19" ht="15" customHeight="1">
      <c r="A13" s="35"/>
      <c r="B13" s="4" t="str">
        <f>Translate!$E$487</f>
        <v>Iron Ore</v>
      </c>
      <c r="C13" s="481">
        <v>80</v>
      </c>
      <c r="D13" s="304" t="str">
        <f xml:space="preserve"> Inputs!F$52 &amp; " / " &amp; Translate!E$597</f>
        <v>US$ 2021 / DMT</v>
      </c>
      <c r="F13" s="4" t="str">
        <f>Translate!E510</f>
        <v>Government share of project benefits</v>
      </c>
      <c r="I13" s="40">
        <f ca="1" xml:space="preserve"> IFERROR( Analysis!F151, 0)</f>
        <v>0.31633531779132301</v>
      </c>
      <c r="J13" s="47">
        <f ca="1" xml:space="preserve"> IFERROR( Analysis!F252, 0)</f>
        <v>0.31633531779132301</v>
      </c>
      <c r="K13" s="40">
        <f ca="1" xml:space="preserve"> Analysis!F206</f>
        <v>0.28782991830732063</v>
      </c>
      <c r="L13" s="47">
        <f ca="1" xml:space="preserve"> Analysis!F307</f>
        <v>0.28782991830732069</v>
      </c>
      <c r="N13" s="4" t="str">
        <f xml:space="preserve"> Analysis!E81</f>
        <v>Decommissioning costs, after ELT</v>
      </c>
      <c r="O13" s="4">
        <f ca="1" xml:space="preserve"> Analysis!F94</f>
        <v>20</v>
      </c>
      <c r="P13" s="599">
        <f ca="1" xml:space="preserve"> Analysis!F115</f>
        <v>10</v>
      </c>
      <c r="Q13" s="35"/>
      <c r="R13" s="41"/>
      <c r="S13" s="41"/>
    </row>
    <row r="14" spans="1:19" ht="15" customHeight="1">
      <c r="A14" s="35"/>
      <c r="B14" s="4" t="str">
        <f>Translate!$E$488</f>
        <v>Diamond</v>
      </c>
      <c r="C14" s="481">
        <v>250</v>
      </c>
      <c r="D14" s="865" t="str">
        <f xml:space="preserve">  Inputs!F$52 &amp; " / " &amp; Translate!E$592</f>
        <v>US$ 2021 / carat</v>
      </c>
      <c r="F14" s="4" t="str">
        <f>Translate!E511</f>
        <v>Net decommissioning fund</v>
      </c>
      <c r="G14" s="48"/>
      <c r="H14" s="48"/>
      <c r="I14" s="48">
        <f ca="1" xml:space="preserve"> IFERROR( Analysis!F137, 0)</f>
        <v>-0.40000000000000924</v>
      </c>
      <c r="J14" s="49">
        <f ca="1" xml:space="preserve"> IFERROR(Analysis!F238, 0)</f>
        <v>-0.40000000000000924</v>
      </c>
      <c r="K14" s="48">
        <f ca="1" xml:space="preserve"> Analysis!F192</f>
        <v>-1.8924775469705732</v>
      </c>
      <c r="L14" s="49">
        <f ca="1" xml:space="preserve"> Analysis!F293</f>
        <v>-2.3839766756493965</v>
      </c>
      <c r="N14" s="4" t="str">
        <f xml:space="preserve"> Analysis!E82</f>
        <v>Project costs, after ELT</v>
      </c>
      <c r="O14" s="4">
        <f ca="1" xml:space="preserve"> Analysis!F95</f>
        <v>1446</v>
      </c>
      <c r="P14" s="599">
        <f ca="1" xml:space="preserve"> Analysis!F116</f>
        <v>723</v>
      </c>
      <c r="Q14" s="35"/>
      <c r="R14" s="41"/>
      <c r="S14" s="41"/>
    </row>
    <row r="15" spans="1:19" ht="15" customHeight="1">
      <c r="A15" s="35"/>
      <c r="B15" s="4" t="str">
        <f>Translate!$E$489</f>
        <v>Coal</v>
      </c>
      <c r="C15" s="481">
        <v>140</v>
      </c>
      <c r="D15" s="304" t="str">
        <f xml:space="preserve"> Inputs!F$52 &amp; " / " &amp; Translate!E$598</f>
        <v>US$ 2021 / MT</v>
      </c>
      <c r="F15" s="4" t="str">
        <f xml:space="preserve"> Translate!$E$444 &amp; ": " &amp; Translate!$E$12</f>
        <v>Check: Cashflows</v>
      </c>
      <c r="G15" s="48"/>
      <c r="H15" s="48"/>
      <c r="I15" s="61">
        <f ca="1" xml:space="preserve"> IF( ABS( I5 - I6 - I7 - I9 - I10 + I14) &gt; CHK_TOL, 1, 0)</f>
        <v>0</v>
      </c>
      <c r="J15" s="61">
        <f ca="1" xml:space="preserve"> IF( ABS( J5 - J6 - J7 - J9 - J10 + J14) &gt; CHK_TOL, 1, 0)</f>
        <v>0</v>
      </c>
      <c r="K15" s="61">
        <f ca="1" xml:space="preserve"> IF( ABS( K5 - K6 - K7 - K9 - K10 + K14) &gt; CHK_TOL, 1, 0)</f>
        <v>0</v>
      </c>
      <c r="L15" s="61">
        <f ca="1" xml:space="preserve"> IF( ABS( L5 - L6 - L7 - L9 - L10 + L14) &gt; CHK_TOL, 1, 0)</f>
        <v>0</v>
      </c>
      <c r="P15" s="599"/>
      <c r="Q15" s="35"/>
      <c r="R15" s="41"/>
      <c r="S15" s="41"/>
    </row>
    <row r="16" spans="1:19" ht="15" customHeight="1">
      <c r="A16" s="35"/>
      <c r="B16" s="4" t="str">
        <f>Translate!$E$490</f>
        <v xml:space="preserve">OtherMineral </v>
      </c>
      <c r="C16" s="481"/>
      <c r="D16" s="481"/>
      <c r="F16" s="4" t="str">
        <f xml:space="preserve"> Translate!$E$444 &amp; ": " &amp; Translate!$E$512</f>
        <v>Check: AETR</v>
      </c>
      <c r="G16" s="48"/>
      <c r="H16" s="48"/>
      <c r="I16" s="61">
        <f ca="1" xml:space="preserve"> IF( ABS( I11 / I5 - I12) &gt; CHK_TOL, 1, 0)</f>
        <v>0</v>
      </c>
      <c r="J16" s="61">
        <f ca="1" xml:space="preserve"> IF( ABS( J11 / J5 - J12) &gt; CHK_TOL, 1, 0)</f>
        <v>0</v>
      </c>
      <c r="K16" s="61">
        <f ca="1" xml:space="preserve"> IF( ABS( K11 / K5 - K12) &gt; CHK_TOL, 1, 0)</f>
        <v>0</v>
      </c>
      <c r="L16" s="61">
        <f ca="1" xml:space="preserve"> IF( ABS( L11 / L5 - L12) &gt; CHK_TOL, 1, 0)</f>
        <v>0</v>
      </c>
      <c r="N16" s="4" t="str">
        <f xml:space="preserve"> Analysis!E84</f>
        <v>Project cashflow before decommissioning fund</v>
      </c>
      <c r="O16" s="4">
        <f ca="1" xml:space="preserve"> Analysis!F97</f>
        <v>1504</v>
      </c>
      <c r="P16" s="599">
        <f ca="1" xml:space="preserve"> Analysis!F118</f>
        <v>752</v>
      </c>
      <c r="Q16" s="35"/>
      <c r="R16" s="41"/>
      <c r="S16" s="41"/>
    </row>
    <row r="17" spans="1:19">
      <c r="A17" s="35"/>
      <c r="B17" s="43" t="str">
        <f ca="1" xml:space="preserve"> C9 &amp; " " &amp; Translate!$E$442</f>
        <v>Gold (into model)</v>
      </c>
      <c r="C17" s="322">
        <f ca="1" xml:space="preserve"> INDEX(C12:C16, MATCH(C9, B12:B16, 0))</f>
        <v>1500</v>
      </c>
      <c r="D17" s="322" t="str">
        <f ca="1" xml:space="preserve"> INDEX(D12:D16, MATCH(C9, B12:B16, 0))</f>
        <v>US$ 2021 / ounce</v>
      </c>
      <c r="J17" s="50"/>
      <c r="Q17" s="35"/>
      <c r="R17" s="41"/>
      <c r="S17" s="41"/>
    </row>
    <row r="18" spans="1:19">
      <c r="A18" s="35"/>
      <c r="O18"/>
      <c r="Q18" s="35"/>
      <c r="R18" s="41"/>
      <c r="S18" s="41"/>
    </row>
    <row r="19" spans="1:19">
      <c r="A19" s="35"/>
      <c r="B19" s="45" t="str">
        <f>Translate!$E$491</f>
        <v>Price sensitivity</v>
      </c>
      <c r="C19" s="547">
        <v>1</v>
      </c>
      <c r="D19" s="306" t="str">
        <f xml:space="preserve"> Translate!E$356</f>
        <v>factor</v>
      </c>
      <c r="N19" s="36" t="str">
        <f xml:space="preserve"> Translate!E$39</f>
        <v>Government revenues</v>
      </c>
      <c r="O19" s="37" t="str">
        <f xml:space="preserve"> Analysis!$F$70</f>
        <v>US$ mn 2021</v>
      </c>
      <c r="P19" s="37" t="str">
        <f xml:space="preserve"> "% " &amp; Translate!$E$19</f>
        <v>% Total</v>
      </c>
      <c r="Q19" s="35"/>
      <c r="R19" s="41"/>
      <c r="S19" s="41"/>
    </row>
    <row r="20" spans="1:19" ht="15" customHeight="1">
      <c r="A20" s="35"/>
      <c r="B20" s="45" t="str">
        <f>Translate!$E$492</f>
        <v>Production sensitivity</v>
      </c>
      <c r="C20" s="547">
        <v>1</v>
      </c>
      <c r="D20" s="306" t="str">
        <f xml:space="preserve"> Translate!E$356</f>
        <v>factor</v>
      </c>
      <c r="N20" s="41" t="str">
        <f xml:space="preserve"> FiscalModel!E749</f>
        <v>Signature bonus</v>
      </c>
      <c r="O20" s="41">
        <f ca="1" xml:space="preserve"> FiscalModel!F762</f>
        <v>0</v>
      </c>
      <c r="P20" s="40">
        <f t="shared" ref="P20:P30" ca="1" si="0" xml:space="preserve"> IFERROR(O20 / $O$30, 0)</f>
        <v>0</v>
      </c>
      <c r="Q20" s="35"/>
      <c r="R20" s="41"/>
      <c r="S20" s="41"/>
    </row>
    <row r="21" spans="1:19" ht="15" customHeight="1">
      <c r="A21" s="35"/>
      <c r="B21" s="45" t="str">
        <f>Translate!$E$493</f>
        <v>Exploration cost sensitivity</v>
      </c>
      <c r="C21" s="547">
        <v>1</v>
      </c>
      <c r="D21" s="306" t="str">
        <f xml:space="preserve"> Translate!E$356</f>
        <v>factor</v>
      </c>
      <c r="N21" s="4" t="str">
        <f xml:space="preserve"> FiscalModel!E750</f>
        <v>Royalty</v>
      </c>
      <c r="O21" s="4">
        <f ca="1" xml:space="preserve"> FiscalModel!F763</f>
        <v>147.5</v>
      </c>
      <c r="P21" s="40">
        <f t="shared" ca="1" si="0"/>
        <v>0.24109481382811024</v>
      </c>
      <c r="Q21" s="35"/>
      <c r="R21" s="41"/>
      <c r="S21" s="41"/>
    </row>
    <row r="22" spans="1:19" ht="15" customHeight="1">
      <c r="A22" s="35"/>
      <c r="B22" s="45" t="str">
        <f>Translate!$E$494</f>
        <v xml:space="preserve">Capex sensitivity (Development; Replacement; Decommissioning) </v>
      </c>
      <c r="C22" s="547">
        <v>1</v>
      </c>
      <c r="D22" s="306" t="str">
        <f xml:space="preserve"> Translate!E$356</f>
        <v>factor</v>
      </c>
      <c r="N22" s="4" t="str">
        <f xml:space="preserve"> FiscalModel!E751</f>
        <v>Carbon tax</v>
      </c>
      <c r="O22" s="4">
        <f ca="1" xml:space="preserve"> FiscalModel!F764</f>
        <v>0</v>
      </c>
      <c r="P22" s="40">
        <f t="shared" ca="1" si="0"/>
        <v>0</v>
      </c>
      <c r="Q22" s="35"/>
      <c r="R22" s="41"/>
      <c r="S22" s="41"/>
    </row>
    <row r="23" spans="1:19" ht="15" customHeight="1">
      <c r="A23" s="35"/>
      <c r="B23" s="45" t="str">
        <f>Translate!$E$495</f>
        <v>Operating cost sensitivity</v>
      </c>
      <c r="C23" s="547">
        <v>1</v>
      </c>
      <c r="D23" s="306" t="str">
        <f xml:space="preserve"> Translate!E$356</f>
        <v>factor</v>
      </c>
      <c r="N23" s="4" t="str">
        <f xml:space="preserve"> FiscalModel!E752</f>
        <v>CIT: Mining company</v>
      </c>
      <c r="O23" s="4">
        <f ca="1" xml:space="preserve"> FiscalModel!F765</f>
        <v>362.41177277536571</v>
      </c>
      <c r="P23" s="40">
        <f t="shared" ca="1" si="0"/>
        <v>0.59237694160265886</v>
      </c>
      <c r="Q23" s="35"/>
      <c r="R23" s="41"/>
      <c r="S23" s="41"/>
    </row>
    <row r="24" spans="1:19" ht="15" customHeight="1">
      <c r="A24" s="35"/>
      <c r="N24" s="4" t="str">
        <f xml:space="preserve"> FiscalModel!E753</f>
        <v>RRT: Mining company</v>
      </c>
      <c r="O24" s="4">
        <f ca="1" xml:space="preserve"> FiscalModel!F766</f>
        <v>0</v>
      </c>
      <c r="P24" s="40">
        <f t="shared" ca="1" si="0"/>
        <v>0</v>
      </c>
      <c r="Q24" s="35"/>
      <c r="R24" s="41"/>
      <c r="S24" s="41"/>
    </row>
    <row r="25" spans="1:19" ht="15" customHeight="1">
      <c r="A25" s="35"/>
      <c r="B25" s="43" t="str">
        <f>Translate!$E$496</f>
        <v>Discount rate</v>
      </c>
      <c r="C25" s="548">
        <v>0.08</v>
      </c>
      <c r="D25" s="44" t="str">
        <f xml:space="preserve"> "% " &amp; Inputs!F$85</f>
        <v>% real</v>
      </c>
      <c r="N25" s="4" t="str">
        <f xml:space="preserve"> FiscalModel!E754</f>
        <v>Dividend withholding tax</v>
      </c>
      <c r="O25" s="4">
        <f ca="1" xml:space="preserve"> FiscalModel!F767</f>
        <v>95.722174595619009</v>
      </c>
      <c r="P25" s="40">
        <f t="shared" ca="1" si="0"/>
        <v>0.15646182958205171</v>
      </c>
      <c r="Q25" s="35"/>
      <c r="R25" s="41"/>
      <c r="S25" s="41"/>
    </row>
    <row r="26" spans="1:19" ht="15" customHeight="1">
      <c r="A26" s="35"/>
      <c r="N26" s="4" t="str">
        <f xml:space="preserve"> FiscalModel!E755</f>
        <v>Interest withholding tax</v>
      </c>
      <c r="O26" s="4">
        <f ca="1" xml:space="preserve"> FiscalModel!F768</f>
        <v>6.158557237434052</v>
      </c>
      <c r="P26" s="40">
        <f t="shared" ca="1" si="0"/>
        <v>1.0066414987179143E-2</v>
      </c>
      <c r="Q26" s="35"/>
      <c r="R26" s="41"/>
      <c r="S26" s="41"/>
    </row>
    <row r="27" spans="1:19" ht="15" customHeight="1">
      <c r="A27" s="35"/>
      <c r="B27" s="36" t="str">
        <f>Translate!$E$454</f>
        <v>Project statistics and economic limit (EL)</v>
      </c>
      <c r="C27" s="36"/>
      <c r="D27" s="36"/>
      <c r="N27" s="4" t="str">
        <f xml:space="preserve"> FiscalModel!E756</f>
        <v>VAT cashflow: government</v>
      </c>
      <c r="O27" s="4">
        <f ca="1" xml:space="preserve"> FiscalModel!F769</f>
        <v>0</v>
      </c>
      <c r="P27" s="40">
        <f t="shared" ca="1" si="0"/>
        <v>0</v>
      </c>
      <c r="Q27" s="35"/>
      <c r="R27" s="41"/>
      <c r="S27" s="41"/>
    </row>
    <row r="28" spans="1:19" ht="15" customHeight="1">
      <c r="A28" s="35"/>
      <c r="B28" s="4" t="str">
        <f ca="1" xml:space="preserve"> ProjectCashflows!E144</f>
        <v>Gold sales, after ELT, Total</v>
      </c>
      <c r="C28" s="4">
        <f ca="1" xml:space="preserve"> ProjectCashflows!F144</f>
        <v>2000</v>
      </c>
      <c r="D28" s="4" t="str">
        <f ca="1" xml:space="preserve"> ProjectCashflows!G144</f>
        <v>000 ounce</v>
      </c>
      <c r="N28" s="4" t="str">
        <f xml:space="preserve"> FiscalModel!E757</f>
        <v>Government revenues excluding participation</v>
      </c>
      <c r="O28" s="4">
        <f ca="1" xml:space="preserve"> FiscalModel!F770</f>
        <v>611.79250460841877</v>
      </c>
      <c r="P28" s="40">
        <f t="shared" ca="1" si="0"/>
        <v>1</v>
      </c>
      <c r="Q28" s="35"/>
      <c r="R28" s="41"/>
      <c r="S28" s="41"/>
    </row>
    <row r="29" spans="1:19" ht="15" customHeight="1">
      <c r="A29" s="35"/>
      <c r="B29" s="4" t="str">
        <f xml:space="preserve"> ProjectCashflows!E195</f>
        <v>Production years after ELT</v>
      </c>
      <c r="C29" s="4">
        <f ca="1" xml:space="preserve"> ProjectCashflows!F195</f>
        <v>17</v>
      </c>
      <c r="D29" s="4" t="str">
        <f xml:space="preserve"> ProjectCashflows!G195</f>
        <v>Years</v>
      </c>
      <c r="N29" s="4" t="str">
        <f xml:space="preserve"> FiscalModel!E758</f>
        <v>State participation cashflows including share of loan</v>
      </c>
      <c r="O29" s="4">
        <f ca="1" xml:space="preserve"> FiscalModel!F771</f>
        <v>0</v>
      </c>
      <c r="P29" s="40">
        <f t="shared" ca="1" si="0"/>
        <v>0</v>
      </c>
      <c r="Q29" s="35"/>
      <c r="R29" s="41"/>
      <c r="S29" s="41"/>
    </row>
    <row r="30" spans="1:19" ht="15" customHeight="1">
      <c r="A30" s="35"/>
      <c r="B30" s="4" t="str">
        <f xml:space="preserve"> ProjectCashflows!E$133</f>
        <v>EL reached before project end</v>
      </c>
      <c r="C30" s="4">
        <f ca="1" xml:space="preserve"> ProjectCashflows!F$133</f>
        <v>0</v>
      </c>
      <c r="D30" s="4" t="str">
        <f xml:space="preserve"> ProjectCashflows!G$133</f>
        <v>Years</v>
      </c>
      <c r="N30" s="4" t="str">
        <f xml:space="preserve"> FiscalModel!E759</f>
        <v>Government revenues including participation</v>
      </c>
      <c r="O30" s="4">
        <f ca="1" xml:space="preserve"> FiscalModel!F772</f>
        <v>611.79250460841877</v>
      </c>
      <c r="P30" s="40">
        <f t="shared" ca="1" si="0"/>
        <v>1</v>
      </c>
      <c r="Q30" s="35"/>
      <c r="R30" s="41"/>
      <c r="S30" s="41"/>
    </row>
    <row r="31" spans="1:19" ht="15" customHeight="1">
      <c r="A31" s="35"/>
      <c r="B31" s="1035" t="str">
        <f xml:space="preserve"> FiscalModel!E$623</f>
        <v>Mining company post-fiscal EL reached before project EL</v>
      </c>
      <c r="N31" s="304" t="str">
        <f xml:space="preserve"> Translate!E$509</f>
        <v>Government share (AETR)</v>
      </c>
      <c r="O31" s="40">
        <f ca="1" xml:space="preserve"> O30 / I5</f>
        <v>0.40677693125559761</v>
      </c>
      <c r="Q31" s="35"/>
      <c r="R31" s="41"/>
      <c r="S31" s="41"/>
    </row>
    <row r="32" spans="1:19" ht="15" customHeight="1">
      <c r="A32" s="35"/>
      <c r="B32" s="1035"/>
      <c r="C32" s="4">
        <f ca="1" xml:space="preserve"> FiscalModel!F$623</f>
        <v>0</v>
      </c>
      <c r="D32" s="802" t="str">
        <f xml:space="preserve"> FiscalModel!G$623</f>
        <v>Years</v>
      </c>
      <c r="E32" s="2"/>
      <c r="Q32" s="35"/>
      <c r="R32" s="41"/>
      <c r="S32" s="41"/>
    </row>
    <row r="33" spans="1:19" ht="15" customHeight="1">
      <c r="A33" s="35"/>
      <c r="Q33" s="35"/>
      <c r="R33" s="41"/>
      <c r="S33" s="41"/>
    </row>
    <row r="34" spans="1:19">
      <c r="A34" s="35"/>
      <c r="Q34" s="35"/>
      <c r="R34" s="41"/>
      <c r="S34" s="41"/>
    </row>
    <row r="35" spans="1:19">
      <c r="A35" s="35"/>
      <c r="Q35" s="35"/>
      <c r="R35" s="41"/>
      <c r="S35" s="41"/>
    </row>
    <row r="36" spans="1:19">
      <c r="A36" s="35"/>
      <c r="Q36" s="35"/>
      <c r="R36" s="41"/>
      <c r="S36" s="41"/>
    </row>
    <row r="37" spans="1:19">
      <c r="A37" s="35"/>
      <c r="Q37" s="35"/>
      <c r="R37" s="41"/>
      <c r="S37" s="41"/>
    </row>
    <row r="38" spans="1:19">
      <c r="A38" s="35"/>
      <c r="Q38" s="35"/>
      <c r="R38" s="41"/>
      <c r="S38" s="41"/>
    </row>
    <row r="39" spans="1:19">
      <c r="A39" s="35"/>
      <c r="Q39" s="35"/>
      <c r="R39" s="41"/>
      <c r="S39" s="41"/>
    </row>
    <row r="40" spans="1:19">
      <c r="A40" s="35"/>
      <c r="Q40" s="35"/>
      <c r="R40" s="41"/>
      <c r="S40" s="41"/>
    </row>
    <row r="41" spans="1:19">
      <c r="A41" s="35"/>
      <c r="Q41" s="35"/>
      <c r="R41" s="41"/>
      <c r="S41" s="41"/>
    </row>
    <row r="42" spans="1:19">
      <c r="A42" s="35"/>
      <c r="Q42" s="35"/>
      <c r="R42" s="41"/>
      <c r="S42" s="41"/>
    </row>
    <row r="43" spans="1:19">
      <c r="A43" s="35"/>
      <c r="Q43" s="35"/>
      <c r="R43" s="41"/>
      <c r="S43" s="41"/>
    </row>
    <row r="44" spans="1:19">
      <c r="A44" s="35"/>
      <c r="Q44" s="35"/>
      <c r="R44" s="41"/>
      <c r="S44" s="41"/>
    </row>
    <row r="45" spans="1:19">
      <c r="A45" s="35"/>
      <c r="Q45" s="35"/>
      <c r="R45" s="41"/>
      <c r="S45" s="41"/>
    </row>
    <row r="46" spans="1:19" s="41" customFormat="1">
      <c r="A46" s="35"/>
      <c r="B46" s="4"/>
      <c r="C46" s="4"/>
      <c r="D46" s="4"/>
      <c r="E46" s="4"/>
      <c r="F46" s="4"/>
      <c r="G46" s="4"/>
      <c r="H46" s="4"/>
      <c r="I46" s="4"/>
      <c r="J46" s="4"/>
      <c r="K46" s="4"/>
      <c r="L46" s="4"/>
      <c r="M46" s="4"/>
      <c r="N46" s="4"/>
      <c r="O46" s="4"/>
      <c r="P46" s="4"/>
      <c r="Q46" s="35"/>
    </row>
    <row r="47" spans="1:19" ht="20.25" customHeight="1">
      <c r="A47" s="35"/>
      <c r="N47" s="41"/>
      <c r="O47" s="41"/>
      <c r="P47" s="41"/>
      <c r="Q47" s="35"/>
      <c r="R47" s="41"/>
      <c r="S47" s="41"/>
    </row>
    <row r="48" spans="1:19">
      <c r="A48" s="35"/>
      <c r="Q48" s="35"/>
      <c r="R48" s="41"/>
      <c r="S48" s="41"/>
    </row>
    <row r="49" spans="1:59">
      <c r="A49" s="35"/>
      <c r="Q49" s="35"/>
      <c r="R49" s="41"/>
      <c r="S49" s="41"/>
    </row>
    <row r="50" spans="1:59" ht="14.1" customHeight="1">
      <c r="A50" s="35"/>
      <c r="B50" s="35"/>
      <c r="C50" s="35"/>
      <c r="D50" s="35"/>
      <c r="E50" s="35"/>
      <c r="F50" s="35"/>
      <c r="G50" s="35"/>
      <c r="H50" s="35"/>
      <c r="I50" s="35"/>
      <c r="J50" s="35"/>
      <c r="K50" s="35"/>
      <c r="L50" s="35"/>
      <c r="M50" s="35"/>
      <c r="N50" s="35"/>
      <c r="O50" s="35"/>
      <c r="P50" s="35"/>
      <c r="Q50" s="35"/>
      <c r="R50" s="41"/>
      <c r="S50" s="41"/>
    </row>
    <row r="51" spans="1:59"/>
    <row r="52" spans="1:59">
      <c r="B52" s="331" t="str">
        <f>Translate!$E$456</f>
        <v>Links to analytical routines</v>
      </c>
      <c r="C52" s="516"/>
      <c r="D52" s="516"/>
      <c r="F52" s="56" t="e">
        <f ca="1">A1 &amp; ": " &amp; Translate!$E$609</f>
        <v>#VALUE!</v>
      </c>
      <c r="G52" s="56"/>
      <c r="H52" s="56"/>
      <c r="I52" s="56"/>
      <c r="J52" s="516"/>
      <c r="K52" s="516"/>
      <c r="L52" s="516"/>
      <c r="N52" s="41"/>
      <c r="O52" s="41"/>
      <c r="P52" s="41"/>
      <c r="U52" s="151"/>
    </row>
    <row r="53" spans="1:59">
      <c r="B53" s="941" t="str">
        <f>A65</f>
        <v>Results for selected fiscal regimes</v>
      </c>
      <c r="F53" s="57"/>
      <c r="G53" s="58"/>
      <c r="H53" s="58"/>
      <c r="I53" s="58"/>
      <c r="J53" s="58"/>
      <c r="K53" s="851" t="str">
        <f xml:space="preserve"> Translate!E$565</f>
        <v>do not delete row</v>
      </c>
      <c r="L53" s="59"/>
    </row>
    <row r="54" spans="1:59">
      <c r="B54" s="941" t="str">
        <f>A95</f>
        <v>Government revenues profiles under selected regimes</v>
      </c>
      <c r="F54" s="60" t="str">
        <f xml:space="preserve"> F15</f>
        <v>Check: Cashflows</v>
      </c>
      <c r="K54" s="61">
        <f ca="1" xml:space="preserve"> IF( ABS( SUM(I15:L15) ) &gt; 0, 1, 0)</f>
        <v>0</v>
      </c>
      <c r="L54" s="311" t="str">
        <f xml:space="preserve"> Translate!E$444</f>
        <v>Check</v>
      </c>
    </row>
    <row r="55" spans="1:59">
      <c r="B55" s="941" t="str">
        <f>A121</f>
        <v>Progressivity analysis across a range of mineral prices</v>
      </c>
      <c r="F55" s="60" t="str">
        <f xml:space="preserve"> F16</f>
        <v>Check: AETR</v>
      </c>
      <c r="K55" s="61">
        <f ca="1" xml:space="preserve"> IF( ABS( SUM(I16:L16) ) &gt; 0, 1, 0)</f>
        <v>0</v>
      </c>
      <c r="L55" s="311" t="str">
        <f xml:space="preserve"> Translate!E$444</f>
        <v>Check</v>
      </c>
    </row>
    <row r="56" spans="1:59">
      <c r="B56" s="941" t="str">
        <f>A153</f>
        <v>Breakeven mineral price and marginal effective tax rate</v>
      </c>
      <c r="F56" s="4" t="str">
        <f xml:space="preserve"> Translate!$E$444 &amp; ": " &amp; Translate!$E$39</f>
        <v>Check: Government revenues</v>
      </c>
      <c r="K56" s="61">
        <f ca="1" xml:space="preserve"> IF( ABS(SUM(O20:O27) + O29 - O30) &gt; CHK_TOL, 1, 0)</f>
        <v>0</v>
      </c>
      <c r="L56" s="311" t="str">
        <f xml:space="preserve"> Translate!E$444</f>
        <v>Check</v>
      </c>
    </row>
    <row r="57" spans="1:59">
      <c r="B57" s="941" t="str">
        <f>A176</f>
        <v>Net present value table: full-cycle, real</v>
      </c>
      <c r="F57" s="4" t="str">
        <f xml:space="preserve"> R93</f>
        <v>Check: Government revenues data table</v>
      </c>
      <c r="K57" s="61">
        <f ca="1" xml:space="preserve"> IF( ABS(T93) &gt; CHK_TOL, 1, 0)</f>
        <v>0</v>
      </c>
      <c r="L57" s="311" t="str">
        <f xml:space="preserve"> Translate!E$444</f>
        <v>Check</v>
      </c>
    </row>
    <row r="58" spans="1:59">
      <c r="B58" s="1041"/>
      <c r="F58" s="4" t="str">
        <f xml:space="preserve"> R197</f>
        <v>Check: : Net present value table: full-cycle, real</v>
      </c>
      <c r="K58" s="61">
        <f ca="1" xml:space="preserve"> U197</f>
        <v>0</v>
      </c>
      <c r="L58" s="311" t="str">
        <f xml:space="preserve"> Translate!E$444</f>
        <v>Check</v>
      </c>
    </row>
    <row r="59" spans="1:59">
      <c r="B59" s="1041"/>
      <c r="F59" s="57"/>
      <c r="G59" s="58"/>
      <c r="H59" s="58"/>
      <c r="I59" s="58"/>
      <c r="J59" s="58"/>
      <c r="K59" s="851" t="str">
        <f xml:space="preserve"> Translate!E$565</f>
        <v>do not delete row</v>
      </c>
      <c r="L59" s="57"/>
    </row>
    <row r="60" spans="1:59">
      <c r="B60"/>
      <c r="F60" s="1041" t="e">
        <f ca="1" xml:space="preserve"> Translate!$E$639 &amp; ": " &amp; $A$1</f>
        <v>#VALUE!</v>
      </c>
      <c r="K60" s="62">
        <f ca="1" xml:space="preserve"> SUM(K53:K59)</f>
        <v>0</v>
      </c>
      <c r="L60" s="311" t="str">
        <f xml:space="preserve"> Translate!E$444</f>
        <v>Check</v>
      </c>
    </row>
    <row r="61" spans="1:59">
      <c r="B61"/>
    </row>
    <row r="62" spans="1:59">
      <c r="B62"/>
    </row>
    <row r="63" spans="1:59">
      <c r="A63" s="3" t="str">
        <f>Translate!$E$447</f>
        <v>Dashboard Analytical Routines</v>
      </c>
      <c r="B63" s="35"/>
      <c r="C63" s="35"/>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row>
    <row r="64" spans="1:59" ht="6.95" customHeight="1">
      <c r="A64" s="35"/>
      <c r="B64" s="41"/>
      <c r="C64" s="41"/>
    </row>
    <row r="65" spans="1:59">
      <c r="A65" s="88" t="str">
        <f>Translate!$E$448</f>
        <v>Results for selected fiscal regimes</v>
      </c>
      <c r="B65" s="35"/>
      <c r="C65" s="942"/>
      <c r="D65" s="331"/>
      <c r="E65" s="942" t="str">
        <f xml:space="preserve"> Translate!E$584</f>
        <v>Return to</v>
      </c>
      <c r="F65" s="944" t="e">
        <f ca="1">$A$1</f>
        <v>#VALUE!</v>
      </c>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row>
    <row r="66" spans="1:59">
      <c r="A66" s="36"/>
      <c r="B66" s="41"/>
      <c r="C66" s="662"/>
      <c r="D66" s="663"/>
      <c r="E66" s="662"/>
      <c r="F66" s="664"/>
      <c r="G66" s="500"/>
      <c r="H66" s="500"/>
      <c r="I66" s="500"/>
      <c r="J66" s="500"/>
      <c r="K66" s="500"/>
      <c r="L66" s="500"/>
      <c r="M66" s="500"/>
      <c r="N66" s="500"/>
      <c r="O66" s="500"/>
      <c r="P66" s="500"/>
      <c r="Q66" s="500"/>
      <c r="R66" s="500"/>
      <c r="S66" s="500"/>
      <c r="T66" s="500"/>
      <c r="U66" s="500"/>
      <c r="V66" s="500"/>
      <c r="W66" s="500"/>
      <c r="X66" s="500"/>
      <c r="Y66" s="500"/>
      <c r="Z66" s="500"/>
      <c r="AA66" s="500"/>
      <c r="AB66" s="500"/>
      <c r="AC66" s="500"/>
      <c r="AD66" s="500"/>
      <c r="AE66" s="500"/>
      <c r="AF66" s="500"/>
      <c r="AG66" s="500"/>
      <c r="AH66" s="500"/>
      <c r="AI66" s="500"/>
      <c r="AJ66" s="500"/>
      <c r="AK66" s="500"/>
      <c r="AL66" s="500"/>
      <c r="AM66" s="500"/>
      <c r="AN66" s="500"/>
      <c r="AO66" s="500"/>
      <c r="AP66" s="500"/>
      <c r="AQ66" s="500"/>
      <c r="AR66" s="500"/>
      <c r="AS66" s="500"/>
      <c r="AT66" s="500"/>
      <c r="AU66" s="500"/>
      <c r="AV66" s="500"/>
      <c r="AW66" s="500"/>
      <c r="AX66" s="500"/>
      <c r="AY66" s="500"/>
      <c r="AZ66" s="500"/>
      <c r="BA66" s="500"/>
      <c r="BB66" s="500"/>
      <c r="BC66" s="500"/>
      <c r="BD66" s="500"/>
      <c r="BE66" s="500"/>
      <c r="BF66" s="500"/>
      <c r="BG66" s="500"/>
    </row>
    <row r="67" spans="1:59" ht="45" customHeight="1">
      <c r="A67" s="35"/>
      <c r="T67" s="909" t="str">
        <f xml:space="preserve"> Translate!E$515</f>
        <v>Live results</v>
      </c>
      <c r="U67" s="665" t="str">
        <f xml:space="preserve"> Translate!E$516</f>
        <v>Select regimes to compare</v>
      </c>
      <c r="V67" s="665"/>
      <c r="W67" s="665"/>
      <c r="X67" s="665"/>
      <c r="Y67" s="911" t="str">
        <f xml:space="preserve"> Translate!E$747</f>
        <v>Difference between two selected regimes</v>
      </c>
      <c r="Z67" s="910" t="s">
        <v>23</v>
      </c>
      <c r="AA67" s="661" t="s">
        <v>19</v>
      </c>
    </row>
    <row r="68" spans="1:59" ht="45">
      <c r="A68" s="35"/>
      <c r="B68" s="42" t="str">
        <f>Translate!$E$497 &amp; " 1"</f>
        <v>Chart details 1</v>
      </c>
      <c r="R68" s="42" t="str">
        <f>Translate!$E$513</f>
        <v>Fiscal regime</v>
      </c>
      <c r="T68" s="660" t="str">
        <f xml:space="preserve"> C6</f>
        <v>Royalty + CIT</v>
      </c>
      <c r="U68" s="661" t="s">
        <v>19</v>
      </c>
      <c r="V68" s="661" t="str">
        <f xml:space="preserve"> FiscalModel!L11</f>
        <v>High royalty / low CIT</v>
      </c>
      <c r="W68" s="661" t="str">
        <f xml:space="preserve"> FiscalModel!M11</f>
        <v>RRT</v>
      </c>
      <c r="X68" s="661" t="s">
        <v>24</v>
      </c>
      <c r="Y68" s="661" t="s">
        <v>25</v>
      </c>
      <c r="AA68" s="963" t="s">
        <v>26</v>
      </c>
    </row>
    <row r="69" spans="1:59">
      <c r="A69" s="35"/>
      <c r="B69" s="860" t="str">
        <f xml:space="preserve"> Translate!E$580</f>
        <v>Government revenues under alternative regimes</v>
      </c>
      <c r="C69" s="4" t="str">
        <f>Translate!$E$498</f>
        <v>Chart title</v>
      </c>
      <c r="R69" s="4" t="str">
        <f xml:space="preserve"> N21</f>
        <v>Royalty</v>
      </c>
      <c r="S69" s="4" t="str">
        <f t="shared" ref="S69:S79" si="1" xml:space="preserve"> $O$19</f>
        <v>US$ mn 2021</v>
      </c>
      <c r="T69" s="246">
        <f ca="1" xml:space="preserve"> IFERROR(O21, 0)</f>
        <v>147.5</v>
      </c>
      <c r="U69" s="320">
        <f t="dataTable" ref="U69:Y93" dt2D="0" dtr="1" r1="C6" ca="1"/>
        <v>147.5</v>
      </c>
      <c r="V69" s="320">
        <v>265.5</v>
      </c>
      <c r="W69" s="320">
        <v>58.999999999999993</v>
      </c>
      <c r="X69" s="320">
        <v>147.5</v>
      </c>
      <c r="Y69" s="320">
        <v>147.5</v>
      </c>
      <c r="AA69" s="41" cm="1">
        <f t="array" ref="AA69" xml:space="preserve"> INDEX(U69:Y69, , MATCH(AA$67, U$68:Y$68, 0)) - INDEX(U69:Y69, , MATCH(AA$68, U$68:Y$68, 0))</f>
        <v>-118</v>
      </c>
    </row>
    <row r="70" spans="1:59">
      <c r="A70" s="35"/>
      <c r="B70" s="54" t="str">
        <f>Dashboard!$S$69</f>
        <v>US$ mn 2021</v>
      </c>
      <c r="C70" s="4" t="str">
        <f>Translate!$E$499 &amp; " 1"</f>
        <v>Vertical axis 1</v>
      </c>
      <c r="R70" s="4" t="str">
        <f xml:space="preserve"> N22</f>
        <v>Carbon tax</v>
      </c>
      <c r="S70" s="4" t="str">
        <f t="shared" si="1"/>
        <v>US$ mn 2021</v>
      </c>
      <c r="T70" s="246">
        <f ca="1" xml:space="preserve"> IFERROR(O22, 0)</f>
        <v>0</v>
      </c>
      <c r="U70" s="320">
        <v>0</v>
      </c>
      <c r="V70" s="320">
        <v>0</v>
      </c>
      <c r="W70" s="320">
        <v>0</v>
      </c>
      <c r="X70" s="320">
        <v>0</v>
      </c>
      <c r="Y70" s="320">
        <v>0</v>
      </c>
    </row>
    <row r="71" spans="1:59">
      <c r="A71" s="35"/>
      <c r="B71" s="54" t="str">
        <f>Dashboard!$R$90</f>
        <v>AETR: full-cycle, NPV8</v>
      </c>
      <c r="C71" s="4" t="str">
        <f>Translate!$E$499 &amp; " 2"</f>
        <v>Vertical axis 2</v>
      </c>
      <c r="R71" s="4" t="str">
        <f xml:space="preserve"> N20</f>
        <v>Signature bonus</v>
      </c>
      <c r="S71" s="4" t="str">
        <f t="shared" si="1"/>
        <v>US$ mn 2021</v>
      </c>
      <c r="T71" s="246">
        <f ca="1" xml:space="preserve"> IFERROR(O20, 0)</f>
        <v>0</v>
      </c>
      <c r="U71" s="320">
        <v>0</v>
      </c>
      <c r="V71" s="320">
        <v>0</v>
      </c>
      <c r="W71" s="320">
        <v>0</v>
      </c>
      <c r="X71" s="320">
        <v>0</v>
      </c>
      <c r="Y71" s="320">
        <v>0</v>
      </c>
      <c r="AA71" s="41" cm="1">
        <f t="array" ref="AA71" xml:space="preserve"> INDEX(U71:Y71, , MATCH(AA$67, U$68:Y$68, 0)) - INDEX(U71:Y71, , MATCH(AA$68, U$68:Y$68, 0))</f>
        <v>0</v>
      </c>
    </row>
    <row r="72" spans="1:59">
      <c r="A72" s="35"/>
      <c r="B72" s="860" t="str">
        <f xml:space="preserve"> Translate!E$581</f>
        <v>Fiscal regimes</v>
      </c>
      <c r="C72" s="4" t="str">
        <f>Translate!$E$500</f>
        <v>Horizontal axis</v>
      </c>
      <c r="R72" s="4" t="str">
        <f t="shared" ref="R72:R79" si="2" xml:space="preserve"> N23</f>
        <v>CIT: Mining company</v>
      </c>
      <c r="S72" s="4" t="str">
        <f t="shared" si="1"/>
        <v>US$ mn 2021</v>
      </c>
      <c r="T72" s="246">
        <f t="shared" ref="T72:T79" ca="1" si="3" xml:space="preserve"> IFERROR(O23, 0)</f>
        <v>362.41177277536571</v>
      </c>
      <c r="U72" s="320">
        <v>362.41177277536571</v>
      </c>
      <c r="V72" s="320">
        <v>235.43948848940033</v>
      </c>
      <c r="W72" s="320">
        <v>207.33221317311876</v>
      </c>
      <c r="X72" s="320">
        <v>258.86555198240404</v>
      </c>
      <c r="Y72" s="320">
        <v>386.81862297946748</v>
      </c>
      <c r="AA72" s="41" cm="1">
        <f t="array" ref="AA72" xml:space="preserve"> INDEX(U72:Y72, , MATCH(AA$67, U$68:Y$68, 0)) - INDEX(U72:Y72, , MATCH(AA$68, U$68:Y$68, 0))</f>
        <v>126.97228428596537</v>
      </c>
    </row>
    <row r="73" spans="1:59">
      <c r="A73" s="35"/>
      <c r="B73" s="481" t="str">
        <f xml:space="preserve"> Translate!E504 &amp; ": " &amp; C$7</f>
        <v>Project: Gold(2MMoz)</v>
      </c>
      <c r="C73" s="4" t="str">
        <f>Translate!$E$501</f>
        <v>Text box</v>
      </c>
      <c r="R73" s="4" t="str">
        <f t="shared" si="2"/>
        <v>RRT: Mining company</v>
      </c>
      <c r="S73" s="4" t="str">
        <f t="shared" si="1"/>
        <v>US$ mn 2021</v>
      </c>
      <c r="T73" s="246">
        <f t="shared" ca="1" si="3"/>
        <v>0</v>
      </c>
      <c r="U73" s="320">
        <v>0</v>
      </c>
      <c r="V73" s="320">
        <v>0</v>
      </c>
      <c r="W73" s="320">
        <v>271.56362032610872</v>
      </c>
      <c r="X73" s="320">
        <v>0</v>
      </c>
      <c r="Y73" s="320">
        <v>0</v>
      </c>
      <c r="AA73" s="41" cm="1">
        <f t="array" ref="AA73" xml:space="preserve"> INDEX(U73:Y73, , MATCH(AA$67, U$68:Y$68, 0)) - INDEX(U73:Y73, , MATCH(AA$68, U$68:Y$68, 0))</f>
        <v>0</v>
      </c>
    </row>
    <row r="74" spans="1:59">
      <c r="A74" s="35"/>
      <c r="R74" s="4" t="str">
        <f t="shared" si="2"/>
        <v>Dividend withholding tax</v>
      </c>
      <c r="S74" s="4" t="str">
        <f t="shared" si="1"/>
        <v>US$ mn 2021</v>
      </c>
      <c r="T74" s="246">
        <f t="shared" ca="1" si="3"/>
        <v>95.722174595619009</v>
      </c>
      <c r="U74" s="320">
        <v>95.722174595619009</v>
      </c>
      <c r="V74" s="320">
        <v>96.641171644398881</v>
      </c>
      <c r="W74" s="320">
        <v>92.895556939062502</v>
      </c>
      <c r="X74" s="320">
        <v>95.48148919084673</v>
      </c>
      <c r="Y74" s="320">
        <v>105.51833737146043</v>
      </c>
      <c r="AA74" s="41" cm="1">
        <f t="array" ref="AA74" xml:space="preserve"> INDEX(U74:Y74, , MATCH(AA$67, U$68:Y$68, 0)) - INDEX(U74:Y74, , MATCH(AA$68, U$68:Y$68, 0))</f>
        <v>-0.91899704877987176</v>
      </c>
    </row>
    <row r="75" spans="1:59">
      <c r="A75" s="35"/>
      <c r="B75" s="42" t="str">
        <f>Translate!$E$497 &amp; " 2"</f>
        <v>Chart details 2</v>
      </c>
      <c r="R75" s="4" t="str">
        <f t="shared" si="2"/>
        <v>Interest withholding tax</v>
      </c>
      <c r="S75" s="4" t="str">
        <f t="shared" si="1"/>
        <v>US$ mn 2021</v>
      </c>
      <c r="T75" s="246">
        <f t="shared" ca="1" si="3"/>
        <v>6.158557237434052</v>
      </c>
      <c r="U75" s="320">
        <v>6.158557237434052</v>
      </c>
      <c r="V75" s="320">
        <v>6.158557237434052</v>
      </c>
      <c r="W75" s="320">
        <v>6.158557237434052</v>
      </c>
      <c r="X75" s="320">
        <v>6.158557237434052</v>
      </c>
      <c r="Y75" s="320">
        <v>0</v>
      </c>
      <c r="AA75" s="41" cm="1">
        <f t="array" ref="AA75" xml:space="preserve"> INDEX(U75:Y75, , MATCH(AA$67, U$68:Y$68, 0)) - INDEX(U75:Y75, , MATCH(AA$68, U$68:Y$68, 0))</f>
        <v>0</v>
      </c>
    </row>
    <row r="76" spans="1:59">
      <c r="A76" s="35"/>
      <c r="B76" s="42"/>
      <c r="R76" s="4" t="str">
        <f t="shared" si="2"/>
        <v>VAT cashflow: government</v>
      </c>
      <c r="S76" s="4" t="str">
        <f t="shared" si="1"/>
        <v>US$ mn 2021</v>
      </c>
      <c r="T76" s="246">
        <f t="shared" ca="1" si="3"/>
        <v>0</v>
      </c>
      <c r="U76" s="320">
        <v>0</v>
      </c>
      <c r="V76" s="320">
        <v>0</v>
      </c>
      <c r="W76" s="320">
        <v>0</v>
      </c>
      <c r="X76" s="320">
        <v>0</v>
      </c>
      <c r="Y76" s="320">
        <v>0</v>
      </c>
      <c r="AA76" s="41"/>
    </row>
    <row r="77" spans="1:59">
      <c r="A77" s="35"/>
      <c r="B77" s="860" t="str">
        <f xml:space="preserve"> Translate!E$582</f>
        <v>Investor NPV &amp; IRR under alternative regimes</v>
      </c>
      <c r="C77" s="4" t="str">
        <f>Translate!$E$498</f>
        <v>Chart title</v>
      </c>
      <c r="R77" s="4" t="str">
        <f t="shared" si="2"/>
        <v>Government revenues excluding participation</v>
      </c>
      <c r="S77" s="4" t="str">
        <f t="shared" si="1"/>
        <v>US$ mn 2021</v>
      </c>
      <c r="T77" s="246">
        <f t="shared" ca="1" si="3"/>
        <v>611.79250460841877</v>
      </c>
      <c r="U77" s="320">
        <v>611.79250460841877</v>
      </c>
      <c r="V77" s="320">
        <v>603.73921737123328</v>
      </c>
      <c r="W77" s="320">
        <v>636.94994767572405</v>
      </c>
      <c r="X77" s="320">
        <v>508.00559841068485</v>
      </c>
      <c r="Y77" s="320">
        <v>639.83696035092794</v>
      </c>
      <c r="AA77" s="41" cm="1">
        <f t="array" ref="AA77" xml:space="preserve"> INDEX(U77:Y77, , MATCH(AA$67, U$68:Y$68, 0)) - INDEX(U77:Y77, , MATCH(AA$68, U$68:Y$68, 0))</f>
        <v>8.0532872371854864</v>
      </c>
    </row>
    <row r="78" spans="1:59">
      <c r="A78" s="35"/>
      <c r="B78" s="54" t="str">
        <f>Dashboard!$S$84</f>
        <v>US$ mn NPV8.0 real</v>
      </c>
      <c r="C78" s="4" t="str">
        <f>Translate!$E$499 &amp; " 1"</f>
        <v>Vertical axis 1</v>
      </c>
      <c r="R78" s="4" t="str">
        <f t="shared" si="2"/>
        <v>State participation cashflows including share of loan</v>
      </c>
      <c r="S78" s="4" t="str">
        <f t="shared" si="1"/>
        <v>US$ mn 2021</v>
      </c>
      <c r="T78" s="246">
        <f t="shared" ca="1" si="3"/>
        <v>0</v>
      </c>
      <c r="U78" s="320">
        <v>0</v>
      </c>
      <c r="V78" s="320">
        <v>0</v>
      </c>
      <c r="W78" s="320">
        <v>0</v>
      </c>
      <c r="X78" s="320">
        <v>106.09054354538529</v>
      </c>
      <c r="Y78" s="320">
        <v>0</v>
      </c>
      <c r="AA78" s="41" cm="1">
        <f t="array" ref="AA78" xml:space="preserve"> INDEX(U78:Y78, , MATCH(AA$67, U$68:Y$68, 0)) - INDEX(U78:Y78, , MATCH(AA$68, U$68:Y$68, 0))</f>
        <v>0</v>
      </c>
    </row>
    <row r="79" spans="1:59">
      <c r="A79" s="35"/>
      <c r="B79" s="54" t="str">
        <f>Dashboard!$S$81</f>
        <v>% real</v>
      </c>
      <c r="C79" s="4" t="str">
        <f>Translate!$E$499 &amp; " 2"</f>
        <v>Vertical axis 2</v>
      </c>
      <c r="R79" s="4" t="str">
        <f t="shared" si="2"/>
        <v>Government revenues including participation</v>
      </c>
      <c r="S79" s="4" t="str">
        <f t="shared" si="1"/>
        <v>US$ mn 2021</v>
      </c>
      <c r="T79" s="246">
        <f t="shared" ca="1" si="3"/>
        <v>611.79250460841877</v>
      </c>
      <c r="U79" s="320">
        <v>611.79250460841877</v>
      </c>
      <c r="V79" s="320">
        <v>603.73921737123328</v>
      </c>
      <c r="W79" s="320">
        <v>636.94994767572405</v>
      </c>
      <c r="X79" s="320">
        <v>614.09614195607014</v>
      </c>
      <c r="Y79" s="320">
        <v>639.83696035092794</v>
      </c>
      <c r="AA79" s="41" cm="1">
        <f t="array" ref="AA79" xml:space="preserve"> INDEX(U79:Y79, , MATCH(AA$67, U$68:Y$68, 0)) - INDEX(U79:Y79, , MATCH(AA$68, U$68:Y$68, 0))</f>
        <v>8.0532872371854864</v>
      </c>
    </row>
    <row r="80" spans="1:59">
      <c r="A80" s="35"/>
      <c r="B80" s="860" t="str">
        <f xml:space="preserve"> Translate!E$581</f>
        <v>Fiscal regimes</v>
      </c>
      <c r="C80" s="4" t="str">
        <f>Translate!$E$500</f>
        <v>Horizontal axis</v>
      </c>
      <c r="R80" s="42" t="str">
        <f xml:space="preserve"> Translate!E$13 &amp; ": " &amp; Inputs!F$84 &amp; ", " &amp; Inputs!F$85</f>
        <v>IRR: FID forward, real</v>
      </c>
      <c r="T80" s="244" t="s">
        <v>27</v>
      </c>
      <c r="U80" s="497" t="str">
        <v>-------------------</v>
      </c>
      <c r="V80" s="497" t="str">
        <v>-------------------</v>
      </c>
      <c r="W80" s="497" t="str">
        <v>-------------------</v>
      </c>
      <c r="X80" s="497" t="str">
        <v>-------------------</v>
      </c>
      <c r="Y80" s="497" t="str">
        <v>-------------------</v>
      </c>
      <c r="AA80" s="255" t="s">
        <v>28</v>
      </c>
    </row>
    <row r="81" spans="1:59">
      <c r="A81" s="35"/>
      <c r="B81" s="481" t="str">
        <f xml:space="preserve"> Translate!E504 &amp; ": " &amp; C$7</f>
        <v>Project: Gold(2MMoz)</v>
      </c>
      <c r="C81" s="4" t="str">
        <f>Translate!$E$501</f>
        <v>Text box</v>
      </c>
      <c r="R81" s="4" t="str">
        <f xml:space="preserve"> Translate!E$13 &amp; ": " &amp;  Translate!E$504</f>
        <v>IRR: Project</v>
      </c>
      <c r="S81" s="4" t="str">
        <f xml:space="preserve"> "% " &amp; Inputs!F$85</f>
        <v>% real</v>
      </c>
      <c r="T81" s="245">
        <f ca="1" xml:space="preserve"> IFERROR( IF( T68= 0, NA(), H5), 0)</f>
        <v>0.32357722056597038</v>
      </c>
      <c r="U81" s="321">
        <v>0.32357722056597038</v>
      </c>
      <c r="V81" s="321">
        <v>0.32357722056597038</v>
      </c>
      <c r="W81" s="321">
        <v>0.32357722056597038</v>
      </c>
      <c r="X81" s="321">
        <v>0.32357722056597038</v>
      </c>
      <c r="Y81" s="321">
        <v>0.32357722056597038</v>
      </c>
      <c r="AA81" s="47" cm="1">
        <f t="array" ref="AA81" xml:space="preserve"> INDEX(U81:Y81, , MATCH(AA$67, U$68:Y$68, 0)) - INDEX(U81:Y81, , MATCH(AA$68, U$68:Y$68, 0))</f>
        <v>0</v>
      </c>
    </row>
    <row r="82" spans="1:59">
      <c r="A82" s="35"/>
      <c r="R82" s="4" t="str">
        <f xml:space="preserve"> Translate!E$13  &amp; ": " &amp;  Translate!E$506</f>
        <v>IRR: Mining company + lender</v>
      </c>
      <c r="S82" s="4" t="str">
        <f xml:space="preserve"> "% " &amp; Inputs!F$85</f>
        <v>% real</v>
      </c>
      <c r="T82" s="245">
        <f ca="1" xml:space="preserve"> IFERROR( IF( T68 = 0, NA(), H8), 0)</f>
        <v>0.24324745050459429</v>
      </c>
      <c r="U82" s="321">
        <v>0.24324745050459429</v>
      </c>
      <c r="V82" s="321">
        <v>0.23649569920753888</v>
      </c>
      <c r="W82" s="321">
        <v>0.24974644169449589</v>
      </c>
      <c r="X82" s="321">
        <v>0.23793002183161893</v>
      </c>
      <c r="Y82" s="321">
        <v>0.22914604227668489</v>
      </c>
      <c r="AA82" s="47" cm="1">
        <f t="array" ref="AA82" xml:space="preserve"> INDEX(U82:Y82, , MATCH(AA$67, U$68:Y$68, 0)) - INDEX(U82:Y82, , MATCH(AA$68, U$68:Y$68, 0))</f>
        <v>6.7517512970554083E-3</v>
      </c>
    </row>
    <row r="83" spans="1:59">
      <c r="A83" s="35"/>
      <c r="R83" s="42" t="str">
        <f>Translate!$E$16 &amp; ": " &amp; Inputs!F$84 &amp; ", " &amp; Inputs!F$85 &amp; ", " &amp; Inputs!F$59</f>
        <v>Project participants: FID forward, real, NPV8</v>
      </c>
      <c r="T83" s="244" t="s">
        <v>27</v>
      </c>
      <c r="U83" s="320" t="str">
        <v>-------------------</v>
      </c>
      <c r="V83" s="320" t="str">
        <v>-------------------</v>
      </c>
      <c r="W83" s="320" t="str">
        <v>-------------------</v>
      </c>
      <c r="X83" s="320" t="str">
        <v>-------------------</v>
      </c>
      <c r="Y83" s="320" t="str">
        <v>-------------------</v>
      </c>
      <c r="AA83" s="255" t="s">
        <v>28</v>
      </c>
    </row>
    <row r="84" spans="1:59">
      <c r="A84" s="35"/>
      <c r="R84" s="4" t="str">
        <f xml:space="preserve"> F5 &amp; " " &amp; Inputs!F$59</f>
        <v>Project NPV8</v>
      </c>
      <c r="S84" s="4" t="str">
        <f xml:space="preserve"> Inputs!$F$58</f>
        <v>US$ mn NPV8.0 real</v>
      </c>
      <c r="T84" s="246">
        <f ca="1">IFERROR( IF(T68 = 0, NA(), IFERROR(L5, NA())), 0)</f>
        <v>671.39180427224403</v>
      </c>
      <c r="U84" s="320">
        <v>671.39180427224403</v>
      </c>
      <c r="V84" s="320">
        <v>671.39180427224403</v>
      </c>
      <c r="W84" s="320">
        <v>671.39180427224403</v>
      </c>
      <c r="X84" s="320">
        <v>671.39180427224403</v>
      </c>
      <c r="Y84" s="320">
        <v>671.39180427224403</v>
      </c>
      <c r="AA84" s="41" cm="1">
        <f t="array" ref="AA84" xml:space="preserve"> INDEX(U84:Y84, , MATCH(AA$67, U$68:Y$68, 0)) - INDEX(U84:Y84, , MATCH(AA$68, U$68:Y$68, 0))</f>
        <v>0</v>
      </c>
    </row>
    <row r="85" spans="1:59">
      <c r="A85" s="35"/>
      <c r="R85" s="41" t="str">
        <f xml:space="preserve"> F6 &amp; " " &amp; Inputs!F$59</f>
        <v>Mining company NPV8</v>
      </c>
      <c r="S85" s="4" t="str">
        <f xml:space="preserve"> Inputs!$F$58</f>
        <v>US$ mn NPV8.0 real</v>
      </c>
      <c r="T85" s="246">
        <f ca="1">IFERROR(L6, 0)</f>
        <v>391.17398998490813</v>
      </c>
      <c r="U85" s="320">
        <v>391.17398998490813</v>
      </c>
      <c r="V85" s="320">
        <v>387.69226987019084</v>
      </c>
      <c r="W85" s="320">
        <v>389.24157682616345</v>
      </c>
      <c r="X85" s="320">
        <v>385.15654519807936</v>
      </c>
      <c r="Y85" s="320">
        <v>344.60834281596914</v>
      </c>
      <c r="AA85" s="41" cm="1">
        <f t="array" ref="AA85" xml:space="preserve"> INDEX(U85:Y85, , MATCH(AA$67, U$68:Y$68, 0)) - INDEX(U85:Y85, , MATCH(AA$68, U$68:Y$68, 0))</f>
        <v>3.4817201147172909</v>
      </c>
    </row>
    <row r="86" spans="1:59">
      <c r="A86" s="35"/>
      <c r="R86" s="41" t="str">
        <f xml:space="preserve"> F8 &amp; " " &amp; Inputs!F$59</f>
        <v>Mining company + lender NPV8</v>
      </c>
      <c r="S86" s="4" t="str">
        <f xml:space="preserve"> Inputs!$F$58</f>
        <v>US$ mn NPV8.0 real</v>
      </c>
      <c r="T86" s="246">
        <f ca="1" xml:space="preserve"> IFERROR(L8, 0)</f>
        <v>370.06561133995615</v>
      </c>
      <c r="U86" s="320">
        <v>370.06561133995615</v>
      </c>
      <c r="V86" s="320">
        <v>366.58389122523892</v>
      </c>
      <c r="W86" s="320">
        <v>368.13319818121141</v>
      </c>
      <c r="X86" s="320">
        <v>364.04816655312737</v>
      </c>
      <c r="Y86" s="320">
        <v>344.60834281596914</v>
      </c>
      <c r="AA86" s="41" cm="1">
        <f t="array" ref="AA86" xml:space="preserve"> INDEX(U86:Y86, , MATCH(AA$67, U$68:Y$68, 0)) - INDEX(U86:Y86, , MATCH(AA$68, U$68:Y$68, 0))</f>
        <v>3.4817201147172341</v>
      </c>
    </row>
    <row r="87" spans="1:59">
      <c r="A87" s="35"/>
      <c r="R87" s="4" t="str">
        <f xml:space="preserve"> F11 &amp; " " &amp; Inputs!F$59</f>
        <v>Government incl. participation NPV8</v>
      </c>
      <c r="S87" s="4" t="str">
        <f xml:space="preserve"> Inputs!$F$58</f>
        <v>US$ mn NPV8.0 real</v>
      </c>
      <c r="T87" s="246">
        <f ca="1" xml:space="preserve"> IFERROR(L11, 0)</f>
        <v>298.94221625663874</v>
      </c>
      <c r="U87" s="320">
        <v>298.94221625663874</v>
      </c>
      <c r="V87" s="320">
        <v>302.42393637135598</v>
      </c>
      <c r="W87" s="320">
        <v>300.87462941538342</v>
      </c>
      <c r="X87" s="320">
        <v>304.95966104346741</v>
      </c>
      <c r="Y87" s="320">
        <v>324.3994847806257</v>
      </c>
      <c r="AA87" s="41" cm="1">
        <f t="array" ref="AA87" xml:space="preserve"> INDEX(U87:Y87, , MATCH(AA$67, U$68:Y$68, 0)) - INDEX(U87:Y87, , MATCH(AA$68, U$68:Y$68, 0))</f>
        <v>-3.4817201147172341</v>
      </c>
    </row>
    <row r="88" spans="1:59">
      <c r="A88" s="35"/>
      <c r="R88" s="42" t="str">
        <f>Translate!$E$17 &amp; ": " &amp; Inputs!F$83</f>
        <v>Government share metrics: full-cycle</v>
      </c>
      <c r="T88" s="244" t="s">
        <v>27</v>
      </c>
      <c r="U88" s="320" t="str">
        <v>-------------------</v>
      </c>
      <c r="V88" s="320" t="str">
        <v>-------------------</v>
      </c>
      <c r="W88" s="320" t="str">
        <v>-------------------</v>
      </c>
      <c r="X88" s="320" t="str">
        <v>-------------------</v>
      </c>
      <c r="Y88" s="320" t="str">
        <v>-------------------</v>
      </c>
      <c r="AA88" s="255" t="s">
        <v>28</v>
      </c>
    </row>
    <row r="89" spans="1:59">
      <c r="A89" s="35"/>
      <c r="R89" s="4" t="str">
        <f>Translate!$E$512 &amp; ": " &amp; Inputs!F$83 &amp; ", " &amp; Inputs!F$87</f>
        <v>AETR: full-cycle, undiscounted</v>
      </c>
      <c r="S89" s="4" t="s">
        <v>29</v>
      </c>
      <c r="T89" s="245">
        <f ca="1" xml:space="preserve"> IFERROR(I12, NA())</f>
        <v>0.4067769312555975</v>
      </c>
      <c r="U89" s="321">
        <v>0.4067769312555975</v>
      </c>
      <c r="V89" s="321">
        <v>0.40142235197555404</v>
      </c>
      <c r="W89" s="321">
        <v>0.42350395457162493</v>
      </c>
      <c r="X89" s="321">
        <v>0.40830860502398275</v>
      </c>
      <c r="Y89" s="321">
        <v>0.42542351087162755</v>
      </c>
      <c r="AA89" s="47" cm="1">
        <f t="array" ref="AA89" xml:space="preserve"> INDEX(U89:Y89, , MATCH(AA$67, U$68:Y$68, 0)) - INDEX(U89:Y89, , MATCH(AA$68, U$68:Y$68, 0))</f>
        <v>5.3545792800434588E-3</v>
      </c>
    </row>
    <row r="90" spans="1:59">
      <c r="A90" s="35"/>
      <c r="R90" s="4" t="str">
        <f>Translate!$E$512 &amp; ": " &amp; Inputs!F$83 &amp; ", " &amp; Inputs!F$59</f>
        <v>AETR: full-cycle, NPV8</v>
      </c>
      <c r="S90" s="4" t="str">
        <f>"% " &amp; Inputs!$F$59</f>
        <v>% NPV8</v>
      </c>
      <c r="T90" s="245">
        <f ca="1" xml:space="preserve"> IFERROR( IF( T68 = 0, NA(), K12), 0)</f>
        <v>0.46979066646539541</v>
      </c>
      <c r="U90" s="321">
        <v>0.46979066646539541</v>
      </c>
      <c r="V90" s="321">
        <v>0.47526222425880782</v>
      </c>
      <c r="W90" s="321">
        <v>0.47282747296633421</v>
      </c>
      <c r="X90" s="321">
        <v>0.47924714080422243</v>
      </c>
      <c r="Y90" s="321">
        <v>0.50979701717768555</v>
      </c>
      <c r="AA90" s="47" cm="1">
        <f t="array" ref="AA90" xml:space="preserve"> INDEX(U90:Y90, , MATCH(AA$67, U$68:Y$68, 0)) - INDEX(U90:Y90, , MATCH(AA$68, U$68:Y$68, 0))</f>
        <v>-5.4715577934124071E-3</v>
      </c>
    </row>
    <row r="91" spans="1:59">
      <c r="A91" s="35"/>
      <c r="R91" s="4" t="str">
        <f>Translate!$E$510 &amp; ": " &amp; Inputs!F$83 &amp; ", " &amp; Inputs!F$87</f>
        <v>Government share of project benefits: full-cycle, undiscounted</v>
      </c>
      <c r="S91" s="4" t="s">
        <v>29</v>
      </c>
      <c r="T91" s="245">
        <f ca="1" xml:space="preserve"> I13</f>
        <v>0.31633531779132301</v>
      </c>
      <c r="U91" s="321">
        <v>0.31633531779132301</v>
      </c>
      <c r="V91" s="321">
        <v>0.31217126027468112</v>
      </c>
      <c r="W91" s="321">
        <v>0.3293433028312947</v>
      </c>
      <c r="X91" s="321">
        <v>0.3175264436174095</v>
      </c>
      <c r="Y91" s="321">
        <v>0.33083607050203095</v>
      </c>
      <c r="AA91" s="47" cm="1">
        <f t="array" ref="AA91" xml:space="preserve"> INDEX(U91:Y91, , MATCH(AA$67, U$68:Y$68, 0)) - INDEX(U91:Y91, , MATCH(AA$68, U$68:Y$68, 0))</f>
        <v>4.1640575166418947E-3</v>
      </c>
    </row>
    <row r="92" spans="1:59">
      <c r="A92" s="35"/>
      <c r="R92" s="4" t="str">
        <f>Translate!$E$510 &amp; ": " &amp; Inputs!F$83 &amp; ", " &amp; Inputs!F$59</f>
        <v>Government share of project benefits: full-cycle, NPV8</v>
      </c>
      <c r="S92" s="4" t="str">
        <f>"% " &amp; Inputs!$F$59</f>
        <v>% NPV8</v>
      </c>
      <c r="T92" s="245">
        <f ca="1" xml:space="preserve"> K13</f>
        <v>0.28782991830732063</v>
      </c>
      <c r="U92" s="321">
        <v>0.28782991830732063</v>
      </c>
      <c r="V92" s="321">
        <v>0.29118221571361164</v>
      </c>
      <c r="W92" s="321">
        <v>0.28969049968850635</v>
      </c>
      <c r="X92" s="321">
        <v>0.29362368227649122</v>
      </c>
      <c r="Y92" s="321">
        <v>0.31234088772254776</v>
      </c>
      <c r="AA92" s="47" cm="1">
        <f t="array" ref="AA92" xml:space="preserve"> INDEX(U92:Y92, , MATCH(AA$67, U$68:Y$68, 0)) - INDEX(U92:Y92, , MATCH(AA$68, U$68:Y$68, 0))</f>
        <v>-3.3522974062910049E-3</v>
      </c>
    </row>
    <row r="93" spans="1:59">
      <c r="A93" s="35"/>
      <c r="R93" s="4" t="str">
        <f xml:space="preserve"> Translate!$E$444 &amp; ": " &amp; Translate!$E$514</f>
        <v>Check: Government revenues data table</v>
      </c>
      <c r="T93" s="246">
        <f ca="1" xml:space="preserve"> SUM(T69:T76) + T78 - I11</f>
        <v>0</v>
      </c>
      <c r="U93" s="320">
        <v>0</v>
      </c>
      <c r="V93" s="320">
        <v>0</v>
      </c>
      <c r="W93" s="320">
        <v>0</v>
      </c>
      <c r="X93" s="320">
        <v>0</v>
      </c>
      <c r="Y93" s="320">
        <v>0</v>
      </c>
      <c r="AA93" s="41" cm="1">
        <f t="array" ref="AA93" xml:space="preserve"> INDEX(U93:Y93, , MATCH(AA$67, U$68:Y$68, 0)) - INDEX(U93:Y93, , MATCH(AA$68, U$68:Y$68, 0))</f>
        <v>0</v>
      </c>
    </row>
    <row r="94" spans="1:59" ht="12.75" customHeight="1">
      <c r="A94" s="35"/>
    </row>
    <row r="95" spans="1:59">
      <c r="A95" s="88" t="str">
        <f>Translate!$E$449</f>
        <v>Government revenues profiles under selected regimes</v>
      </c>
      <c r="B95" s="516"/>
      <c r="C95" s="516"/>
      <c r="D95" s="36"/>
      <c r="E95" s="942" t="str">
        <f xml:space="preserve"> Translate!E$584</f>
        <v>Return to</v>
      </c>
      <c r="F95" s="944" t="e">
        <f ca="1">$A$1</f>
        <v>#VALUE!</v>
      </c>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row>
    <row r="96" spans="1:59">
      <c r="A96" s="36"/>
    </row>
    <row r="97" spans="1:59">
      <c r="A97" s="35"/>
      <c r="B97" s="42" t="str">
        <f>Translate!$E$497</f>
        <v>Chart details</v>
      </c>
      <c r="R97" s="113" t="str">
        <f>Translate!$E$515</f>
        <v>Live results</v>
      </c>
    </row>
    <row r="98" spans="1:59">
      <c r="A98" s="35"/>
      <c r="B98" s="53" t="str">
        <f xml:space="preserve"> A95</f>
        <v>Government revenues profiles under selected regimes</v>
      </c>
      <c r="C98" s="4" t="str">
        <f>Translate!$E$498</f>
        <v>Chart title</v>
      </c>
      <c r="R98" s="34" t="str">
        <f xml:space="preserve"> ProjectCashflows!E$48</f>
        <v>Model calendar years</v>
      </c>
      <c r="S98" s="34" t="str">
        <f xml:space="preserve"> ProjectCashflows!G$48</f>
        <v>Years</v>
      </c>
      <c r="T98" s="231">
        <f xml:space="preserve"> ProjectCashflows!K$48</f>
        <v>2021</v>
      </c>
      <c r="U98" s="231">
        <f xml:space="preserve"> ProjectCashflows!L$48</f>
        <v>2022</v>
      </c>
      <c r="V98" s="231">
        <f xml:space="preserve"> ProjectCashflows!M$48</f>
        <v>2023</v>
      </c>
      <c r="W98" s="231">
        <f xml:space="preserve"> ProjectCashflows!N$48</f>
        <v>2024</v>
      </c>
      <c r="X98" s="231">
        <f xml:space="preserve"> ProjectCashflows!O$48</f>
        <v>2025</v>
      </c>
      <c r="Y98" s="231">
        <f xml:space="preserve"> ProjectCashflows!P$48</f>
        <v>2026</v>
      </c>
      <c r="Z98" s="231">
        <f xml:space="preserve"> ProjectCashflows!Q$48</f>
        <v>2027</v>
      </c>
      <c r="AA98" s="231">
        <f xml:space="preserve"> ProjectCashflows!R$48</f>
        <v>2028</v>
      </c>
      <c r="AB98" s="231">
        <f xml:space="preserve"> ProjectCashflows!S$48</f>
        <v>2029</v>
      </c>
      <c r="AC98" s="231">
        <f xml:space="preserve"> ProjectCashflows!T$48</f>
        <v>2030</v>
      </c>
      <c r="AD98" s="231">
        <f xml:space="preserve"> ProjectCashflows!U$48</f>
        <v>2031</v>
      </c>
      <c r="AE98" s="231">
        <f xml:space="preserve"> ProjectCashflows!V$48</f>
        <v>2032</v>
      </c>
      <c r="AF98" s="231">
        <f xml:space="preserve"> ProjectCashflows!W$48</f>
        <v>2033</v>
      </c>
      <c r="AG98" s="231">
        <f xml:space="preserve"> ProjectCashflows!X$48</f>
        <v>2034</v>
      </c>
      <c r="AH98" s="231">
        <f xml:space="preserve"> ProjectCashflows!Y$48</f>
        <v>2035</v>
      </c>
      <c r="AI98" s="231">
        <f xml:space="preserve"> ProjectCashflows!Z$48</f>
        <v>2036</v>
      </c>
      <c r="AJ98" s="231">
        <f xml:space="preserve"> ProjectCashflows!AA$48</f>
        <v>2037</v>
      </c>
      <c r="AK98" s="231">
        <f xml:space="preserve"> ProjectCashflows!AB$48</f>
        <v>2038</v>
      </c>
      <c r="AL98" s="231">
        <f xml:space="preserve"> ProjectCashflows!AC$48</f>
        <v>2039</v>
      </c>
      <c r="AM98" s="231">
        <f xml:space="preserve"> ProjectCashflows!AD$48</f>
        <v>2040</v>
      </c>
      <c r="AN98" s="231">
        <f xml:space="preserve"> ProjectCashflows!AE$48</f>
        <v>2041</v>
      </c>
      <c r="AO98" s="231">
        <f xml:space="preserve"> ProjectCashflows!AF$48</f>
        <v>2042</v>
      </c>
      <c r="AP98" s="231">
        <f xml:space="preserve"> ProjectCashflows!AG$48</f>
        <v>2043</v>
      </c>
      <c r="AQ98" s="231">
        <f xml:space="preserve"> ProjectCashflows!AH$48</f>
        <v>2044</v>
      </c>
      <c r="AR98" s="231">
        <f xml:space="preserve"> ProjectCashflows!AI$48</f>
        <v>2045</v>
      </c>
      <c r="AS98" s="231">
        <f xml:space="preserve"> ProjectCashflows!AJ$48</f>
        <v>2046</v>
      </c>
      <c r="AT98" s="231">
        <f xml:space="preserve"> ProjectCashflows!AK$48</f>
        <v>2047</v>
      </c>
      <c r="AU98" s="231">
        <f xml:space="preserve"> ProjectCashflows!AL$48</f>
        <v>2048</v>
      </c>
      <c r="AV98" s="231">
        <f xml:space="preserve"> ProjectCashflows!AM$48</f>
        <v>2049</v>
      </c>
      <c r="AW98" s="231">
        <f xml:space="preserve"> ProjectCashflows!AN$48</f>
        <v>2050</v>
      </c>
      <c r="AX98" s="231">
        <f xml:space="preserve"> ProjectCashflows!AO$48</f>
        <v>2051</v>
      </c>
      <c r="AY98" s="231">
        <f xml:space="preserve"> ProjectCashflows!AP$48</f>
        <v>2052</v>
      </c>
      <c r="AZ98" s="231">
        <f xml:space="preserve"> ProjectCashflows!AQ$48</f>
        <v>2053</v>
      </c>
      <c r="BA98" s="231">
        <f xml:space="preserve"> ProjectCashflows!AR$48</f>
        <v>2054</v>
      </c>
      <c r="BB98" s="231">
        <f xml:space="preserve"> ProjectCashflows!AS$48</f>
        <v>2055</v>
      </c>
      <c r="BC98" s="231">
        <f xml:space="preserve"> ProjectCashflows!AT$48</f>
        <v>2056</v>
      </c>
      <c r="BD98" s="231">
        <f xml:space="preserve"> ProjectCashflows!AU$48</f>
        <v>2057</v>
      </c>
      <c r="BE98" s="231">
        <f xml:space="preserve"> ProjectCashflows!AV$48</f>
        <v>2058</v>
      </c>
      <c r="BF98" s="231">
        <f xml:space="preserve"> ProjectCashflows!AW$48</f>
        <v>2059</v>
      </c>
      <c r="BG98" s="231">
        <f xml:space="preserve"> ProjectCashflows!AX$48</f>
        <v>2060</v>
      </c>
    </row>
    <row r="99" spans="1:59">
      <c r="A99" s="35"/>
      <c r="B99" s="54" t="str">
        <f xml:space="preserve"> S99</f>
        <v>US$ mn 2021</v>
      </c>
      <c r="C99" s="4" t="str">
        <f>Translate!$E$499 &amp; " 1"</f>
        <v>Vertical axis 1</v>
      </c>
      <c r="R99" s="34" t="str">
        <f xml:space="preserve"> FiscalModel!E$759</f>
        <v>Government revenues including participation</v>
      </c>
      <c r="S99" s="34" t="str">
        <f xml:space="preserve"> FiscalModel!G$759</f>
        <v>US$ mn 2021</v>
      </c>
      <c r="T99" s="34">
        <f ca="1" xml:space="preserve"> FiscalModel!K$759</f>
        <v>0</v>
      </c>
      <c r="U99" s="34">
        <f ca="1" xml:space="preserve"> FiscalModel!L$759</f>
        <v>0</v>
      </c>
      <c r="V99" s="34">
        <f ca="1" xml:space="preserve"> FiscalModel!M$759</f>
        <v>0</v>
      </c>
      <c r="W99" s="34">
        <f ca="1" xml:space="preserve"> FiscalModel!N$759</f>
        <v>0</v>
      </c>
      <c r="X99" s="34">
        <f ca="1" xml:space="preserve"> FiscalModel!O$759</f>
        <v>0.73750000000000004</v>
      </c>
      <c r="Y99" s="34">
        <f ca="1" xml:space="preserve"> FiscalModel!P$759</f>
        <v>8.8656249999999979</v>
      </c>
      <c r="Z99" s="34">
        <f ca="1" xml:space="preserve"> FiscalModel!Q$759</f>
        <v>18.595652328431374</v>
      </c>
      <c r="AA99" s="34">
        <f ca="1" xml:space="preserve"> FiscalModel!R$759</f>
        <v>18.712036596501342</v>
      </c>
      <c r="AB99" s="34">
        <f ca="1" xml:space="preserve"> FiscalModel!S$759</f>
        <v>25.901850013156011</v>
      </c>
      <c r="AC99" s="34">
        <f ca="1" xml:space="preserve"> FiscalModel!T$759</f>
        <v>46.299109346897083</v>
      </c>
      <c r="AD99" s="34">
        <f ca="1" xml:space="preserve"> FiscalModel!U$759</f>
        <v>52.085327833092393</v>
      </c>
      <c r="AE99" s="34">
        <f ca="1" xml:space="preserve"> FiscalModel!V$759</f>
        <v>58.550023788694531</v>
      </c>
      <c r="AF99" s="34">
        <f ca="1" xml:space="preserve"> FiscalModel!W$759</f>
        <v>58.550023788694531</v>
      </c>
      <c r="AG99" s="34">
        <f ca="1" xml:space="preserve"> FiscalModel!X$759</f>
        <v>57.588994802792826</v>
      </c>
      <c r="AH99" s="34">
        <f ca="1" xml:space="preserve"> FiscalModel!Y$759</f>
        <v>57.607838508398764</v>
      </c>
      <c r="AI99" s="34">
        <f ca="1" xml:space="preserve"> FiscalModel!Z$759</f>
        <v>57.626312729581016</v>
      </c>
      <c r="AJ99" s="34">
        <f ca="1" xml:space="preserve"> FiscalModel!AA$759</f>
        <v>47.429674711132272</v>
      </c>
      <c r="AK99" s="34">
        <f ca="1" xml:space="preserve"> FiscalModel!AB$759</f>
        <v>38.435881555790353</v>
      </c>
      <c r="AL99" s="34">
        <f ca="1" xml:space="preserve"> FiscalModel!AC$759</f>
        <v>28.28939753761021</v>
      </c>
      <c r="AM99" s="34">
        <f ca="1" xml:space="preserve"> FiscalModel!AD$759</f>
        <v>20.591642791157952</v>
      </c>
      <c r="AN99" s="34">
        <f ca="1" xml:space="preserve"> FiscalModel!AE$759</f>
        <v>15.925613276488066</v>
      </c>
      <c r="AO99" s="34">
        <f ca="1" xml:space="preserve"> FiscalModel!AF$759</f>
        <v>0</v>
      </c>
      <c r="AP99" s="34">
        <f ca="1" xml:space="preserve"> FiscalModel!AG$759</f>
        <v>0</v>
      </c>
      <c r="AQ99" s="34">
        <f ca="1" xml:space="preserve"> FiscalModel!AH$759</f>
        <v>0</v>
      </c>
      <c r="AR99" s="34">
        <f ca="1" xml:space="preserve"> FiscalModel!AI$759</f>
        <v>0</v>
      </c>
      <c r="AS99" s="34">
        <f ca="1" xml:space="preserve"> FiscalModel!AJ$759</f>
        <v>0</v>
      </c>
      <c r="AT99" s="34">
        <f ca="1" xml:space="preserve"> FiscalModel!AK$759</f>
        <v>0</v>
      </c>
      <c r="AU99" s="34">
        <f ca="1" xml:space="preserve"> FiscalModel!AL$759</f>
        <v>0</v>
      </c>
      <c r="AV99" s="34">
        <f ca="1" xml:space="preserve"> FiscalModel!AM$759</f>
        <v>0</v>
      </c>
      <c r="AW99" s="34">
        <f ca="1" xml:space="preserve"> FiscalModel!AN$759</f>
        <v>0</v>
      </c>
      <c r="AX99" s="34">
        <f ca="1" xml:space="preserve"> FiscalModel!AO$759</f>
        <v>0</v>
      </c>
      <c r="AY99" s="34">
        <f ca="1" xml:space="preserve"> FiscalModel!AP$759</f>
        <v>0</v>
      </c>
      <c r="AZ99" s="34">
        <f ca="1" xml:space="preserve"> FiscalModel!AQ$759</f>
        <v>0</v>
      </c>
      <c r="BA99" s="34">
        <f ca="1" xml:space="preserve"> FiscalModel!AR$759</f>
        <v>0</v>
      </c>
      <c r="BB99" s="34">
        <f ca="1" xml:space="preserve"> FiscalModel!AS$759</f>
        <v>0</v>
      </c>
      <c r="BC99" s="34">
        <f ca="1" xml:space="preserve"> FiscalModel!AT$759</f>
        <v>0</v>
      </c>
      <c r="BD99" s="34">
        <f ca="1" xml:space="preserve"> FiscalModel!AU$759</f>
        <v>0</v>
      </c>
      <c r="BE99" s="34">
        <f ca="1" xml:space="preserve"> FiscalModel!AV$759</f>
        <v>0</v>
      </c>
      <c r="BF99" s="34">
        <f ca="1" xml:space="preserve"> FiscalModel!AW$759</f>
        <v>0</v>
      </c>
      <c r="BG99" s="34">
        <f ca="1" xml:space="preserve"> FiscalModel!AX$759</f>
        <v>0</v>
      </c>
    </row>
    <row r="100" spans="1:59">
      <c r="A100" s="35"/>
      <c r="B100" s="54"/>
      <c r="C100" s="4" t="str">
        <f>Translate!$E$499 &amp; " 2"</f>
        <v>Vertical axis 2</v>
      </c>
    </row>
    <row r="101" spans="1:59">
      <c r="A101" s="35"/>
      <c r="B101" s="54" t="str">
        <f xml:space="preserve"> S98</f>
        <v>Years</v>
      </c>
      <c r="C101" s="4" t="str">
        <f>Translate!$E$500</f>
        <v>Horizontal axis</v>
      </c>
      <c r="R101" s="113" t="str">
        <f>Translate!$E$516</f>
        <v>Select regimes to compare</v>
      </c>
    </row>
    <row r="102" spans="1:59">
      <c r="A102" s="35"/>
      <c r="B102" s="481" t="str">
        <f xml:space="preserve"> Translate!E504 &amp; ": " &amp; C$7</f>
        <v>Project: Gold(2MMoz)</v>
      </c>
      <c r="C102" s="4" t="str">
        <f>Translate!$E$501</f>
        <v>Text box</v>
      </c>
      <c r="R102" s="246" t="str">
        <f xml:space="preserve"> $C$6</f>
        <v>Royalty + CIT</v>
      </c>
      <c r="S102" s="246" t="str">
        <f t="shared" ref="S102:BG102" si="4" xml:space="preserve"> IFERROR( IF( $R102 = 0, NA(), S99), "")</f>
        <v>US$ mn 2021</v>
      </c>
      <c r="T102" s="246">
        <f t="shared" ca="1" si="4"/>
        <v>0</v>
      </c>
      <c r="U102" s="246">
        <f t="shared" ca="1" si="4"/>
        <v>0</v>
      </c>
      <c r="V102" s="246">
        <f t="shared" ca="1" si="4"/>
        <v>0</v>
      </c>
      <c r="W102" s="246">
        <f t="shared" ca="1" si="4"/>
        <v>0</v>
      </c>
      <c r="X102" s="246">
        <f t="shared" ca="1" si="4"/>
        <v>0.73750000000000004</v>
      </c>
      <c r="Y102" s="246">
        <f t="shared" ca="1" si="4"/>
        <v>8.8656249999999979</v>
      </c>
      <c r="Z102" s="246">
        <f t="shared" ca="1" si="4"/>
        <v>18.595652328431374</v>
      </c>
      <c r="AA102" s="246">
        <f t="shared" ca="1" si="4"/>
        <v>18.712036596501342</v>
      </c>
      <c r="AB102" s="246">
        <f t="shared" ca="1" si="4"/>
        <v>25.901850013156011</v>
      </c>
      <c r="AC102" s="246">
        <f t="shared" ca="1" si="4"/>
        <v>46.299109346897083</v>
      </c>
      <c r="AD102" s="246">
        <f t="shared" ca="1" si="4"/>
        <v>52.085327833092393</v>
      </c>
      <c r="AE102" s="246">
        <f t="shared" ca="1" si="4"/>
        <v>58.550023788694531</v>
      </c>
      <c r="AF102" s="246">
        <f t="shared" ca="1" si="4"/>
        <v>58.550023788694531</v>
      </c>
      <c r="AG102" s="246">
        <f t="shared" ca="1" si="4"/>
        <v>57.588994802792826</v>
      </c>
      <c r="AH102" s="246">
        <f t="shared" ca="1" si="4"/>
        <v>57.607838508398764</v>
      </c>
      <c r="AI102" s="246">
        <f t="shared" ca="1" si="4"/>
        <v>57.626312729581016</v>
      </c>
      <c r="AJ102" s="246">
        <f t="shared" ca="1" si="4"/>
        <v>47.429674711132272</v>
      </c>
      <c r="AK102" s="246">
        <f t="shared" ca="1" si="4"/>
        <v>38.435881555790353</v>
      </c>
      <c r="AL102" s="246">
        <f t="shared" ca="1" si="4"/>
        <v>28.28939753761021</v>
      </c>
      <c r="AM102" s="246">
        <f t="shared" ca="1" si="4"/>
        <v>20.591642791157952</v>
      </c>
      <c r="AN102" s="246">
        <f t="shared" ca="1" si="4"/>
        <v>15.925613276488066</v>
      </c>
      <c r="AO102" s="246">
        <f t="shared" ca="1" si="4"/>
        <v>0</v>
      </c>
      <c r="AP102" s="246">
        <f t="shared" ca="1" si="4"/>
        <v>0</v>
      </c>
      <c r="AQ102" s="246">
        <f t="shared" ca="1" si="4"/>
        <v>0</v>
      </c>
      <c r="AR102" s="246">
        <f t="shared" ca="1" si="4"/>
        <v>0</v>
      </c>
      <c r="AS102" s="246">
        <f t="shared" ca="1" si="4"/>
        <v>0</v>
      </c>
      <c r="AT102" s="246">
        <f t="shared" ca="1" si="4"/>
        <v>0</v>
      </c>
      <c r="AU102" s="246">
        <f t="shared" ca="1" si="4"/>
        <v>0</v>
      </c>
      <c r="AV102" s="246">
        <f t="shared" ca="1" si="4"/>
        <v>0</v>
      </c>
      <c r="AW102" s="246">
        <f t="shared" ca="1" si="4"/>
        <v>0</v>
      </c>
      <c r="AX102" s="246">
        <f t="shared" ca="1" si="4"/>
        <v>0</v>
      </c>
      <c r="AY102" s="246">
        <f t="shared" ca="1" si="4"/>
        <v>0</v>
      </c>
      <c r="AZ102" s="246">
        <f t="shared" ca="1" si="4"/>
        <v>0</v>
      </c>
      <c r="BA102" s="246">
        <f t="shared" ca="1" si="4"/>
        <v>0</v>
      </c>
      <c r="BB102" s="246">
        <f t="shared" ca="1" si="4"/>
        <v>0</v>
      </c>
      <c r="BC102" s="246">
        <f t="shared" ca="1" si="4"/>
        <v>0</v>
      </c>
      <c r="BD102" s="246">
        <f t="shared" ca="1" si="4"/>
        <v>0</v>
      </c>
      <c r="BE102" s="246">
        <f t="shared" ca="1" si="4"/>
        <v>0</v>
      </c>
      <c r="BF102" s="246">
        <f t="shared" ca="1" si="4"/>
        <v>0</v>
      </c>
      <c r="BG102" s="246">
        <f t="shared" ca="1" si="4"/>
        <v>0</v>
      </c>
    </row>
    <row r="103" spans="1:59">
      <c r="A103" s="35"/>
      <c r="B103" s="41"/>
      <c r="R103" s="638" t="str">
        <f t="array" ref="R103:R107" xml:space="preserve"> TRANSPOSE( U68:Y68)</f>
        <v>Royalty + CIT</v>
      </c>
      <c r="S103" s="320" t="str">
        <f t="dataTable" ref="S103:BG107" dt2D="0" dtr="0" r1="C6" ca="1"/>
        <v>US$ mn 2021</v>
      </c>
      <c r="T103" s="320">
        <v>0</v>
      </c>
      <c r="U103" s="320">
        <v>0</v>
      </c>
      <c r="V103" s="320">
        <v>0</v>
      </c>
      <c r="W103" s="320">
        <v>0</v>
      </c>
      <c r="X103" s="320">
        <v>0.73750000000000004</v>
      </c>
      <c r="Y103" s="320">
        <v>8.8656249999999979</v>
      </c>
      <c r="Z103" s="320">
        <v>18.595652328431374</v>
      </c>
      <c r="AA103" s="320">
        <v>18.712036596501342</v>
      </c>
      <c r="AB103" s="320">
        <v>25.901850013156011</v>
      </c>
      <c r="AC103" s="320">
        <v>46.299109346897083</v>
      </c>
      <c r="AD103" s="320">
        <v>52.085327833092393</v>
      </c>
      <c r="AE103" s="320">
        <v>58.550023788694531</v>
      </c>
      <c r="AF103" s="320">
        <v>58.550023788694531</v>
      </c>
      <c r="AG103" s="320">
        <v>57.588994802792826</v>
      </c>
      <c r="AH103" s="320">
        <v>57.607838508398764</v>
      </c>
      <c r="AI103" s="320">
        <v>57.626312729581016</v>
      </c>
      <c r="AJ103" s="320">
        <v>47.429674711132272</v>
      </c>
      <c r="AK103" s="320">
        <v>38.435881555790353</v>
      </c>
      <c r="AL103" s="320">
        <v>28.28939753761021</v>
      </c>
      <c r="AM103" s="320">
        <v>20.591642791157952</v>
      </c>
      <c r="AN103" s="320">
        <v>15.925613276488066</v>
      </c>
      <c r="AO103" s="320">
        <v>0</v>
      </c>
      <c r="AP103" s="320">
        <v>0</v>
      </c>
      <c r="AQ103" s="320">
        <v>0</v>
      </c>
      <c r="AR103" s="320">
        <v>0</v>
      </c>
      <c r="AS103" s="320">
        <v>0</v>
      </c>
      <c r="AT103" s="320">
        <v>0</v>
      </c>
      <c r="AU103" s="320">
        <v>0</v>
      </c>
      <c r="AV103" s="320">
        <v>0</v>
      </c>
      <c r="AW103" s="320">
        <v>0</v>
      </c>
      <c r="AX103" s="320">
        <v>0</v>
      </c>
      <c r="AY103" s="320">
        <v>0</v>
      </c>
      <c r="AZ103" s="320">
        <v>0</v>
      </c>
      <c r="BA103" s="320">
        <v>0</v>
      </c>
      <c r="BB103" s="320">
        <v>0</v>
      </c>
      <c r="BC103" s="320">
        <v>0</v>
      </c>
      <c r="BD103" s="320">
        <v>0</v>
      </c>
      <c r="BE103" s="320">
        <v>0</v>
      </c>
      <c r="BF103" s="320">
        <v>0</v>
      </c>
      <c r="BG103" s="320">
        <v>0</v>
      </c>
    </row>
    <row r="104" spans="1:59">
      <c r="A104" s="35"/>
      <c r="B104" s="41"/>
      <c r="R104" s="638" t="str">
        <v>High royalty / low CIT</v>
      </c>
      <c r="S104" s="320" t="str">
        <v>US$ mn 2021</v>
      </c>
      <c r="T104" s="320">
        <v>0</v>
      </c>
      <c r="U104" s="320">
        <v>0</v>
      </c>
      <c r="V104" s="320">
        <v>0</v>
      </c>
      <c r="W104" s="320">
        <v>0</v>
      </c>
      <c r="X104" s="320">
        <v>1.3274999999999999</v>
      </c>
      <c r="Y104" s="320">
        <v>12.848125</v>
      </c>
      <c r="Z104" s="320">
        <v>26.560652328431374</v>
      </c>
      <c r="AA104" s="320">
        <v>26.677036596501338</v>
      </c>
      <c r="AB104" s="320">
        <v>26.791138820099359</v>
      </c>
      <c r="AC104" s="320">
        <v>44.382572883462295</v>
      </c>
      <c r="AD104" s="320">
        <v>49.017998520891041</v>
      </c>
      <c r="AE104" s="320">
        <v>55.202374134781799</v>
      </c>
      <c r="AF104" s="320">
        <v>55.202374134781806</v>
      </c>
      <c r="AG104" s="320">
        <v>54.437919259632721</v>
      </c>
      <c r="AH104" s="320">
        <v>54.452908570910182</v>
      </c>
      <c r="AI104" s="320">
        <v>54.467603974123342</v>
      </c>
      <c r="AJ104" s="320">
        <v>44.917511232175471</v>
      </c>
      <c r="AK104" s="320">
        <v>36.45513599497167</v>
      </c>
      <c r="AL104" s="320">
        <v>27.063397300723707</v>
      </c>
      <c r="AM104" s="320">
        <v>19.145959136541393</v>
      </c>
      <c r="AN104" s="320">
        <v>14.789009483205762</v>
      </c>
      <c r="AO104" s="320">
        <v>0</v>
      </c>
      <c r="AP104" s="320">
        <v>0</v>
      </c>
      <c r="AQ104" s="320">
        <v>0</v>
      </c>
      <c r="AR104" s="320">
        <v>0</v>
      </c>
      <c r="AS104" s="320">
        <v>0</v>
      </c>
      <c r="AT104" s="320">
        <v>0</v>
      </c>
      <c r="AU104" s="320">
        <v>0</v>
      </c>
      <c r="AV104" s="320">
        <v>0</v>
      </c>
      <c r="AW104" s="320">
        <v>0</v>
      </c>
      <c r="AX104" s="320">
        <v>0</v>
      </c>
      <c r="AY104" s="320">
        <v>0</v>
      </c>
      <c r="AZ104" s="320">
        <v>0</v>
      </c>
      <c r="BA104" s="320">
        <v>0</v>
      </c>
      <c r="BB104" s="320">
        <v>0</v>
      </c>
      <c r="BC104" s="320">
        <v>0</v>
      </c>
      <c r="BD104" s="320">
        <v>0</v>
      </c>
      <c r="BE104" s="320">
        <v>0</v>
      </c>
      <c r="BF104" s="320">
        <v>0</v>
      </c>
      <c r="BG104" s="320">
        <v>0</v>
      </c>
    </row>
    <row r="105" spans="1:59">
      <c r="A105" s="35"/>
      <c r="B105" s="41"/>
      <c r="R105" s="638" t="str">
        <v>RRT</v>
      </c>
      <c r="S105" s="320" t="str">
        <v>US$ mn 2021</v>
      </c>
      <c r="T105" s="320">
        <v>0</v>
      </c>
      <c r="U105" s="320">
        <v>0</v>
      </c>
      <c r="V105" s="320">
        <v>0</v>
      </c>
      <c r="W105" s="320">
        <v>0</v>
      </c>
      <c r="X105" s="320">
        <v>0.29499999999999998</v>
      </c>
      <c r="Y105" s="320">
        <v>5.8787499999999993</v>
      </c>
      <c r="Z105" s="320">
        <v>12.621902328431373</v>
      </c>
      <c r="AA105" s="320">
        <v>12.738286596501341</v>
      </c>
      <c r="AB105" s="320">
        <v>19.756148905492452</v>
      </c>
      <c r="AC105" s="320">
        <v>36.6071057141233</v>
      </c>
      <c r="AD105" s="320">
        <v>58.818153960670834</v>
      </c>
      <c r="AE105" s="320">
        <v>64.69592920081476</v>
      </c>
      <c r="AF105" s="320">
        <v>64.695929200814774</v>
      </c>
      <c r="AG105" s="320">
        <v>63.532183163199427</v>
      </c>
      <c r="AH105" s="320">
        <v>63.555001712956624</v>
      </c>
      <c r="AI105" s="320">
        <v>63.57737284016951</v>
      </c>
      <c r="AJ105" s="320">
        <v>52.253508442829222</v>
      </c>
      <c r="AK105" s="320">
        <v>43.691213996907365</v>
      </c>
      <c r="AL105" s="320">
        <v>31.583669464881332</v>
      </c>
      <c r="AM105" s="320">
        <v>24.159236789210699</v>
      </c>
      <c r="AN105" s="320">
        <v>18.49055535872105</v>
      </c>
      <c r="AO105" s="320">
        <v>0</v>
      </c>
      <c r="AP105" s="320">
        <v>0</v>
      </c>
      <c r="AQ105" s="320">
        <v>0</v>
      </c>
      <c r="AR105" s="320">
        <v>0</v>
      </c>
      <c r="AS105" s="320">
        <v>0</v>
      </c>
      <c r="AT105" s="320">
        <v>0</v>
      </c>
      <c r="AU105" s="320">
        <v>0</v>
      </c>
      <c r="AV105" s="320">
        <v>0</v>
      </c>
      <c r="AW105" s="320">
        <v>0</v>
      </c>
      <c r="AX105" s="320">
        <v>0</v>
      </c>
      <c r="AY105" s="320">
        <v>0</v>
      </c>
      <c r="AZ105" s="320">
        <v>0</v>
      </c>
      <c r="BA105" s="320">
        <v>0</v>
      </c>
      <c r="BB105" s="320">
        <v>0</v>
      </c>
      <c r="BC105" s="320">
        <v>0</v>
      </c>
      <c r="BD105" s="320">
        <v>0</v>
      </c>
      <c r="BE105" s="320">
        <v>0</v>
      </c>
      <c r="BF105" s="320">
        <v>0</v>
      </c>
      <c r="BG105" s="320">
        <v>0</v>
      </c>
    </row>
    <row r="106" spans="1:59">
      <c r="A106" s="35"/>
      <c r="B106" s="41"/>
      <c r="R106" s="638" t="str">
        <v>Royalty + CIT + SP</v>
      </c>
      <c r="S106" s="320" t="str">
        <v>US$ mn 2021</v>
      </c>
      <c r="T106" s="320">
        <v>0</v>
      </c>
      <c r="U106" s="320">
        <v>0</v>
      </c>
      <c r="V106" s="320">
        <v>0</v>
      </c>
      <c r="W106" s="320">
        <v>0</v>
      </c>
      <c r="X106" s="320">
        <v>0.73750000000000004</v>
      </c>
      <c r="Y106" s="320">
        <v>11.866562499999997</v>
      </c>
      <c r="Z106" s="320">
        <v>23.479065967953428</v>
      </c>
      <c r="AA106" s="320">
        <v>24.109228587418286</v>
      </c>
      <c r="AB106" s="320">
        <v>29.268415426252531</v>
      </c>
      <c r="AC106" s="320">
        <v>42.900422417029823</v>
      </c>
      <c r="AD106" s="320">
        <v>47.122423482050415</v>
      </c>
      <c r="AE106" s="320">
        <v>58.52233672130361</v>
      </c>
      <c r="AF106" s="320">
        <v>58.522336721303631</v>
      </c>
      <c r="AG106" s="320">
        <v>57.561307735401932</v>
      </c>
      <c r="AH106" s="320">
        <v>57.580151441007871</v>
      </c>
      <c r="AI106" s="320">
        <v>57.598625662190109</v>
      </c>
      <c r="AJ106" s="320">
        <v>47.401987643741371</v>
      </c>
      <c r="AK106" s="320">
        <v>38.984194488399453</v>
      </c>
      <c r="AL106" s="320">
        <v>29.040970806691682</v>
      </c>
      <c r="AM106" s="320">
        <v>16.97160287212019</v>
      </c>
      <c r="AN106" s="320">
        <v>12.429009483205762</v>
      </c>
      <c r="AO106" s="320">
        <v>0</v>
      </c>
      <c r="AP106" s="320">
        <v>0</v>
      </c>
      <c r="AQ106" s="320">
        <v>0</v>
      </c>
      <c r="AR106" s="320">
        <v>0</v>
      </c>
      <c r="AS106" s="320">
        <v>0</v>
      </c>
      <c r="AT106" s="320">
        <v>0</v>
      </c>
      <c r="AU106" s="320">
        <v>0</v>
      </c>
      <c r="AV106" s="320">
        <v>0</v>
      </c>
      <c r="AW106" s="320">
        <v>0</v>
      </c>
      <c r="AX106" s="320">
        <v>0</v>
      </c>
      <c r="AY106" s="320">
        <v>0</v>
      </c>
      <c r="AZ106" s="320">
        <v>0</v>
      </c>
      <c r="BA106" s="320">
        <v>0</v>
      </c>
      <c r="BB106" s="320">
        <v>0</v>
      </c>
      <c r="BC106" s="320">
        <v>0</v>
      </c>
      <c r="BD106" s="320">
        <v>0</v>
      </c>
      <c r="BE106" s="320">
        <v>0</v>
      </c>
      <c r="BF106" s="320">
        <v>0</v>
      </c>
      <c r="BG106" s="320">
        <v>0</v>
      </c>
    </row>
    <row r="107" spans="1:59">
      <c r="A107" s="35"/>
      <c r="B107" s="41"/>
      <c r="R107" s="638" t="str">
        <v>Royalty + CIT, no debt</v>
      </c>
      <c r="S107" s="320" t="str">
        <v>US$ mn 2021</v>
      </c>
      <c r="T107" s="320">
        <v>0</v>
      </c>
      <c r="U107" s="320">
        <v>0</v>
      </c>
      <c r="V107" s="320">
        <v>0</v>
      </c>
      <c r="W107" s="320">
        <v>0</v>
      </c>
      <c r="X107" s="320">
        <v>0.73750000000000004</v>
      </c>
      <c r="Y107" s="320">
        <v>5.53125</v>
      </c>
      <c r="Z107" s="320">
        <v>24.53125</v>
      </c>
      <c r="AA107" s="320">
        <v>34.87144825129328</v>
      </c>
      <c r="AB107" s="320">
        <v>40.250319689645849</v>
      </c>
      <c r="AC107" s="320">
        <v>53.893842841520907</v>
      </c>
      <c r="AD107" s="320">
        <v>58.550023788694538</v>
      </c>
      <c r="AE107" s="320">
        <v>58.550023788694531</v>
      </c>
      <c r="AF107" s="320">
        <v>58.550023788694531</v>
      </c>
      <c r="AG107" s="320">
        <v>57.588994802792826</v>
      </c>
      <c r="AH107" s="320">
        <v>57.607838508398764</v>
      </c>
      <c r="AI107" s="320">
        <v>57.626312729581016</v>
      </c>
      <c r="AJ107" s="320">
        <v>39.884513794660577</v>
      </c>
      <c r="AK107" s="320">
        <v>31.597899403183778</v>
      </c>
      <c r="AL107" s="320">
        <v>23.548462896121233</v>
      </c>
      <c r="AM107" s="320">
        <v>20.591642791157952</v>
      </c>
      <c r="AN107" s="320">
        <v>15.925613276488088</v>
      </c>
      <c r="AO107" s="320">
        <v>0</v>
      </c>
      <c r="AP107" s="320">
        <v>0</v>
      </c>
      <c r="AQ107" s="320">
        <v>0</v>
      </c>
      <c r="AR107" s="320">
        <v>0</v>
      </c>
      <c r="AS107" s="320">
        <v>0</v>
      </c>
      <c r="AT107" s="320">
        <v>0</v>
      </c>
      <c r="AU107" s="320">
        <v>0</v>
      </c>
      <c r="AV107" s="320">
        <v>0</v>
      </c>
      <c r="AW107" s="320">
        <v>0</v>
      </c>
      <c r="AX107" s="320">
        <v>0</v>
      </c>
      <c r="AY107" s="320">
        <v>0</v>
      </c>
      <c r="AZ107" s="320">
        <v>0</v>
      </c>
      <c r="BA107" s="320">
        <v>0</v>
      </c>
      <c r="BB107" s="320">
        <v>0</v>
      </c>
      <c r="BC107" s="320">
        <v>0</v>
      </c>
      <c r="BD107" s="320">
        <v>0</v>
      </c>
      <c r="BE107" s="320">
        <v>0</v>
      </c>
      <c r="BF107" s="320">
        <v>0</v>
      </c>
      <c r="BG107" s="320">
        <v>0</v>
      </c>
    </row>
    <row r="108" spans="1:59">
      <c r="A108" s="35"/>
      <c r="B108" s="41"/>
    </row>
    <row r="109" spans="1:59">
      <c r="A109" s="35"/>
      <c r="B109" s="41"/>
      <c r="R109" s="52" t="str">
        <f>Translate!$E$517</f>
        <v>Difference between two regimes</v>
      </c>
      <c r="S109" s="41"/>
      <c r="T109" s="41">
        <f t="shared" ref="T109:BG109" si="5" xml:space="preserve"> T103 - T104</f>
        <v>0</v>
      </c>
      <c r="U109" s="41">
        <f t="shared" si="5"/>
        <v>0</v>
      </c>
      <c r="V109" s="41">
        <f t="shared" si="5"/>
        <v>0</v>
      </c>
      <c r="W109" s="41">
        <f t="shared" si="5"/>
        <v>0</v>
      </c>
      <c r="X109" s="41">
        <f t="shared" si="5"/>
        <v>-0.58999999999999986</v>
      </c>
      <c r="Y109" s="41">
        <f t="shared" si="5"/>
        <v>-3.9825000000000017</v>
      </c>
      <c r="Z109" s="41">
        <f t="shared" si="5"/>
        <v>-7.9649999999999999</v>
      </c>
      <c r="AA109" s="41">
        <f t="shared" si="5"/>
        <v>-7.9649999999999963</v>
      </c>
      <c r="AB109" s="41">
        <f t="shared" si="5"/>
        <v>-0.88928880694334822</v>
      </c>
      <c r="AC109" s="41">
        <f t="shared" si="5"/>
        <v>1.9165364634347881</v>
      </c>
      <c r="AD109" s="41">
        <f t="shared" si="5"/>
        <v>3.0673293122013519</v>
      </c>
      <c r="AE109" s="41">
        <f t="shared" si="5"/>
        <v>3.3476496539127325</v>
      </c>
      <c r="AF109" s="41">
        <f t="shared" si="5"/>
        <v>3.3476496539127254</v>
      </c>
      <c r="AG109" s="41">
        <f t="shared" si="5"/>
        <v>3.1510755431601041</v>
      </c>
      <c r="AH109" s="41">
        <f t="shared" si="5"/>
        <v>3.154929937488582</v>
      </c>
      <c r="AI109" s="41">
        <f t="shared" si="5"/>
        <v>3.158708755457674</v>
      </c>
      <c r="AJ109" s="41">
        <f t="shared" si="5"/>
        <v>2.5121634789568006</v>
      </c>
      <c r="AK109" s="41">
        <f t="shared" si="5"/>
        <v>1.9807455608186828</v>
      </c>
      <c r="AL109" s="41">
        <f t="shared" si="5"/>
        <v>1.2260002368865024</v>
      </c>
      <c r="AM109" s="41">
        <f t="shared" si="5"/>
        <v>1.445683654616559</v>
      </c>
      <c r="AN109" s="41">
        <f t="shared" si="5"/>
        <v>1.1366037932823048</v>
      </c>
      <c r="AO109" s="41">
        <f t="shared" si="5"/>
        <v>0</v>
      </c>
      <c r="AP109" s="41">
        <f t="shared" si="5"/>
        <v>0</v>
      </c>
      <c r="AQ109" s="41">
        <f t="shared" si="5"/>
        <v>0</v>
      </c>
      <c r="AR109" s="41">
        <f t="shared" si="5"/>
        <v>0</v>
      </c>
      <c r="AS109" s="41">
        <f t="shared" si="5"/>
        <v>0</v>
      </c>
      <c r="AT109" s="41">
        <f t="shared" si="5"/>
        <v>0</v>
      </c>
      <c r="AU109" s="41">
        <f t="shared" si="5"/>
        <v>0</v>
      </c>
      <c r="AV109" s="41">
        <f t="shared" si="5"/>
        <v>0</v>
      </c>
      <c r="AW109" s="41">
        <f t="shared" si="5"/>
        <v>0</v>
      </c>
      <c r="AX109" s="41">
        <f t="shared" si="5"/>
        <v>0</v>
      </c>
      <c r="AY109" s="41">
        <f t="shared" si="5"/>
        <v>0</v>
      </c>
      <c r="AZ109" s="41">
        <f t="shared" si="5"/>
        <v>0</v>
      </c>
      <c r="BA109" s="41">
        <f t="shared" si="5"/>
        <v>0</v>
      </c>
      <c r="BB109" s="41">
        <f t="shared" si="5"/>
        <v>0</v>
      </c>
      <c r="BC109" s="41">
        <f t="shared" si="5"/>
        <v>0</v>
      </c>
      <c r="BD109" s="41">
        <f t="shared" si="5"/>
        <v>0</v>
      </c>
      <c r="BE109" s="41">
        <f t="shared" si="5"/>
        <v>0</v>
      </c>
      <c r="BF109" s="41">
        <f t="shared" si="5"/>
        <v>0</v>
      </c>
      <c r="BG109" s="41">
        <f t="shared" si="5"/>
        <v>0</v>
      </c>
    </row>
    <row r="110" spans="1:59">
      <c r="A110" s="35"/>
      <c r="B110" s="41"/>
      <c r="R110" s="52" t="str">
        <f>Translate!$E$518</f>
        <v>Cumulative difference</v>
      </c>
      <c r="S110" s="41"/>
      <c r="T110" s="41">
        <f xml:space="preserve"> S110 + T109</f>
        <v>0</v>
      </c>
      <c r="U110" s="41">
        <f t="shared" ref="U110:BG110" si="6" xml:space="preserve"> T110 + U109</f>
        <v>0</v>
      </c>
      <c r="V110" s="41">
        <f t="shared" si="6"/>
        <v>0</v>
      </c>
      <c r="W110" s="41">
        <f t="shared" si="6"/>
        <v>0</v>
      </c>
      <c r="X110" s="41">
        <f t="shared" si="6"/>
        <v>-0.58999999999999986</v>
      </c>
      <c r="Y110" s="41">
        <f t="shared" si="6"/>
        <v>-4.5725000000000016</v>
      </c>
      <c r="Z110" s="41">
        <f t="shared" si="6"/>
        <v>-12.537500000000001</v>
      </c>
      <c r="AA110" s="41">
        <f t="shared" si="6"/>
        <v>-20.502499999999998</v>
      </c>
      <c r="AB110" s="41">
        <f t="shared" si="6"/>
        <v>-21.391788806943346</v>
      </c>
      <c r="AC110" s="41">
        <f t="shared" si="6"/>
        <v>-19.475252343508558</v>
      </c>
      <c r="AD110" s="41">
        <f t="shared" si="6"/>
        <v>-16.407923031307206</v>
      </c>
      <c r="AE110" s="41">
        <f t="shared" si="6"/>
        <v>-13.060273377394473</v>
      </c>
      <c r="AF110" s="41">
        <f t="shared" si="6"/>
        <v>-9.7126237234817481</v>
      </c>
      <c r="AG110" s="41">
        <f t="shared" si="6"/>
        <v>-6.561548180321644</v>
      </c>
      <c r="AH110" s="41">
        <f t="shared" si="6"/>
        <v>-3.406618242833062</v>
      </c>
      <c r="AI110" s="41">
        <f t="shared" si="6"/>
        <v>-0.24790948737538798</v>
      </c>
      <c r="AJ110" s="41">
        <f t="shared" si="6"/>
        <v>2.2642539915814126</v>
      </c>
      <c r="AK110" s="41">
        <f t="shared" si="6"/>
        <v>4.2449995524000954</v>
      </c>
      <c r="AL110" s="41">
        <f t="shared" si="6"/>
        <v>5.4709997892865978</v>
      </c>
      <c r="AM110" s="41">
        <f t="shared" si="6"/>
        <v>6.9166834439031568</v>
      </c>
      <c r="AN110" s="41">
        <f t="shared" si="6"/>
        <v>8.0532872371854616</v>
      </c>
      <c r="AO110" s="41">
        <f t="shared" si="6"/>
        <v>8.0532872371854616</v>
      </c>
      <c r="AP110" s="41">
        <f t="shared" si="6"/>
        <v>8.0532872371854616</v>
      </c>
      <c r="AQ110" s="41">
        <f t="shared" si="6"/>
        <v>8.0532872371854616</v>
      </c>
      <c r="AR110" s="41">
        <f t="shared" si="6"/>
        <v>8.0532872371854616</v>
      </c>
      <c r="AS110" s="41">
        <f t="shared" si="6"/>
        <v>8.0532872371854616</v>
      </c>
      <c r="AT110" s="41">
        <f t="shared" si="6"/>
        <v>8.0532872371854616</v>
      </c>
      <c r="AU110" s="41">
        <f t="shared" si="6"/>
        <v>8.0532872371854616</v>
      </c>
      <c r="AV110" s="41">
        <f t="shared" si="6"/>
        <v>8.0532872371854616</v>
      </c>
      <c r="AW110" s="41">
        <f t="shared" si="6"/>
        <v>8.0532872371854616</v>
      </c>
      <c r="AX110" s="41">
        <f t="shared" si="6"/>
        <v>8.0532872371854616</v>
      </c>
      <c r="AY110" s="41">
        <f t="shared" si="6"/>
        <v>8.0532872371854616</v>
      </c>
      <c r="AZ110" s="41">
        <f t="shared" si="6"/>
        <v>8.0532872371854616</v>
      </c>
      <c r="BA110" s="41">
        <f t="shared" si="6"/>
        <v>8.0532872371854616</v>
      </c>
      <c r="BB110" s="41">
        <f t="shared" si="6"/>
        <v>8.0532872371854616</v>
      </c>
      <c r="BC110" s="41">
        <f t="shared" si="6"/>
        <v>8.0532872371854616</v>
      </c>
      <c r="BD110" s="41">
        <f t="shared" si="6"/>
        <v>8.0532872371854616</v>
      </c>
      <c r="BE110" s="41">
        <f t="shared" si="6"/>
        <v>8.0532872371854616</v>
      </c>
      <c r="BF110" s="41">
        <f t="shared" si="6"/>
        <v>8.0532872371854616</v>
      </c>
      <c r="BG110" s="41">
        <f t="shared" si="6"/>
        <v>8.0532872371854616</v>
      </c>
    </row>
    <row r="111" spans="1:59">
      <c r="A111" s="35"/>
      <c r="B111" s="41"/>
    </row>
    <row r="112" spans="1:59">
      <c r="A112" s="35"/>
      <c r="B112" s="41"/>
    </row>
    <row r="113" spans="1:59">
      <c r="A113" s="35"/>
      <c r="B113" s="41"/>
    </row>
    <row r="114" spans="1:59">
      <c r="A114" s="35"/>
      <c r="B114" s="41"/>
    </row>
    <row r="115" spans="1:59">
      <c r="A115" s="35"/>
      <c r="B115" s="41"/>
    </row>
    <row r="116" spans="1:59">
      <c r="A116" s="35"/>
      <c r="B116" s="41"/>
    </row>
    <row r="117" spans="1:59">
      <c r="A117" s="35"/>
      <c r="B117" s="41"/>
    </row>
    <row r="118" spans="1:59">
      <c r="A118" s="35"/>
      <c r="B118" s="41"/>
    </row>
    <row r="119" spans="1:59">
      <c r="A119" s="35"/>
      <c r="B119" s="41"/>
    </row>
    <row r="120" spans="1:59">
      <c r="A120" s="35"/>
      <c r="B120" s="41"/>
    </row>
    <row r="121" spans="1:59">
      <c r="A121" s="88" t="str">
        <f>Translate!$E$450</f>
        <v>Progressivity analysis across a range of mineral prices</v>
      </c>
      <c r="B121" s="516"/>
      <c r="C121" s="516"/>
      <c r="D121" s="36"/>
      <c r="E121" s="942" t="str">
        <f xml:space="preserve"> Translate!E$584</f>
        <v>Return to</v>
      </c>
      <c r="F121" s="944" t="e">
        <f ca="1">$A$1</f>
        <v>#VALUE!</v>
      </c>
      <c r="G121" s="36"/>
      <c r="H121" s="36"/>
      <c r="I121" s="36"/>
      <c r="J121" s="36"/>
      <c r="K121" s="36"/>
      <c r="L121" s="36"/>
      <c r="M121" s="36"/>
      <c r="N121" s="36"/>
      <c r="O121" s="36"/>
      <c r="P121" s="36"/>
      <c r="Q121" s="36"/>
      <c r="R121" s="36"/>
      <c r="S121" s="36"/>
      <c r="T121" s="36"/>
      <c r="U121" s="36"/>
      <c r="V121" s="36"/>
      <c r="W121" s="36"/>
      <c r="X121" s="36"/>
      <c r="Y121" s="36"/>
      <c r="Z121" s="36"/>
      <c r="AA121" s="36"/>
      <c r="AB121" s="36"/>
      <c r="AC121" s="36"/>
      <c r="AD121" s="36"/>
      <c r="AE121" s="36"/>
      <c r="AF121" s="36"/>
      <c r="AG121" s="36"/>
      <c r="AH121" s="36"/>
      <c r="AI121" s="36"/>
      <c r="AJ121" s="36"/>
      <c r="AK121" s="36"/>
      <c r="AL121" s="36"/>
      <c r="AM121" s="36"/>
      <c r="AN121" s="36"/>
      <c r="AO121" s="36"/>
      <c r="AP121" s="36"/>
      <c r="AQ121" s="36"/>
      <c r="AR121" s="36"/>
      <c r="AS121" s="36"/>
      <c r="AT121" s="36"/>
      <c r="AU121" s="36"/>
      <c r="AV121" s="36"/>
      <c r="AW121" s="36"/>
      <c r="AX121" s="36"/>
      <c r="AY121" s="36"/>
      <c r="AZ121" s="36"/>
      <c r="BA121" s="36"/>
      <c r="BB121" s="36"/>
      <c r="BC121" s="36"/>
      <c r="BD121" s="36"/>
      <c r="BE121" s="36"/>
      <c r="BF121" s="36"/>
      <c r="BG121" s="36"/>
    </row>
    <row r="122" spans="1:59">
      <c r="A122" s="943"/>
    </row>
    <row r="123" spans="1:59">
      <c r="A123" s="943"/>
      <c r="B123" s="42" t="str">
        <f>Translate!$E$497</f>
        <v>Chart details</v>
      </c>
      <c r="R123" s="42" t="str">
        <f>Translate!$E$17</f>
        <v>Government share metrics</v>
      </c>
    </row>
    <row r="124" spans="1:59">
      <c r="A124" s="943"/>
      <c r="B124" s="860" t="str">
        <f>Translate!$E$450</f>
        <v>Progressivity analysis across a range of mineral prices</v>
      </c>
      <c r="C124" s="4" t="str">
        <f>Translate!$E$498</f>
        <v>Chart title</v>
      </c>
      <c r="R124" s="4" t="str">
        <f t="shared" ref="R124:T127" si="7">R89</f>
        <v>AETR: full-cycle, undiscounted</v>
      </c>
      <c r="S124" s="4" t="str">
        <f t="shared" si="7"/>
        <v>%</v>
      </c>
      <c r="T124" s="50">
        <f t="shared" ca="1" si="7"/>
        <v>0.4067769312555975</v>
      </c>
    </row>
    <row r="125" spans="1:59">
      <c r="A125" s="943"/>
      <c r="B125" s="54" t="str">
        <f xml:space="preserve"> R129</f>
        <v>AETR: full-cycle, undiscounted</v>
      </c>
      <c r="C125" s="4" t="str">
        <f>Translate!$E$499 &amp; " 1"</f>
        <v>Vertical axis 1</v>
      </c>
      <c r="R125" s="4" t="str">
        <f t="shared" si="7"/>
        <v>AETR: full-cycle, NPV8</v>
      </c>
      <c r="S125" s="4" t="str">
        <f t="shared" si="7"/>
        <v>% NPV8</v>
      </c>
      <c r="T125" s="50">
        <f t="shared" ca="1" si="7"/>
        <v>0.46979066646539541</v>
      </c>
    </row>
    <row r="126" spans="1:59">
      <c r="A126" s="943"/>
      <c r="B126" s="54"/>
      <c r="C126" s="4" t="str">
        <f>Translate!$E$499 &amp; " 2"</f>
        <v>Vertical axis 2</v>
      </c>
      <c r="R126" s="4" t="str">
        <f t="shared" si="7"/>
        <v>Government share of project benefits: full-cycle, undiscounted</v>
      </c>
      <c r="S126" s="4" t="str">
        <f t="shared" si="7"/>
        <v>%</v>
      </c>
      <c r="T126" s="50">
        <f t="shared" ca="1" si="7"/>
        <v>0.31633531779132301</v>
      </c>
    </row>
    <row r="127" spans="1:59">
      <c r="A127" s="943"/>
      <c r="B127" s="54" t="str">
        <f ca="1" xml:space="preserve"> R151 &amp; " / " &amp; S133 &amp; " price: " &amp; S135</f>
        <v>IRR: Project % real / Gold price: US$ / ounce const</v>
      </c>
      <c r="C127" s="4" t="str">
        <f>Translate!$E$500</f>
        <v>Horizontal axis</v>
      </c>
      <c r="R127" s="4" t="str">
        <f t="shared" si="7"/>
        <v>Government share of project benefits: full-cycle, NPV8</v>
      </c>
      <c r="S127" s="4" t="str">
        <f t="shared" si="7"/>
        <v>% NPV8</v>
      </c>
      <c r="T127" s="50">
        <f t="shared" ca="1" si="7"/>
        <v>0.28782991830732063</v>
      </c>
    </row>
    <row r="128" spans="1:59">
      <c r="A128" s="943"/>
      <c r="B128" s="481" t="str">
        <f xml:space="preserve"> Translate!E504 &amp; ": " &amp; C$7</f>
        <v>Project: Gold(2MMoz)</v>
      </c>
      <c r="C128" s="4" t="str">
        <f>Translate!$E$501</f>
        <v>Text box</v>
      </c>
      <c r="R128" s="42" t="str">
        <f>Translate!$E$519</f>
        <v>Select metric</v>
      </c>
      <c r="T128" s="50"/>
    </row>
    <row r="129" spans="1:39">
      <c r="A129" s="943"/>
      <c r="B129" s="66"/>
      <c r="R129" s="54" t="s">
        <v>30</v>
      </c>
      <c r="S129" s="4" t="str">
        <f xml:space="preserve"> INDEX( S124:S127, MATCH(R129, R124:R127, 0), )</f>
        <v>%</v>
      </c>
      <c r="T129" s="65">
        <f ca="1" xml:space="preserve"> INDEX( T124:T127, MATCH(R129, R124:R127, 0), )</f>
        <v>0.4067769312555975</v>
      </c>
    </row>
    <row r="130" spans="1:39">
      <c r="A130" s="943"/>
      <c r="R130" s="4" t="str">
        <f xml:space="preserve"> Translate!E$444 &amp; ": " &amp; Translate!$E$519</f>
        <v>Check: Select metric</v>
      </c>
      <c r="S130" s="939">
        <f>IFERROR(MIN( 0, MATCH(R129,$R$124:$R$127,0) ), 1 )</f>
        <v>0</v>
      </c>
      <c r="T130" s="50" t="str">
        <f xml:space="preserve"> Translate!E$444</f>
        <v>Check</v>
      </c>
    </row>
    <row r="131" spans="1:39">
      <c r="A131" s="943"/>
      <c r="T131" s="50"/>
    </row>
    <row r="132" spans="1:39">
      <c r="A132" s="943"/>
      <c r="R132" s="42" t="str">
        <f>Translate!$E$520</f>
        <v>Create range of mineral prices</v>
      </c>
    </row>
    <row r="133" spans="1:39">
      <c r="A133" s="943"/>
      <c r="B133" s="42"/>
      <c r="R133" s="34" t="str">
        <f xml:space="preserve"> ProjectCashflows!E$9</f>
        <v>Mineral</v>
      </c>
      <c r="S133" s="34" t="str">
        <f ca="1" xml:space="preserve"> ProjectCashflows!F$9</f>
        <v>Gold</v>
      </c>
      <c r="T133" s="34" t="str">
        <f xml:space="preserve"> ProjectCashflows!G$9</f>
        <v>Label</v>
      </c>
    </row>
    <row r="134" spans="1:39">
      <c r="A134" s="943"/>
      <c r="B134" s="42"/>
      <c r="R134" s="34" t="str">
        <f xml:space="preserve"> ProjectCashflows!E$10</f>
        <v>Mineral units</v>
      </c>
      <c r="S134" s="34" t="str">
        <f ca="1" xml:space="preserve"> ProjectCashflows!F$10</f>
        <v>ounce</v>
      </c>
      <c r="T134" s="34" t="str">
        <f xml:space="preserve"> ProjectCashflows!G$10</f>
        <v>Units</v>
      </c>
    </row>
    <row r="135" spans="1:39">
      <c r="A135" s="943"/>
      <c r="B135" s="42"/>
      <c r="R135" s="304" t="str">
        <f>Translate!$E$521</f>
        <v>Price label</v>
      </c>
      <c r="S135" s="34" t="str">
        <f ca="1" xml:space="preserve"> ProjectCashflows!$G$81</f>
        <v>US$ / ounce const</v>
      </c>
      <c r="T135" s="34"/>
    </row>
    <row r="136" spans="1:39">
      <c r="A136" s="943"/>
      <c r="B136" s="42"/>
    </row>
    <row r="137" spans="1:39">
      <c r="A137" s="943"/>
      <c r="R137" s="4" t="str">
        <f>Translate!$E$522</f>
        <v>Starting price multiplier</v>
      </c>
      <c r="S137" s="317">
        <v>0.75</v>
      </c>
      <c r="T137" s="4" t="s">
        <v>29</v>
      </c>
    </row>
    <row r="138" spans="1:39">
      <c r="A138" s="943"/>
      <c r="R138" s="4" t="str">
        <f>Translate!$E$523</f>
        <v>Increment</v>
      </c>
      <c r="S138" s="317">
        <v>0.05</v>
      </c>
      <c r="T138" s="4" t="s">
        <v>29</v>
      </c>
    </row>
    <row r="139" spans="1:39">
      <c r="A139" s="943"/>
    </row>
    <row r="140" spans="1:39">
      <c r="A140" s="943"/>
      <c r="R140" s="42" t="str">
        <f>Translate!$E$524</f>
        <v>Data table to perform sensitivity analysis</v>
      </c>
      <c r="T140" s="901" t="str">
        <f xml:space="preserve"> Translate!E$748</f>
        <v>Range of price multipliers</v>
      </c>
    </row>
    <row r="141" spans="1:39">
      <c r="A141" s="943"/>
      <c r="R141" s="4" t="str">
        <f>Translate!$E$525</f>
        <v>Selected regimes (from above)</v>
      </c>
      <c r="S141" s="245">
        <f ca="1" xml:space="preserve"> T129</f>
        <v>0.4067769312555975</v>
      </c>
      <c r="T141" s="318">
        <f xml:space="preserve"> $S$137</f>
        <v>0.75</v>
      </c>
      <c r="U141" s="318">
        <f t="shared" ref="U141:AM141" si="8" xml:space="preserve"> T141 + $S$138</f>
        <v>0.8</v>
      </c>
      <c r="V141" s="318">
        <f t="shared" si="8"/>
        <v>0.85000000000000009</v>
      </c>
      <c r="W141" s="318">
        <f t="shared" si="8"/>
        <v>0.90000000000000013</v>
      </c>
      <c r="X141" s="318">
        <f t="shared" si="8"/>
        <v>0.95000000000000018</v>
      </c>
      <c r="Y141" s="318">
        <f t="shared" si="8"/>
        <v>1.0000000000000002</v>
      </c>
      <c r="Z141" s="318">
        <f t="shared" si="8"/>
        <v>1.0500000000000003</v>
      </c>
      <c r="AA141" s="318">
        <f t="shared" si="8"/>
        <v>1.1000000000000003</v>
      </c>
      <c r="AB141" s="318">
        <f t="shared" si="8"/>
        <v>1.1500000000000004</v>
      </c>
      <c r="AC141" s="318">
        <f t="shared" si="8"/>
        <v>1.2000000000000004</v>
      </c>
      <c r="AD141" s="318">
        <f t="shared" si="8"/>
        <v>1.2500000000000004</v>
      </c>
      <c r="AE141" s="318">
        <f t="shared" si="8"/>
        <v>1.3000000000000005</v>
      </c>
      <c r="AF141" s="318">
        <f t="shared" si="8"/>
        <v>1.3500000000000005</v>
      </c>
      <c r="AG141" s="318">
        <f t="shared" si="8"/>
        <v>1.4000000000000006</v>
      </c>
      <c r="AH141" s="318">
        <f t="shared" si="8"/>
        <v>1.4500000000000006</v>
      </c>
      <c r="AI141" s="318">
        <f t="shared" si="8"/>
        <v>1.5000000000000007</v>
      </c>
      <c r="AJ141" s="318">
        <f t="shared" si="8"/>
        <v>1.5500000000000007</v>
      </c>
      <c r="AK141" s="318">
        <f t="shared" si="8"/>
        <v>1.6000000000000008</v>
      </c>
      <c r="AL141" s="318">
        <f t="shared" si="8"/>
        <v>1.6500000000000008</v>
      </c>
      <c r="AM141" s="318">
        <f t="shared" si="8"/>
        <v>1.7000000000000008</v>
      </c>
    </row>
    <row r="142" spans="1:39">
      <c r="A142" s="943"/>
      <c r="R142" s="52"/>
      <c r="S142" s="639" t="str">
        <f t="array" ref="S142:S146" xml:space="preserve"> TRANSPOSE(U68:Y68)</f>
        <v>Royalty + CIT</v>
      </c>
      <c r="T142" s="321">
        <f t="dataTable" ref="T142:AM146" dt2D="1" dtr="1" r1="C19" r2="C6" ca="1"/>
        <v>0.43248621988710206</v>
      </c>
      <c r="U142" s="321">
        <v>0.42367445989582248</v>
      </c>
      <c r="V142" s="321">
        <v>0.41745407710862309</v>
      </c>
      <c r="W142" s="321">
        <v>0.41295566686601654</v>
      </c>
      <c r="X142" s="321">
        <v>0.40947281686851722</v>
      </c>
      <c r="Y142" s="321">
        <v>0.40677693125559761</v>
      </c>
      <c r="Z142" s="321">
        <v>0.4046070948280468</v>
      </c>
      <c r="AA142" s="321">
        <v>0.40285559795275722</v>
      </c>
      <c r="AB142" s="321">
        <v>0.40137301052607927</v>
      </c>
      <c r="AC142" s="321">
        <v>0.40010181864503025</v>
      </c>
      <c r="AD142" s="321">
        <v>0.39902982684832694</v>
      </c>
      <c r="AE142" s="321">
        <v>0.39809761770322261</v>
      </c>
      <c r="AF142" s="321">
        <v>0.40157958483816064</v>
      </c>
      <c r="AG142" s="321">
        <v>0.40056268986729027</v>
      </c>
      <c r="AH142" s="321">
        <v>0.39965156661171525</v>
      </c>
      <c r="AI142" s="321">
        <v>0.39883143436035884</v>
      </c>
      <c r="AJ142" s="321">
        <v>0.39808931088370358</v>
      </c>
      <c r="AK142" s="321">
        <v>0.39741457149996473</v>
      </c>
      <c r="AL142" s="321">
        <v>0.39679843715824159</v>
      </c>
      <c r="AM142" s="321">
        <v>0.3962335903588371</v>
      </c>
    </row>
    <row r="143" spans="1:39">
      <c r="A143" s="943"/>
      <c r="R143" s="52"/>
      <c r="S143" s="639" t="str">
        <v>High royalty / low CIT</v>
      </c>
      <c r="T143" s="321">
        <v>0.4606932978335781</v>
      </c>
      <c r="U143" s="321">
        <v>0.44063181078691982</v>
      </c>
      <c r="V143" s="321">
        <v>0.42656210436822284</v>
      </c>
      <c r="W143" s="321">
        <v>0.41601948256665128</v>
      </c>
      <c r="X143" s="321">
        <v>0.40791236129301378</v>
      </c>
      <c r="Y143" s="321">
        <v>0.40142235197555404</v>
      </c>
      <c r="Z143" s="321">
        <v>0.39617288393206557</v>
      </c>
      <c r="AA143" s="321">
        <v>0.39181392145644744</v>
      </c>
      <c r="AB143" s="321">
        <v>0.38815825941372778</v>
      </c>
      <c r="AC143" s="321">
        <v>0.38502384195884831</v>
      </c>
      <c r="AD143" s="321">
        <v>0.38230660517675663</v>
      </c>
      <c r="AE143" s="321">
        <v>0.37994658699586964</v>
      </c>
      <c r="AF143" s="321">
        <v>0.37786870763574659</v>
      </c>
      <c r="AG143" s="321">
        <v>0.37602136222829996</v>
      </c>
      <c r="AH143" s="321">
        <v>0.37731076114768275</v>
      </c>
      <c r="AI143" s="321">
        <v>0.37563450690989481</v>
      </c>
      <c r="AJ143" s="321">
        <v>0.3741176934683455</v>
      </c>
      <c r="AK143" s="321">
        <v>0.37273860521821994</v>
      </c>
      <c r="AL143" s="321">
        <v>0.37147929880800135</v>
      </c>
      <c r="AM143" s="321">
        <v>0.37032481812560308</v>
      </c>
    </row>
    <row r="144" spans="1:39">
      <c r="A144" s="943"/>
      <c r="R144" s="52"/>
      <c r="S144" s="639" t="str">
        <v>RRT</v>
      </c>
      <c r="T144" s="321">
        <v>0.37623963271170374</v>
      </c>
      <c r="U144" s="321">
        <v>0.39606905814068294</v>
      </c>
      <c r="V144" s="321">
        <v>0.4076886319420488</v>
      </c>
      <c r="W144" s="321">
        <v>0.41509139840233017</v>
      </c>
      <c r="X144" s="321">
        <v>0.42008916387085521</v>
      </c>
      <c r="Y144" s="321">
        <v>0.42350395457162521</v>
      </c>
      <c r="Z144" s="321">
        <v>0.4260383450269542</v>
      </c>
      <c r="AA144" s="321">
        <v>0.42814229283030014</v>
      </c>
      <c r="AB144" s="321">
        <v>0.42948482971923629</v>
      </c>
      <c r="AC144" s="321">
        <v>0.43060396313346394</v>
      </c>
      <c r="AD144" s="321">
        <v>0.4315676505464478</v>
      </c>
      <c r="AE144" s="321">
        <v>0.43241107746696289</v>
      </c>
      <c r="AF144" s="321">
        <v>0.43532253405723087</v>
      </c>
      <c r="AG144" s="321">
        <v>0.43568008009580622</v>
      </c>
      <c r="AH144" s="321">
        <v>0.43591345969565048</v>
      </c>
      <c r="AI144" s="321">
        <v>0.43612353241135587</v>
      </c>
      <c r="AJ144" s="321">
        <v>0.4363136235751553</v>
      </c>
      <c r="AK144" s="321">
        <v>0.43648645464538932</v>
      </c>
      <c r="AL144" s="321">
        <v>0.4366442743314109</v>
      </c>
      <c r="AM144" s="321">
        <v>0.43678895697364584</v>
      </c>
    </row>
    <row r="145" spans="1:59">
      <c r="A145" s="943"/>
      <c r="R145" s="52"/>
      <c r="S145" s="639" t="str">
        <v>Royalty + CIT + SP</v>
      </c>
      <c r="T145" s="321">
        <v>0.4343189273252524</v>
      </c>
      <c r="U145" s="321">
        <v>0.42549724990077836</v>
      </c>
      <c r="V145" s="321">
        <v>0.41924597680706643</v>
      </c>
      <c r="W145" s="321">
        <v>0.4146629291500748</v>
      </c>
      <c r="X145" s="321">
        <v>0.41110745638500173</v>
      </c>
      <c r="Y145" s="321">
        <v>0.40830860502398281</v>
      </c>
      <c r="Z145" s="321">
        <v>0.40603804918919389</v>
      </c>
      <c r="AA145" s="321">
        <v>0.40418445249631929</v>
      </c>
      <c r="AB145" s="321">
        <v>0.40261544076140915</v>
      </c>
      <c r="AC145" s="321">
        <v>0.40127014742976563</v>
      </c>
      <c r="AD145" s="321">
        <v>0.40012319947856023</v>
      </c>
      <c r="AE145" s="321">
        <v>0.39912324288087164</v>
      </c>
      <c r="AF145" s="321">
        <v>0.40271901810291028</v>
      </c>
      <c r="AG145" s="321">
        <v>0.40159509022990975</v>
      </c>
      <c r="AH145" s="321">
        <v>0.40058930474019577</v>
      </c>
      <c r="AI145" s="321">
        <v>0.39968396387328958</v>
      </c>
      <c r="AJ145" s="321">
        <v>0.39886473659549943</v>
      </c>
      <c r="AK145" s="321">
        <v>0.39811989436109202</v>
      </c>
      <c r="AL145" s="321">
        <v>0.39743974600923321</v>
      </c>
      <c r="AM145" s="321">
        <v>0.3968162137798929</v>
      </c>
    </row>
    <row r="146" spans="1:59">
      <c r="A146" s="943"/>
      <c r="R146" s="52"/>
      <c r="S146" s="639" t="str">
        <v>Royalty + CIT, no debt</v>
      </c>
      <c r="T146" s="321">
        <v>0.46800527451353685</v>
      </c>
      <c r="U146" s="321">
        <v>0.45368387924944942</v>
      </c>
      <c r="V146" s="321">
        <v>0.44348146306715747</v>
      </c>
      <c r="W146" s="321">
        <v>0.43589197133845636</v>
      </c>
      <c r="X146" s="321">
        <v>0.43005613367820261</v>
      </c>
      <c r="Y146" s="321">
        <v>0.42542351087162761</v>
      </c>
      <c r="Z146" s="321">
        <v>0.4216016899452944</v>
      </c>
      <c r="AA146" s="321">
        <v>0.41844671913188997</v>
      </c>
      <c r="AB146" s="321">
        <v>0.41578925051880844</v>
      </c>
      <c r="AC146" s="321">
        <v>0.41350493078805151</v>
      </c>
      <c r="AD146" s="321">
        <v>0.41151227535984042</v>
      </c>
      <c r="AE146" s="321">
        <v>0.40976828741435123</v>
      </c>
      <c r="AF146" s="321">
        <v>0.40823536422825052</v>
      </c>
      <c r="AG146" s="321">
        <v>0.40690844618390176</v>
      </c>
      <c r="AH146" s="321">
        <v>0.40572100796201427</v>
      </c>
      <c r="AI146" s="321">
        <v>0.40465215544803829</v>
      </c>
      <c r="AJ146" s="321">
        <v>0.40368255585354829</v>
      </c>
      <c r="AK146" s="321">
        <v>0.40279696876528437</v>
      </c>
      <c r="AL146" s="321">
        <v>0.40198830006916847</v>
      </c>
      <c r="AM146" s="321">
        <v>0.40124694563743524</v>
      </c>
    </row>
    <row r="147" spans="1:59">
      <c r="A147" s="943"/>
    </row>
    <row r="148" spans="1:59">
      <c r="A148" s="943"/>
    </row>
    <row r="149" spans="1:59">
      <c r="A149" s="943"/>
      <c r="R149" s="42" t="str">
        <f>Translate!$E$526</f>
        <v>Data table to generate pre-tax IRR</v>
      </c>
      <c r="T149" s="527">
        <f t="shared" ref="T149:AM149" si="9" xml:space="preserve"> T141</f>
        <v>0.75</v>
      </c>
      <c r="U149" s="527">
        <f t="shared" si="9"/>
        <v>0.8</v>
      </c>
      <c r="V149" s="527">
        <f t="shared" si="9"/>
        <v>0.85000000000000009</v>
      </c>
      <c r="W149" s="527">
        <f t="shared" si="9"/>
        <v>0.90000000000000013</v>
      </c>
      <c r="X149" s="527">
        <f t="shared" si="9"/>
        <v>0.95000000000000018</v>
      </c>
      <c r="Y149" s="527">
        <f t="shared" si="9"/>
        <v>1.0000000000000002</v>
      </c>
      <c r="Z149" s="527">
        <f t="shared" si="9"/>
        <v>1.0500000000000003</v>
      </c>
      <c r="AA149" s="527">
        <f t="shared" si="9"/>
        <v>1.1000000000000003</v>
      </c>
      <c r="AB149" s="527">
        <f t="shared" si="9"/>
        <v>1.1500000000000004</v>
      </c>
      <c r="AC149" s="527">
        <f t="shared" si="9"/>
        <v>1.2000000000000004</v>
      </c>
      <c r="AD149" s="527">
        <f t="shared" si="9"/>
        <v>1.2500000000000004</v>
      </c>
      <c r="AE149" s="527">
        <f t="shared" si="9"/>
        <v>1.3000000000000005</v>
      </c>
      <c r="AF149" s="527">
        <f t="shared" si="9"/>
        <v>1.3500000000000005</v>
      </c>
      <c r="AG149" s="527">
        <f t="shared" si="9"/>
        <v>1.4000000000000006</v>
      </c>
      <c r="AH149" s="527">
        <f t="shared" si="9"/>
        <v>1.4500000000000006</v>
      </c>
      <c r="AI149" s="527">
        <f t="shared" si="9"/>
        <v>1.5000000000000007</v>
      </c>
      <c r="AJ149" s="527">
        <f t="shared" si="9"/>
        <v>1.5500000000000007</v>
      </c>
      <c r="AK149" s="527">
        <f t="shared" si="9"/>
        <v>1.6000000000000008</v>
      </c>
      <c r="AL149" s="527">
        <f t="shared" si="9"/>
        <v>1.6500000000000008</v>
      </c>
      <c r="AM149" s="527">
        <f t="shared" si="9"/>
        <v>1.7000000000000008</v>
      </c>
    </row>
    <row r="150" spans="1:59">
      <c r="A150" s="943"/>
      <c r="B150" s="42"/>
      <c r="R150" s="34" t="str">
        <f ca="1" xml:space="preserve"> ProjectCashflows!E$78</f>
        <v>Gold (into model) (into model)</v>
      </c>
      <c r="S150" s="246">
        <f ca="1" xml:space="preserve"> ProjectCashflows!F$78</f>
        <v>1500</v>
      </c>
      <c r="T150" s="320">
        <f t="dataTable" ref="T150:AM151" dt2D="0" dtr="1" r1="C19" ca="1"/>
        <v>1125</v>
      </c>
      <c r="U150" s="320">
        <v>1200</v>
      </c>
      <c r="V150" s="320">
        <v>1275.0000000000002</v>
      </c>
      <c r="W150" s="320">
        <v>1350.0000000000002</v>
      </c>
      <c r="X150" s="320">
        <v>1425.0000000000002</v>
      </c>
      <c r="Y150" s="320">
        <v>1500.0000000000002</v>
      </c>
      <c r="Z150" s="320">
        <v>1575.0000000000005</v>
      </c>
      <c r="AA150" s="320">
        <v>1650.0000000000005</v>
      </c>
      <c r="AB150" s="320">
        <v>1725.0000000000005</v>
      </c>
      <c r="AC150" s="320">
        <v>1800.0000000000007</v>
      </c>
      <c r="AD150" s="320">
        <v>1875.0000000000007</v>
      </c>
      <c r="AE150" s="320">
        <v>1950.0000000000007</v>
      </c>
      <c r="AF150" s="320">
        <v>2025.0000000000009</v>
      </c>
      <c r="AG150" s="320">
        <v>2100.0000000000009</v>
      </c>
      <c r="AH150" s="320">
        <v>2175.0000000000009</v>
      </c>
      <c r="AI150" s="320">
        <v>2250.0000000000009</v>
      </c>
      <c r="AJ150" s="320">
        <v>2325.0000000000009</v>
      </c>
      <c r="AK150" s="320">
        <v>2400.0000000000009</v>
      </c>
      <c r="AL150" s="320">
        <v>2475.0000000000014</v>
      </c>
      <c r="AM150" s="320">
        <v>2550.0000000000014</v>
      </c>
    </row>
    <row r="151" spans="1:59">
      <c r="A151" s="943"/>
      <c r="R151" s="4" t="str">
        <f xml:space="preserve"> R81 &amp; " " &amp; S81</f>
        <v>IRR: Project % real</v>
      </c>
      <c r="S151" s="245">
        <f ca="1" xml:space="preserve"> T81</f>
        <v>0.32357722056597038</v>
      </c>
      <c r="T151" s="321">
        <v>0.18866750940001431</v>
      </c>
      <c r="U151" s="321">
        <v>0.21737525960018766</v>
      </c>
      <c r="V151" s="321">
        <v>0.24504110399264944</v>
      </c>
      <c r="W151" s="321">
        <v>0.27186988463332429</v>
      </c>
      <c r="X151" s="321">
        <v>0.29801118927976789</v>
      </c>
      <c r="Y151" s="321">
        <v>0.32357722056597038</v>
      </c>
      <c r="Z151" s="321">
        <v>0.34865401307900878</v>
      </c>
      <c r="AA151" s="321">
        <v>0.37330877364827963</v>
      </c>
      <c r="AB151" s="321">
        <v>0.39759485096804936</v>
      </c>
      <c r="AC151" s="321">
        <v>0.42155519651901585</v>
      </c>
      <c r="AD151" s="321">
        <v>0.44522483256688439</v>
      </c>
      <c r="AE151" s="321">
        <v>0.46863264798217719</v>
      </c>
      <c r="AF151" s="321">
        <v>0.49180272761671207</v>
      </c>
      <c r="AG151" s="321">
        <v>0.514755351279085</v>
      </c>
      <c r="AH151" s="321">
        <v>0.53750775430564457</v>
      </c>
      <c r="AI151" s="321">
        <v>0.56007471337055925</v>
      </c>
      <c r="AJ151" s="321">
        <v>0.58246900238500876</v>
      </c>
      <c r="AK151" s="321">
        <v>0.60470175062542375</v>
      </c>
      <c r="AL151" s="321">
        <v>0.62678272646542266</v>
      </c>
      <c r="AM151" s="321">
        <v>0.64872056401382161</v>
      </c>
    </row>
    <row r="152" spans="1:59">
      <c r="A152" s="943"/>
    </row>
    <row r="153" spans="1:59">
      <c r="A153" s="88" t="str">
        <f>Translate!$E$451</f>
        <v>Breakeven mineral price and marginal effective tax rate</v>
      </c>
      <c r="B153" s="36"/>
      <c r="C153" s="516"/>
      <c r="D153" s="36"/>
      <c r="E153" s="942" t="str">
        <f xml:space="preserve"> Translate!E$584</f>
        <v>Return to</v>
      </c>
      <c r="F153" s="944" t="e">
        <f ca="1">$A$1</f>
        <v>#VALUE!</v>
      </c>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row>
    <row r="154" spans="1:59">
      <c r="A154" s="943"/>
    </row>
    <row r="155" spans="1:59">
      <c r="A155" s="943"/>
      <c r="R155" s="4" t="str">
        <f>Translate!$E$527</f>
        <v>Investor hurdle Rate (real terms)</v>
      </c>
      <c r="S155" s="67">
        <v>0.1</v>
      </c>
    </row>
    <row r="156" spans="1:59">
      <c r="A156" s="943"/>
      <c r="R156" s="34" t="str">
        <f xml:space="preserve"> ProjectCashflows!E$9</f>
        <v>Mineral</v>
      </c>
      <c r="S156" s="34" t="str">
        <f ca="1" xml:space="preserve"> ProjectCashflows!F$9</f>
        <v>Gold</v>
      </c>
      <c r="T156" s="34" t="str">
        <f xml:space="preserve"> ProjectCashflows!G$9</f>
        <v>Label</v>
      </c>
    </row>
    <row r="157" spans="1:59">
      <c r="A157" s="943"/>
      <c r="B157" s="42" t="str">
        <f>Translate!$E$497</f>
        <v>Chart details</v>
      </c>
      <c r="R157" s="34" t="str">
        <f xml:space="preserve"> ProjectCashflows!E$10</f>
        <v>Mineral units</v>
      </c>
      <c r="S157" s="34" t="str">
        <f ca="1" xml:space="preserve"> ProjectCashflows!F$10</f>
        <v>ounce</v>
      </c>
      <c r="T157" s="34" t="str">
        <f xml:space="preserve"> ProjectCashflows!G$10</f>
        <v>Units</v>
      </c>
    </row>
    <row r="158" spans="1:59">
      <c r="A158" s="943"/>
      <c r="B158" s="954" t="str">
        <f xml:space="preserve"> A153</f>
        <v>Breakeven mineral price and marginal effective tax rate</v>
      </c>
      <c r="C158" s="4" t="str">
        <f>Translate!$E$498</f>
        <v>Chart title</v>
      </c>
      <c r="R158" s="304" t="str">
        <f>Translate!$E$521</f>
        <v>Price label</v>
      </c>
      <c r="S158" s="34" t="str">
        <f ca="1" xml:space="preserve"> ProjectCashflows!$G$81</f>
        <v>US$ / ounce const</v>
      </c>
      <c r="T158" s="34"/>
    </row>
    <row r="159" spans="1:59">
      <c r="A159" s="943"/>
      <c r="B159" s="481" t="str">
        <f ca="1" xml:space="preserve"> R163 &amp; " " &amp; S163</f>
        <v>Breakeven price: Gold US$ / ounce const</v>
      </c>
      <c r="C159" s="4" t="str">
        <f>Translate!$E$499 &amp; " 1"</f>
        <v>Vertical axis 1</v>
      </c>
      <c r="R159" s="304"/>
      <c r="S159" s="34"/>
      <c r="T159" s="34"/>
      <c r="U159" s="901" t="str">
        <f xml:space="preserve"> Translate!E$525</f>
        <v>Selected regimes (from above)</v>
      </c>
    </row>
    <row r="160" spans="1:59">
      <c r="A160" s="943"/>
      <c r="B160" s="481" t="str">
        <f xml:space="preserve"> R169</f>
        <v>Marginal Effective Tax Rate (METR)</v>
      </c>
      <c r="C160" s="4" t="str">
        <f>Translate!$E$499 &amp; " 2"</f>
        <v>Vertical axis 2</v>
      </c>
      <c r="R160" s="4" t="str">
        <f>Translate!$E$528</f>
        <v>Regime count</v>
      </c>
      <c r="S160" s="39">
        <f xml:space="preserve"> SUM(U160:Y160)</f>
        <v>5</v>
      </c>
      <c r="U160" s="4">
        <f xml:space="preserve"> ISTEXT(U161) * 1</f>
        <v>1</v>
      </c>
      <c r="V160" s="4">
        <f xml:space="preserve"> ISTEXT(V161) * 1</f>
        <v>1</v>
      </c>
      <c r="W160" s="4">
        <f xml:space="preserve"> ISTEXT(W161) * 1</f>
        <v>1</v>
      </c>
      <c r="X160" s="4">
        <f xml:space="preserve"> ISTEXT(X161) * 1</f>
        <v>1</v>
      </c>
      <c r="Y160" s="4">
        <f xml:space="preserve"> ISTEXT(Y161) * 1</f>
        <v>1</v>
      </c>
    </row>
    <row r="161" spans="1:59">
      <c r="A161" s="943"/>
      <c r="B161" s="955" t="str">
        <f xml:space="preserve"> Translate!E$581</f>
        <v>Fiscal regimes</v>
      </c>
      <c r="C161" s="4" t="str">
        <f>Translate!$E$500</f>
        <v>Horizontal axis</v>
      </c>
      <c r="T161" s="909" t="str">
        <f xml:space="preserve"> Translate!E$515</f>
        <v>Live results</v>
      </c>
      <c r="U161" s="640" t="str">
        <f t="array" ref="U161:Y161" xml:space="preserve"> (U68:Y68)</f>
        <v>Royalty + CIT</v>
      </c>
      <c r="V161" s="640" t="str">
        <v>High royalty / low CIT</v>
      </c>
      <c r="W161" s="640" t="str">
        <v>RRT</v>
      </c>
      <c r="X161" s="640" t="str">
        <v>Royalty + CIT + SP</v>
      </c>
      <c r="Y161" s="640" t="str">
        <v>Royalty + CIT, no debt</v>
      </c>
    </row>
    <row r="162" spans="1:59">
      <c r="A162" s="943"/>
      <c r="B162" s="481" t="str">
        <f xml:space="preserve"> Translate!E504 &amp; ": " &amp; C$7</f>
        <v>Project: Gold(2MMoz)</v>
      </c>
      <c r="C162" s="4" t="str">
        <f>Translate!$E$501</f>
        <v>Text box</v>
      </c>
      <c r="R162" s="4" t="str">
        <f>Translate!$E$124</f>
        <v>Regime name</v>
      </c>
      <c r="T162" s="528" t="str">
        <f xml:space="preserve"> C6</f>
        <v>Royalty + CIT</v>
      </c>
      <c r="U162" s="68" t="s">
        <v>19</v>
      </c>
      <c r="V162" s="68" t="s">
        <v>26</v>
      </c>
      <c r="W162" s="68" t="s">
        <v>31</v>
      </c>
      <c r="X162" s="68"/>
      <c r="Y162" s="68"/>
    </row>
    <row r="163" spans="1:59">
      <c r="A163" s="943"/>
      <c r="B163" s="481" t="str">
        <f xml:space="preserve"> Translate!E$513 &amp; ": " &amp; C$6</f>
        <v>Fiscal regime: Royalty + CIT</v>
      </c>
      <c r="C163" s="4" t="str">
        <f>Translate!$E$501 &amp; " 2"</f>
        <v>Text box 2</v>
      </c>
      <c r="R163" s="4" t="str">
        <f ca="1" xml:space="preserve"> Translate!E$749 &amp; ": " &amp; S156</f>
        <v>Breakeven price: Gold</v>
      </c>
      <c r="S163" s="4" t="str">
        <f ca="1" xml:space="preserve"> S158</f>
        <v>US$ / ounce const</v>
      </c>
      <c r="T163" s="246">
        <f ca="1" xml:space="preserve"> MineralPrice</f>
        <v>1500</v>
      </c>
      <c r="U163" s="69">
        <v>1051.8260048711902</v>
      </c>
      <c r="V163" s="69">
        <v>1093.6912898225098</v>
      </c>
      <c r="W163" s="69">
        <v>1004.410744188513</v>
      </c>
      <c r="X163" s="69"/>
      <c r="Y163" s="69"/>
    </row>
    <row r="164" spans="1:59">
      <c r="A164" s="943"/>
      <c r="R164" s="4" t="str">
        <f xml:space="preserve"> Translate!E$13 &amp; ": " &amp;  Translate!E$504</f>
        <v>IRR: Project</v>
      </c>
      <c r="S164" s="4" t="str">
        <f xml:space="preserve"> S81</f>
        <v>% real</v>
      </c>
      <c r="T164" s="245">
        <f ca="1" xml:space="preserve"> T81</f>
        <v>0.32357722056597038</v>
      </c>
      <c r="U164" s="51">
        <v>0.15618854889561473</v>
      </c>
      <c r="V164" s="51">
        <v>0.17343478546602942</v>
      </c>
      <c r="W164" s="51">
        <v>0.13594361729386306</v>
      </c>
      <c r="X164" s="51"/>
      <c r="Y164" s="51"/>
    </row>
    <row r="165" spans="1:59">
      <c r="A165" s="943"/>
      <c r="B165" s="42" t="str">
        <f>Translate!$E$502</f>
        <v>Named ranges used in macro</v>
      </c>
      <c r="R165" s="4" t="str">
        <f xml:space="preserve"> Translate!E$13  &amp; ": " &amp;  Translate!E$506</f>
        <v>IRR: Mining company + lender</v>
      </c>
      <c r="S165" s="4" t="str">
        <f xml:space="preserve"> S82</f>
        <v>% real</v>
      </c>
      <c r="T165" s="245">
        <f ca="1" xml:space="preserve"> T82</f>
        <v>0.24324745050459429</v>
      </c>
      <c r="U165" s="51">
        <v>0.10000054453045815</v>
      </c>
      <c r="V165" s="51">
        <v>9.9999998413236924E-2</v>
      </c>
      <c r="W165" s="51">
        <v>0.10000013481340853</v>
      </c>
      <c r="X165" s="51"/>
      <c r="Y165" s="51"/>
    </row>
    <row r="166" spans="1:59">
      <c r="A166" s="943"/>
      <c r="B166" s="4" t="s">
        <v>32</v>
      </c>
      <c r="R166" s="4" t="str">
        <f>Translate!$E$529</f>
        <v>Difference from hurdle rate (used by macro)</v>
      </c>
      <c r="T166" s="246">
        <f ca="1" xml:space="preserve"> (S155 - T165) * 10^3</f>
        <v>-143.24745050459427</v>
      </c>
      <c r="U166" s="70">
        <v>-5.4453045814084611E-4</v>
      </c>
      <c r="V166" s="70">
        <v>1.5867630820398659E-6</v>
      </c>
      <c r="W166" s="70">
        <v>-1.3481340851995149E-4</v>
      </c>
      <c r="X166" s="70"/>
      <c r="Y166" s="70"/>
    </row>
    <row r="167" spans="1:59">
      <c r="A167" s="943"/>
      <c r="B167" s="4" t="s">
        <v>33</v>
      </c>
      <c r="R167" s="4" t="str">
        <f>R89</f>
        <v>AETR: full-cycle, undiscounted</v>
      </c>
      <c r="S167" s="4" t="str">
        <f xml:space="preserve"> S89</f>
        <v>%</v>
      </c>
      <c r="T167" s="245">
        <f ca="1" xml:space="preserve"> T89</f>
        <v>0.4067769312555975</v>
      </c>
      <c r="U167" s="51">
        <v>0.52908001131271498</v>
      </c>
      <c r="V167" s="51">
        <v>0.56945025868201038</v>
      </c>
      <c r="W167" s="51">
        <v>0.41161638192653061</v>
      </c>
      <c r="X167" s="51"/>
      <c r="Y167" s="51"/>
    </row>
    <row r="168" spans="1:59">
      <c r="A168" s="943"/>
      <c r="B168" s="4" t="s">
        <v>6</v>
      </c>
      <c r="R168" s="4" t="str">
        <f>R90</f>
        <v>AETR: full-cycle, NPV8</v>
      </c>
      <c r="S168" s="4" t="str">
        <f xml:space="preserve"> S90</f>
        <v>% NPV8</v>
      </c>
      <c r="T168" s="245">
        <f ca="1" xml:space="preserve"> T90</f>
        <v>0.46979066646539541</v>
      </c>
      <c r="U168" s="51">
        <v>0.84646900681286197</v>
      </c>
      <c r="V168" s="51">
        <v>0.8698921155617001</v>
      </c>
      <c r="W168" s="51">
        <v>0.76338764493919442</v>
      </c>
      <c r="X168" s="51"/>
      <c r="Y168" s="51"/>
    </row>
    <row r="169" spans="1:59">
      <c r="A169" s="943"/>
      <c r="B169" s="4" t="s">
        <v>10</v>
      </c>
      <c r="R169" s="4" t="str">
        <f>Translate!$E$530</f>
        <v>Marginal Effective Tax Rate (METR)</v>
      </c>
      <c r="S169" s="4" t="str">
        <f xml:space="preserve"> "% " &amp; Inputs!F$85</f>
        <v>% real</v>
      </c>
      <c r="T169" s="245">
        <f ca="1" xml:space="preserve"> (T164 - T165) / T164</f>
        <v>0.24825533120307705</v>
      </c>
      <c r="U169" s="51">
        <v>0.35974471087959614</v>
      </c>
      <c r="V169" s="51">
        <v>0.42341440821960208</v>
      </c>
      <c r="W169" s="51">
        <v>0.26439992693998399</v>
      </c>
      <c r="X169" s="51"/>
      <c r="Y169" s="51"/>
    </row>
    <row r="170" spans="1:59">
      <c r="A170" s="943"/>
      <c r="B170" s="4" t="s">
        <v>2</v>
      </c>
    </row>
    <row r="171" spans="1:59">
      <c r="A171" s="943"/>
      <c r="B171" s="4" t="s">
        <v>4</v>
      </c>
    </row>
    <row r="172" spans="1:59">
      <c r="A172" s="943"/>
      <c r="B172" s="4" t="s">
        <v>8</v>
      </c>
    </row>
    <row r="173" spans="1:59">
      <c r="A173" s="943"/>
    </row>
    <row r="174" spans="1:59">
      <c r="A174" s="943"/>
    </row>
    <row r="175" spans="1:59">
      <c r="A175" s="943"/>
    </row>
    <row r="176" spans="1:59">
      <c r="A176" s="88" t="str">
        <f>Translate!$E$452 &amp; ": " &amp; Inputs!F83 &amp; ", " &amp; Inputs!F$85</f>
        <v>Net present value table: full-cycle, real</v>
      </c>
      <c r="B176" s="36"/>
      <c r="C176" s="36"/>
      <c r="D176" s="517"/>
      <c r="E176" s="942" t="str">
        <f xml:space="preserve"> Translate!E$584</f>
        <v>Return to</v>
      </c>
      <c r="F176" s="944" t="e">
        <f ca="1">$A$1</f>
        <v>#VALUE!</v>
      </c>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row>
    <row r="177" spans="1:24">
      <c r="A177" s="35"/>
    </row>
    <row r="178" spans="1:24">
      <c r="A178" s="35"/>
      <c r="B178" s="42" t="str">
        <f>Translate!$E$497</f>
        <v>Chart details</v>
      </c>
      <c r="T178" s="909" t="str">
        <f xml:space="preserve"> Translate!E$515</f>
        <v>Live results</v>
      </c>
      <c r="U178" s="901" t="str">
        <f xml:space="preserve"> Translate!E$750</f>
        <v>Choose alternative discount rates</v>
      </c>
    </row>
    <row r="179" spans="1:24">
      <c r="A179" s="35"/>
      <c r="B179" s="954" t="str">
        <f>A176</f>
        <v>Net present value table: full-cycle, real</v>
      </c>
      <c r="C179" s="4" t="str">
        <f>Translate!$E$498</f>
        <v>Chart title</v>
      </c>
      <c r="T179" s="485">
        <f xml:space="preserve"> C25</f>
        <v>0.08</v>
      </c>
      <c r="U179" s="486">
        <v>0</v>
      </c>
      <c r="V179" s="486">
        <v>0.05</v>
      </c>
      <c r="W179" s="486">
        <v>7.0000000000000007E-2</v>
      </c>
      <c r="X179" s="486">
        <v>0.1</v>
      </c>
    </row>
    <row r="180" spans="1:24">
      <c r="A180" s="35"/>
      <c r="B180" s="955" t="str">
        <f xml:space="preserve"> Inputs!F$53</f>
        <v>US$ mn 2021</v>
      </c>
      <c r="C180" s="4" t="str">
        <f>Translate!$E$499 &amp; " 1"</f>
        <v>Vertical axis 1</v>
      </c>
      <c r="R180" s="4" t="str">
        <f xml:space="preserve"> Analysis!E191</f>
        <v>Total: Project cashflow before decommissioning fund</v>
      </c>
      <c r="S180" s="4" t="str">
        <f xml:space="preserve"> Analysis!G191</f>
        <v>US$ mn 2021 NPV8</v>
      </c>
      <c r="T180" s="246">
        <f ca="1" xml:space="preserve"> Analysis!F191</f>
        <v>505.1398131257335</v>
      </c>
      <c r="U180" s="320">
        <f t="dataTable" ref="U180:X188" dt2D="0" dtr="1" r1="C25" ca="1"/>
        <v>1504</v>
      </c>
      <c r="V180" s="320">
        <v>758.59450081565524</v>
      </c>
      <c r="W180" s="320">
        <v>578.60377950700445</v>
      </c>
      <c r="X180" s="320">
        <v>384.13666973302725</v>
      </c>
    </row>
    <row r="181" spans="1:24">
      <c r="A181" s="35"/>
      <c r="B181" s="481" t="str">
        <f xml:space="preserve"> S190</f>
        <v>% real</v>
      </c>
      <c r="C181" s="4" t="str">
        <f>Translate!$E$499 &amp; " 2"</f>
        <v>Vertical axis 2</v>
      </c>
      <c r="R181" s="4" t="str">
        <f xml:space="preserve"> Analysis!E192</f>
        <v>Total: Net decommissioning cashflows</v>
      </c>
      <c r="S181" s="4" t="str">
        <f xml:space="preserve"> Analysis!G192</f>
        <v>US$ mn 2021 NPV8</v>
      </c>
      <c r="T181" s="246">
        <f ca="1" xml:space="preserve"> Analysis!F192</f>
        <v>-1.8924775469705732</v>
      </c>
      <c r="U181" s="320">
        <v>-0.40000000000000924</v>
      </c>
      <c r="V181" s="320">
        <v>-2.0449541391891302</v>
      </c>
      <c r="W181" s="320">
        <v>-1.9779899071580749</v>
      </c>
      <c r="X181" s="320">
        <v>-1.6746583311263956</v>
      </c>
    </row>
    <row r="182" spans="1:24">
      <c r="A182" s="35"/>
      <c r="B182" s="955" t="str">
        <f xml:space="preserve"> Translate!E$583</f>
        <v>Discount rates</v>
      </c>
      <c r="C182" s="4" t="str">
        <f>Translate!$E$500</f>
        <v>Horizontal axis</v>
      </c>
      <c r="R182" s="4" t="str">
        <f xml:space="preserve"> Analysis!E193</f>
        <v>Total: Government revenues excluding participation</v>
      </c>
      <c r="S182" s="4" t="str">
        <f xml:space="preserve"> Analysis!G193</f>
        <v>US$ mn 2021 NPV8</v>
      </c>
      <c r="T182" s="246">
        <f ca="1" xml:space="preserve"> Analysis!F193</f>
        <v>237.30996946654363</v>
      </c>
      <c r="U182" s="320">
        <v>611.79250460841865</v>
      </c>
      <c r="V182" s="320">
        <v>332.67491715870136</v>
      </c>
      <c r="W182" s="320">
        <v>265.01566033390003</v>
      </c>
      <c r="X182" s="320">
        <v>191.48009059671747</v>
      </c>
    </row>
    <row r="183" spans="1:24">
      <c r="A183" s="35"/>
      <c r="B183" s="481" t="str">
        <f xml:space="preserve"> Translate!E504 &amp; ": " &amp; C$7</f>
        <v>Project: Gold(2MMoz)</v>
      </c>
      <c r="C183" s="4" t="str">
        <f>Translate!$E$501</f>
        <v>Text box</v>
      </c>
      <c r="R183" s="4" t="str">
        <f xml:space="preserve"> Analysis!E194</f>
        <v>Total: State participation cashflows including share of loan</v>
      </c>
      <c r="S183" s="4" t="str">
        <f xml:space="preserve"> Analysis!G194</f>
        <v>US$ mn 2021 NPV8</v>
      </c>
      <c r="T183" s="246">
        <f ca="1" xml:space="preserve"> Analysis!F194</f>
        <v>0</v>
      </c>
      <c r="U183" s="320">
        <v>0</v>
      </c>
      <c r="V183" s="320">
        <v>0</v>
      </c>
      <c r="W183" s="320">
        <v>0</v>
      </c>
      <c r="X183" s="320">
        <v>0</v>
      </c>
    </row>
    <row r="184" spans="1:24">
      <c r="A184" s="35"/>
      <c r="B184" s="481" t="str">
        <f xml:space="preserve"> Translate!E$513 &amp; ": " &amp; C$6</f>
        <v>Fiscal regime: Royalty + CIT</v>
      </c>
      <c r="C184" s="4" t="str">
        <f>Translate!$E$501 &amp; " 2"</f>
        <v>Text box 2</v>
      </c>
      <c r="R184" s="4" t="str">
        <f xml:space="preserve"> Analysis!E195</f>
        <v>Total: Government revenues including participation</v>
      </c>
      <c r="S184" s="4" t="str">
        <f xml:space="preserve"> Analysis!G195</f>
        <v>US$ mn 2021 NPV8</v>
      </c>
      <c r="T184" s="246">
        <f ca="1" xml:space="preserve"> Analysis!F195</f>
        <v>237.30996946654363</v>
      </c>
      <c r="U184" s="320">
        <v>611.79250460841865</v>
      </c>
      <c r="V184" s="320">
        <v>332.67491715870136</v>
      </c>
      <c r="W184" s="320">
        <v>265.01566033390003</v>
      </c>
      <c r="X184" s="320">
        <v>191.48009059671747</v>
      </c>
    </row>
    <row r="185" spans="1:24">
      <c r="A185" s="35"/>
      <c r="R185" s="4" t="str">
        <f xml:space="preserve"> Analysis!E196</f>
        <v>Total: Net cashflow after fiscal regime: Parent company (excluding loan)</v>
      </c>
      <c r="S185" s="4" t="str">
        <f xml:space="preserve"> Analysis!G196</f>
        <v>US$ mn 2021 NPV8</v>
      </c>
      <c r="T185" s="246">
        <f ca="1" xml:space="preserve"> Analysis!F196</f>
        <v>282.69387763624388</v>
      </c>
      <c r="U185" s="320">
        <v>831.01304756082709</v>
      </c>
      <c r="V185" s="320">
        <v>420.06357957657974</v>
      </c>
      <c r="W185" s="320">
        <v>322.3681463599043</v>
      </c>
      <c r="X185" s="320">
        <v>217.60397487178298</v>
      </c>
    </row>
    <row r="186" spans="1:24">
      <c r="A186" s="35"/>
      <c r="R186" s="4" t="str">
        <f xml:space="preserve"> Analysis!E197</f>
        <v>Total: Project loan cashflows net of state participation share, met by parent company</v>
      </c>
      <c r="S186" s="4" t="str">
        <f xml:space="preserve"> Analysis!G197</f>
        <v>US$ mn 2021 NPV8</v>
      </c>
      <c r="T186" s="246">
        <f ca="1" xml:space="preserve"> Analysis!F197</f>
        <v>-16.756511524024599</v>
      </c>
      <c r="U186" s="320">
        <v>60.794447830754194</v>
      </c>
      <c r="V186" s="320">
        <v>3.8110499411849901</v>
      </c>
      <c r="W186" s="320">
        <v>-10.7580170939579</v>
      </c>
      <c r="X186" s="320">
        <v>-26.622054066599588</v>
      </c>
    </row>
    <row r="187" spans="1:24">
      <c r="A187" s="35"/>
      <c r="R187" s="4" t="str">
        <f xml:space="preserve"> Analysis!E198</f>
        <v>Total: Investors (Parent company + lender)</v>
      </c>
      <c r="S187" s="4" t="str">
        <f xml:space="preserve"> Analysis!G198</f>
        <v>US$ mn 2021 NPV8</v>
      </c>
      <c r="T187" s="246">
        <f ca="1" xml:space="preserve"> Analysis!F198</f>
        <v>265.93736611221931</v>
      </c>
      <c r="U187" s="320">
        <v>891.80749539158114</v>
      </c>
      <c r="V187" s="320">
        <v>423.87462951776467</v>
      </c>
      <c r="W187" s="320">
        <v>311.61012926594645</v>
      </c>
      <c r="X187" s="320">
        <v>190.98192080518336</v>
      </c>
    </row>
    <row r="188" spans="1:24">
      <c r="A188" s="35"/>
      <c r="R188" s="4" t="str">
        <f xml:space="preserve"> Analysis!E199</f>
        <v>Total: Project benefits</v>
      </c>
      <c r="S188" s="4" t="str">
        <f xml:space="preserve"> Analysis!G199</f>
        <v>US$ mn 2021 NPV8</v>
      </c>
      <c r="T188" s="246">
        <f ca="1" xml:space="preserve"> Analysis!F199</f>
        <v>824.47985554150762</v>
      </c>
      <c r="U188" s="320">
        <v>1934</v>
      </c>
      <c r="V188" s="320">
        <v>1114.4087203954355</v>
      </c>
      <c r="W188" s="320">
        <v>909.5212759870509</v>
      </c>
      <c r="X188" s="320">
        <v>681.90327782611587</v>
      </c>
    </row>
    <row r="189" spans="1:24">
      <c r="A189" s="35"/>
      <c r="R189" s="483" t="s">
        <v>28</v>
      </c>
      <c r="S189" s="483" t="s">
        <v>28</v>
      </c>
      <c r="T189" s="483" t="s">
        <v>28</v>
      </c>
      <c r="U189" s="41" t="s">
        <v>28</v>
      </c>
      <c r="V189" s="483" t="s">
        <v>28</v>
      </c>
      <c r="W189" s="41" t="s">
        <v>28</v>
      </c>
      <c r="X189" s="483" t="s">
        <v>28</v>
      </c>
    </row>
    <row r="190" spans="1:24">
      <c r="A190" s="35"/>
      <c r="R190" s="45" t="str">
        <f>Translate!$E$436</f>
        <v>Average Effective Tax Rate (incl. participation)</v>
      </c>
      <c r="S190" s="4" t="str">
        <f xml:space="preserve"> "% " &amp; Inputs!F$85</f>
        <v>% real</v>
      </c>
      <c r="T190" s="40">
        <f ca="1" xml:space="preserve"> T184 / T180</f>
        <v>0.46979066646539541</v>
      </c>
      <c r="U190" s="40">
        <f xml:space="preserve"> U184 / U180</f>
        <v>0.4067769312555975</v>
      </c>
      <c r="V190" s="40">
        <f xml:space="preserve"> V184 / V180</f>
        <v>0.43854116632931422</v>
      </c>
      <c r="W190" s="40">
        <f xml:space="preserve"> W184 / W180</f>
        <v>0.45802614797937352</v>
      </c>
      <c r="X190" s="40">
        <f xml:space="preserve"> X184 / X180</f>
        <v>0.49846865890151809</v>
      </c>
    </row>
    <row r="191" spans="1:24">
      <c r="A191" s="35"/>
      <c r="R191" s="45" t="str">
        <f>Translate!$E$435</f>
        <v>Average Effective Tax Rate (excl. participation)</v>
      </c>
      <c r="S191" s="4" t="str">
        <f xml:space="preserve"> "% " &amp; Inputs!F$85</f>
        <v>% real</v>
      </c>
      <c r="T191" s="40">
        <f ca="1" xml:space="preserve"> T182 / T180</f>
        <v>0.46979066646539541</v>
      </c>
      <c r="U191" s="40">
        <f xml:space="preserve"> U182 / U180</f>
        <v>0.4067769312555975</v>
      </c>
      <c r="V191" s="40">
        <f xml:space="preserve"> V182 / V180</f>
        <v>0.43854116632931422</v>
      </c>
      <c r="W191" s="40">
        <f xml:space="preserve"> W182 / W180</f>
        <v>0.45802614797937352</v>
      </c>
      <c r="X191" s="40">
        <f xml:space="preserve"> X182 / X180</f>
        <v>0.49846865890151809</v>
      </c>
    </row>
    <row r="192" spans="1:24">
      <c r="A192" s="35"/>
      <c r="R192" s="45" t="str">
        <f>Translate!$E$510</f>
        <v>Government share of project benefits</v>
      </c>
      <c r="S192" s="4" t="str">
        <f xml:space="preserve"> "% " &amp; Inputs!F$85</f>
        <v>% real</v>
      </c>
      <c r="T192" s="40">
        <f ca="1" xml:space="preserve"> T184 / T188</f>
        <v>0.28782991830732063</v>
      </c>
      <c r="U192" s="40">
        <f xml:space="preserve"> U184 / U188</f>
        <v>0.31633531779132301</v>
      </c>
      <c r="V192" s="40">
        <f xml:space="preserve"> V184 / V188</f>
        <v>0.29852145902147587</v>
      </c>
      <c r="W192" s="40">
        <f xml:space="preserve"> W184 / W188</f>
        <v>0.29137928636830823</v>
      </c>
      <c r="X192" s="40">
        <f xml:space="preserve"> X184 / X188</f>
        <v>0.28080241996658145</v>
      </c>
    </row>
    <row r="193" spans="1:59">
      <c r="A193" s="35"/>
    </row>
    <row r="194" spans="1:59">
      <c r="A194" s="35"/>
      <c r="S194" s="204" t="str">
        <f xml:space="preserve"> Translate!E$444</f>
        <v>Check</v>
      </c>
      <c r="T194" s="61">
        <f ca="1" xml:space="preserve"> IF( ABS(T180 + T181 - SUM(T184:T186)) &gt; CHK_TOL, 1, 0)</f>
        <v>0</v>
      </c>
      <c r="U194" s="61">
        <f xml:space="preserve"> IF( ABS(U180 + U181 - SUM(U184:U186)) &gt; CHK_TOL, 1, 0)</f>
        <v>0</v>
      </c>
      <c r="V194" s="61">
        <f xml:space="preserve"> IF( ABS(V180 + V181 - SUM(V184:V186)) &gt; CHK_TOL, 1, 0)</f>
        <v>0</v>
      </c>
      <c r="W194" s="61">
        <f xml:space="preserve"> IF( ABS(W180 + W181 - SUM(W184:W186)) &gt; CHK_TOL, 1, 0)</f>
        <v>0</v>
      </c>
      <c r="X194" s="61">
        <f xml:space="preserve"> IF( ABS(X180 + X181 - SUM(X184:X186)) &gt; CHK_TOL, 1, 0)</f>
        <v>0</v>
      </c>
    </row>
    <row r="195" spans="1:59">
      <c r="A195" s="35"/>
    </row>
    <row r="196" spans="1:59">
      <c r="A196" s="35"/>
    </row>
    <row r="197" spans="1:59">
      <c r="A197" s="35"/>
      <c r="R197" s="93" t="str">
        <f xml:space="preserve"> Translate!$E$444 &amp; ": " &amp; ": " &amp; A176</f>
        <v>Check: : Net present value table: full-cycle, real</v>
      </c>
      <c r="U197" s="61">
        <f ca="1" xml:space="preserve"> IF( SUM(T194:X194)&lt;CHK_TOL, 0, 1)</f>
        <v>0</v>
      </c>
      <c r="V197" s="4" t="str">
        <f xml:space="preserve"> Translate!E$444</f>
        <v>Check</v>
      </c>
    </row>
    <row r="198" spans="1:59">
      <c r="A198" s="35"/>
    </row>
    <row r="199" spans="1:59">
      <c r="A199" s="35"/>
    </row>
    <row r="200" spans="1:59">
      <c r="A200" s="35"/>
      <c r="B200" s="35"/>
      <c r="C200" s="35"/>
      <c r="D200" s="35"/>
      <c r="E200" s="35"/>
      <c r="F200" s="35"/>
      <c r="G200" s="35"/>
      <c r="H200" s="35"/>
      <c r="I200" s="35"/>
      <c r="J200" s="35"/>
      <c r="K200" s="35"/>
      <c r="L200" s="35"/>
      <c r="M200" s="35"/>
      <c r="N200" s="35"/>
      <c r="O200" s="35"/>
      <c r="P200" s="35"/>
      <c r="Q200" s="35"/>
      <c r="R200" s="35"/>
      <c r="S200" s="35"/>
      <c r="T200" s="35"/>
      <c r="U200" s="35"/>
      <c r="V200" s="35"/>
      <c r="W200" s="35"/>
      <c r="X200" s="35"/>
      <c r="Y200" s="35"/>
      <c r="Z200" s="35"/>
      <c r="AA200" s="35"/>
      <c r="AB200" s="35"/>
      <c r="AC200" s="35"/>
      <c r="AD200" s="35"/>
      <c r="AE200" s="35"/>
      <c r="AF200" s="35"/>
      <c r="AG200" s="35"/>
      <c r="AH200" s="35"/>
      <c r="AI200" s="35"/>
      <c r="AJ200" s="35"/>
      <c r="AK200" s="35"/>
      <c r="AL200" s="35"/>
      <c r="AM200" s="35"/>
      <c r="AN200" s="35"/>
      <c r="AO200" s="35"/>
      <c r="AP200" s="35"/>
      <c r="AQ200" s="35"/>
      <c r="AR200" s="35"/>
      <c r="AS200" s="35"/>
      <c r="AT200" s="35"/>
      <c r="AU200" s="35"/>
      <c r="AV200" s="35"/>
      <c r="AW200" s="35"/>
      <c r="AX200" s="35"/>
      <c r="AY200" s="35"/>
      <c r="AZ200" s="35"/>
      <c r="BA200" s="35"/>
      <c r="BB200" s="35"/>
      <c r="BC200" s="35"/>
      <c r="BD200" s="35"/>
      <c r="BE200" s="35"/>
      <c r="BF200" s="35"/>
      <c r="BG200" s="35"/>
    </row>
  </sheetData>
  <mergeCells count="2">
    <mergeCell ref="G3:H3"/>
    <mergeCell ref="B31:B32"/>
  </mergeCells>
  <conditionalFormatting sqref="K54:K55">
    <cfRule type="cellIs" dxfId="301" priority="45" stopIfTrue="1" operator="notEqual">
      <formula>0</formula>
    </cfRule>
    <cfRule type="cellIs" dxfId="300" priority="46" stopIfTrue="1" operator="equal">
      <formula>""</formula>
    </cfRule>
  </conditionalFormatting>
  <conditionalFormatting sqref="C1">
    <cfRule type="cellIs" dxfId="299" priority="35" stopIfTrue="1" operator="notEqual">
      <formula>0</formula>
    </cfRule>
    <cfRule type="cellIs" dxfId="298" priority="36" stopIfTrue="1" operator="equal">
      <formula>""</formula>
    </cfRule>
  </conditionalFormatting>
  <conditionalFormatting sqref="C1">
    <cfRule type="cellIs" dxfId="297" priority="33" stopIfTrue="1" operator="notEqual">
      <formula>0</formula>
    </cfRule>
    <cfRule type="cellIs" dxfId="296" priority="34" stopIfTrue="1" operator="equal">
      <formula>""</formula>
    </cfRule>
  </conditionalFormatting>
  <conditionalFormatting sqref="K57:K58">
    <cfRule type="cellIs" dxfId="295" priority="29" stopIfTrue="1" operator="notEqual">
      <formula>0</formula>
    </cfRule>
    <cfRule type="cellIs" dxfId="294" priority="30" stopIfTrue="1" operator="equal">
      <formula>""</formula>
    </cfRule>
  </conditionalFormatting>
  <conditionalFormatting sqref="K60">
    <cfRule type="cellIs" dxfId="293" priority="21" stopIfTrue="1" operator="notEqual">
      <formula>0</formula>
    </cfRule>
    <cfRule type="cellIs" dxfId="292" priority="22" stopIfTrue="1" operator="equal">
      <formula>""</formula>
    </cfRule>
  </conditionalFormatting>
  <conditionalFormatting sqref="K60">
    <cfRule type="cellIs" dxfId="291" priority="19" stopIfTrue="1" operator="notEqual">
      <formula>0</formula>
    </cfRule>
    <cfRule type="cellIs" dxfId="290" priority="20" stopIfTrue="1" operator="equal">
      <formula>""</formula>
    </cfRule>
  </conditionalFormatting>
  <conditionalFormatting sqref="K56">
    <cfRule type="cellIs" dxfId="289" priority="17" stopIfTrue="1" operator="notEqual">
      <formula>0</formula>
    </cfRule>
    <cfRule type="cellIs" dxfId="288" priority="18" stopIfTrue="1" operator="equal">
      <formula>""</formula>
    </cfRule>
  </conditionalFormatting>
  <conditionalFormatting sqref="T194:X194">
    <cfRule type="cellIs" dxfId="287" priority="15" stopIfTrue="1" operator="notEqual">
      <formula>0</formula>
    </cfRule>
    <cfRule type="cellIs" dxfId="286" priority="16" stopIfTrue="1" operator="equal">
      <formula>""</formula>
    </cfRule>
  </conditionalFormatting>
  <conditionalFormatting sqref="U197">
    <cfRule type="cellIs" dxfId="285" priority="13" stopIfTrue="1" operator="notEqual">
      <formula>0</formula>
    </cfRule>
    <cfRule type="cellIs" dxfId="284" priority="14" stopIfTrue="1" operator="equal">
      <formula>""</formula>
    </cfRule>
  </conditionalFormatting>
  <conditionalFormatting sqref="J1">
    <cfRule type="cellIs" dxfId="283" priority="11" stopIfTrue="1" operator="notEqual">
      <formula>0</formula>
    </cfRule>
    <cfRule type="cellIs" dxfId="282" priority="12" stopIfTrue="1" operator="equal">
      <formula>""</formula>
    </cfRule>
  </conditionalFormatting>
  <conditionalFormatting sqref="I15:L16">
    <cfRule type="cellIs" dxfId="281" priority="9" stopIfTrue="1" operator="notEqual">
      <formula>0</formula>
    </cfRule>
    <cfRule type="cellIs" dxfId="280" priority="10" stopIfTrue="1" operator="equal">
      <formula>""</formula>
    </cfRule>
  </conditionalFormatting>
  <conditionalFormatting sqref="C30">
    <cfRule type="cellIs" dxfId="279" priority="8" operator="greaterThan">
      <formula>0</formula>
    </cfRule>
  </conditionalFormatting>
  <conditionalFormatting sqref="C32">
    <cfRule type="cellIs" dxfId="278" priority="7" operator="greaterThan">
      <formula>0</formula>
    </cfRule>
  </conditionalFormatting>
  <conditionalFormatting sqref="S130">
    <cfRule type="expression" dxfId="277" priority="1">
      <formula>($S$130=1)</formula>
    </cfRule>
    <cfRule type="expression" dxfId="276" priority="2">
      <formula>($S$130=0)</formula>
    </cfRule>
  </conditionalFormatting>
  <dataValidations disablePrompts="1" count="1">
    <dataValidation type="list" allowBlank="1" showInputMessage="1" showErrorMessage="1" sqref="R129" xr:uid="{00000000-0002-0000-0800-000000000000}">
      <formula1>$R$124:$R$127</formula1>
    </dataValidation>
  </dataValidations>
  <hyperlinks>
    <hyperlink ref="B53" location="Dashboard!A65" display="Dashboard!A65" xr:uid="{C2E97390-0492-49D7-B456-532F10A8F176}"/>
    <hyperlink ref="B54" location="Dashboard!A95" display="Dashboard!A95" xr:uid="{D146F978-4647-4CB4-9678-5CAA4235D05A}"/>
    <hyperlink ref="B55" location="Dashboard!A121" display="Dashboard!A121" xr:uid="{9916133F-AF3E-4047-B5BB-A0701EDCA71E}"/>
    <hyperlink ref="B56" location="Dashboard!A153" display="Dashboard!A153" xr:uid="{33E0E1B1-CCB7-4F3B-B580-40FAFA69F37E}"/>
    <hyperlink ref="B57" location="Dashboard!A176" display="Dashboard!A176" xr:uid="{30D559E8-0650-4358-AA35-4F360678E9E3}"/>
    <hyperlink ref="F65" location="Dashboard!A1" display="Dashboard!A1" xr:uid="{9746C93F-A5C9-4143-9ECA-4A336E4C293C}"/>
    <hyperlink ref="F95" location="Dashboard!A1" display="Dashboard!A1" xr:uid="{E31EBAC6-2141-46EA-911D-F69B612B4E6C}"/>
    <hyperlink ref="F121" location="Dashboard!A1" display="Dashboard!A1" xr:uid="{797C7331-70F6-4215-8EBD-5D6FF49D1D22}"/>
    <hyperlink ref="F153" location="Dashboard!A1" display="Dashboard!A1" xr:uid="{F060D1EE-2FC9-4EE1-9E80-14A8D173E39F}"/>
    <hyperlink ref="F176" location="Dashboard!A1" display="Dashboard!A1" xr:uid="{6CB89508-5504-4A74-9678-E3EAF493FC1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36" r:id="rId4" name="Button 16">
              <controlPr defaultSize="0" print="0" autoFill="0" autoPict="0" macro="[0]!BreakevenPrice">
                <anchor moveWithCells="1" sizeWithCells="1">
                  <from>
                    <xdr:col>1</xdr:col>
                    <xdr:colOff>85725</xdr:colOff>
                    <xdr:row>153</xdr:row>
                    <xdr:rowOff>104775</xdr:rowOff>
                  </from>
                  <to>
                    <xdr:col>1</xdr:col>
                    <xdr:colOff>714375</xdr:colOff>
                    <xdr:row>155</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800-000002000000}">
          <x14:formula1>
            <xm:f>Inputs!$F$18:$F$27</xm:f>
          </x14:formula1>
          <xm:sqref>C7</xm:sqref>
        </x14:dataValidation>
        <x14:dataValidation type="list" allowBlank="1" showInputMessage="1" showErrorMessage="1" xr:uid="{00000000-0002-0000-0800-000001000000}">
          <x14:formula1>
            <xm:f>FiscalModel!$K$11:$AX$11</xm:f>
          </x14:formula1>
          <xm:sqref>C6 U68:Y68 AA67:AA68</xm:sqref>
        </x14:dataValidation>
        <x14:dataValidation type="list" allowBlank="1" showInputMessage="1" showErrorMessage="1" xr:uid="{EE7E0EF3-9D53-4463-90BE-DC3522234492}">
          <x14:formula1>
            <xm:f>Inputs!$F$90:$F$92</xm:f>
          </x14:formula1>
          <xm:sqref>C5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FFFFCC"/>
    <pageSetUpPr autoPageBreaks="0"/>
  </sheetPr>
  <dimension ref="A1:AX102"/>
  <sheetViews>
    <sheetView zoomScale="85" zoomScaleNormal="85" workbookViewId="0">
      <pane xSplit="10" ySplit="3" topLeftCell="K4" activePane="bottomRight" state="frozen"/>
      <selection pane="bottomRight" activeCell="A4" sqref="A4"/>
      <selection pane="bottomLeft" activeCell="F9" sqref="F9"/>
      <selection pane="topRight" activeCell="F9" sqref="F9"/>
    </sheetView>
  </sheetViews>
  <sheetFormatPr defaultColWidth="0" defaultRowHeight="15" outlineLevelCol="1"/>
  <cols>
    <col min="1" max="1" width="1.28515625" style="73" customWidth="1"/>
    <col min="2" max="2" width="1.28515625" style="74" customWidth="1"/>
    <col min="3" max="3" width="1.28515625" style="75" customWidth="1"/>
    <col min="4" max="4" width="1.28515625" style="76" customWidth="1"/>
    <col min="5" max="5" width="50.7109375" style="76" customWidth="1"/>
    <col min="6" max="6" width="12.7109375" style="76" customWidth="1"/>
    <col min="7" max="7" width="20.7109375" style="77" customWidth="1"/>
    <col min="8" max="8" width="40.7109375" style="77" hidden="1" customWidth="1" outlineLevel="1"/>
    <col min="9" max="9" width="12.7109375" style="77" customWidth="1" collapsed="1"/>
    <col min="10" max="10" width="3.7109375" style="77" customWidth="1"/>
    <col min="11" max="12" width="10.7109375" style="76" customWidth="1"/>
    <col min="13" max="13" width="10.7109375" style="78" customWidth="1"/>
    <col min="14" max="50" width="10.7109375" style="76" customWidth="1"/>
    <col min="51" max="16384" width="9.140625" style="4" hidden="1"/>
  </cols>
  <sheetData>
    <row r="1" spans="1:50" s="275" customFormat="1">
      <c r="A1" s="299" t="e">
        <f ca="1" xml:space="preserve"> RIGHT( CELL("filename",$A$1), LEN( CELL("filename",$A$1)) - SEARCH("]", CELL("filename",$A$1)))</f>
        <v>#VALUE!</v>
      </c>
      <c r="B1" s="277"/>
      <c r="C1" s="300"/>
      <c r="D1" s="267"/>
      <c r="E1" s="267"/>
      <c r="F1" s="267"/>
      <c r="G1" s="267"/>
      <c r="H1" s="267"/>
      <c r="I1" s="267"/>
      <c r="J1" s="267"/>
      <c r="K1" s="267">
        <f xml:space="preserve"> ProjectCashflows!K$48</f>
        <v>2021</v>
      </c>
      <c r="L1" s="267">
        <f xml:space="preserve"> ProjectCashflows!L$48</f>
        <v>2022</v>
      </c>
      <c r="M1" s="267">
        <f xml:space="preserve"> ProjectCashflows!M$48</f>
        <v>2023</v>
      </c>
      <c r="N1" s="267">
        <f xml:space="preserve"> ProjectCashflows!N$48</f>
        <v>2024</v>
      </c>
      <c r="O1" s="267">
        <f xml:space="preserve"> ProjectCashflows!O$48</f>
        <v>2025</v>
      </c>
      <c r="P1" s="267">
        <f xml:space="preserve"> ProjectCashflows!P$48</f>
        <v>2026</v>
      </c>
      <c r="Q1" s="267">
        <f xml:space="preserve"> ProjectCashflows!Q$48</f>
        <v>2027</v>
      </c>
      <c r="R1" s="267">
        <f xml:space="preserve"> ProjectCashflows!R$48</f>
        <v>2028</v>
      </c>
      <c r="S1" s="267">
        <f xml:space="preserve"> ProjectCashflows!S$48</f>
        <v>2029</v>
      </c>
      <c r="T1" s="267">
        <f xml:space="preserve"> ProjectCashflows!T$48</f>
        <v>2030</v>
      </c>
      <c r="U1" s="267">
        <f xml:space="preserve"> ProjectCashflows!U$48</f>
        <v>2031</v>
      </c>
      <c r="V1" s="267">
        <f xml:space="preserve"> ProjectCashflows!V$48</f>
        <v>2032</v>
      </c>
      <c r="W1" s="267">
        <f xml:space="preserve"> ProjectCashflows!W$48</f>
        <v>2033</v>
      </c>
      <c r="X1" s="267">
        <f xml:space="preserve"> ProjectCashflows!X$48</f>
        <v>2034</v>
      </c>
      <c r="Y1" s="267">
        <f xml:space="preserve"> ProjectCashflows!Y$48</f>
        <v>2035</v>
      </c>
      <c r="Z1" s="267">
        <f xml:space="preserve"> ProjectCashflows!Z$48</f>
        <v>2036</v>
      </c>
      <c r="AA1" s="267">
        <f xml:space="preserve"> ProjectCashflows!AA$48</f>
        <v>2037</v>
      </c>
      <c r="AB1" s="267">
        <f xml:space="preserve"> ProjectCashflows!AB$48</f>
        <v>2038</v>
      </c>
      <c r="AC1" s="267">
        <f xml:space="preserve"> ProjectCashflows!AC$48</f>
        <v>2039</v>
      </c>
      <c r="AD1" s="267">
        <f xml:space="preserve"> ProjectCashflows!AD$48</f>
        <v>2040</v>
      </c>
      <c r="AE1" s="267">
        <f xml:space="preserve"> ProjectCashflows!AE$48</f>
        <v>2041</v>
      </c>
      <c r="AF1" s="267">
        <f xml:space="preserve"> ProjectCashflows!AF$48</f>
        <v>2042</v>
      </c>
      <c r="AG1" s="267">
        <f xml:space="preserve"> ProjectCashflows!AG$48</f>
        <v>2043</v>
      </c>
      <c r="AH1" s="267">
        <f xml:space="preserve"> ProjectCashflows!AH$48</f>
        <v>2044</v>
      </c>
      <c r="AI1" s="267">
        <f xml:space="preserve"> ProjectCashflows!AI$48</f>
        <v>2045</v>
      </c>
      <c r="AJ1" s="267">
        <f xml:space="preserve"> ProjectCashflows!AJ$48</f>
        <v>2046</v>
      </c>
      <c r="AK1" s="267">
        <f xml:space="preserve"> ProjectCashflows!AK$48</f>
        <v>2047</v>
      </c>
      <c r="AL1" s="267">
        <f xml:space="preserve"> ProjectCashflows!AL$48</f>
        <v>2048</v>
      </c>
      <c r="AM1" s="267">
        <f xml:space="preserve"> ProjectCashflows!AM$48</f>
        <v>2049</v>
      </c>
      <c r="AN1" s="267">
        <f xml:space="preserve"> ProjectCashflows!AN$48</f>
        <v>2050</v>
      </c>
      <c r="AO1" s="267">
        <f xml:space="preserve"> ProjectCashflows!AO$48</f>
        <v>2051</v>
      </c>
      <c r="AP1" s="267">
        <f xml:space="preserve"> ProjectCashflows!AP$48</f>
        <v>2052</v>
      </c>
      <c r="AQ1" s="267">
        <f xml:space="preserve"> ProjectCashflows!AQ$48</f>
        <v>2053</v>
      </c>
      <c r="AR1" s="267">
        <f xml:space="preserve"> ProjectCashflows!AR$48</f>
        <v>2054</v>
      </c>
      <c r="AS1" s="267">
        <f xml:space="preserve"> ProjectCashflows!AS$48</f>
        <v>2055</v>
      </c>
      <c r="AT1" s="267">
        <f xml:space="preserve"> ProjectCashflows!AT$48</f>
        <v>2056</v>
      </c>
      <c r="AU1" s="267">
        <f xml:space="preserve"> ProjectCashflows!AU$48</f>
        <v>2057</v>
      </c>
      <c r="AV1" s="267">
        <f xml:space="preserve"> ProjectCashflows!AV$48</f>
        <v>2058</v>
      </c>
      <c r="AW1" s="267">
        <f xml:space="preserve"> ProjectCashflows!AW$48</f>
        <v>2059</v>
      </c>
      <c r="AX1" s="267">
        <f xml:space="preserve"> ProjectCashflows!AX$48</f>
        <v>2060</v>
      </c>
    </row>
    <row r="2" spans="1:50">
      <c r="E2" s="76" t="str">
        <f>Translate!$E$391</f>
        <v>Row description</v>
      </c>
      <c r="F2" s="866" t="str">
        <f xml:space="preserve"> Translate!E$554</f>
        <v>Constant</v>
      </c>
      <c r="G2" s="857" t="str">
        <f xml:space="preserve"> Translate!E$445</f>
        <v>Units</v>
      </c>
      <c r="H2" s="1052" t="str">
        <f>Translate!$E$280</f>
        <v>Comments</v>
      </c>
      <c r="I2" s="857" t="str">
        <f xml:space="preserve"> Translate!E$19</f>
        <v>Total</v>
      </c>
    </row>
    <row r="3" spans="1:50" ht="15" customHeight="1">
      <c r="F3" s="79">
        <f ca="1" xml:space="preserve"> ReadMe!$D$7</f>
        <v>0</v>
      </c>
      <c r="G3" s="77" t="str">
        <f xml:space="preserve"> ReadMe!$E$7</f>
        <v>Checks</v>
      </c>
      <c r="K3" s="512">
        <f ca="1" xml:space="preserve"> Track!$F$1</f>
        <v>0</v>
      </c>
      <c r="L3" s="1041" t="str">
        <f xml:space="preserve"> Track!$G$1</f>
        <v>Track changes</v>
      </c>
    </row>
    <row r="4" spans="1:50" ht="15" customHeight="1">
      <c r="A4" s="76"/>
      <c r="G4" s="76"/>
      <c r="H4" s="76"/>
      <c r="I4" s="76"/>
      <c r="J4" s="76"/>
      <c r="M4" s="76"/>
    </row>
    <row r="5" spans="1:50" ht="15" customHeight="1">
      <c r="A5" s="86" t="str">
        <f>Translate!$E$368</f>
        <v>Model timeline</v>
      </c>
      <c r="B5" s="86"/>
      <c r="C5" s="87"/>
      <c r="D5" s="86"/>
      <c r="E5" s="86"/>
      <c r="F5" s="86"/>
      <c r="G5" s="86"/>
      <c r="H5" s="86"/>
      <c r="I5" s="86"/>
      <c r="J5" s="86"/>
      <c r="M5" s="76"/>
    </row>
    <row r="6" spans="1:50" s="39" customFormat="1" ht="15" customHeight="1">
      <c r="A6" s="72"/>
      <c r="B6" s="72"/>
      <c r="C6" s="71"/>
      <c r="D6" s="72"/>
      <c r="E6" s="72"/>
      <c r="F6" s="72"/>
      <c r="G6" s="72"/>
      <c r="H6" s="72"/>
      <c r="I6" s="72"/>
      <c r="J6" s="72"/>
      <c r="K6" s="72"/>
      <c r="L6" s="72"/>
      <c r="M6" s="72"/>
      <c r="N6" s="72"/>
      <c r="O6" s="72"/>
      <c r="P6" s="72"/>
      <c r="Q6" s="72"/>
      <c r="R6" s="72"/>
      <c r="S6" s="72"/>
      <c r="T6" s="72"/>
      <c r="U6" s="72"/>
      <c r="V6" s="72"/>
      <c r="W6" s="72"/>
      <c r="X6" s="72"/>
      <c r="Y6" s="72"/>
      <c r="Z6" s="72"/>
      <c r="AA6" s="72"/>
      <c r="AB6" s="72"/>
      <c r="AC6" s="72"/>
      <c r="AD6" s="72"/>
      <c r="AE6" s="72"/>
      <c r="AF6" s="72"/>
      <c r="AG6" s="72"/>
      <c r="AH6" s="72"/>
      <c r="AI6" s="72"/>
      <c r="AJ6" s="72"/>
      <c r="AK6" s="72"/>
      <c r="AL6" s="72"/>
      <c r="AM6" s="72"/>
      <c r="AN6" s="72"/>
      <c r="AO6" s="72"/>
      <c r="AP6" s="72"/>
      <c r="AQ6" s="72"/>
      <c r="AR6" s="72"/>
      <c r="AS6" s="72"/>
      <c r="AT6" s="72"/>
      <c r="AU6" s="72"/>
      <c r="AV6" s="72"/>
      <c r="AW6" s="72"/>
      <c r="AX6" s="72"/>
    </row>
    <row r="7" spans="1:50" s="39" customFormat="1" ht="15" customHeight="1">
      <c r="A7" s="72"/>
      <c r="B7" s="72"/>
      <c r="C7" s="71"/>
      <c r="D7" s="72"/>
      <c r="E7" s="72" t="str">
        <f>Translate!$E$533</f>
        <v>Model first calendar year</v>
      </c>
      <c r="F7" s="230">
        <v>2021</v>
      </c>
      <c r="G7" s="307" t="str">
        <f xml:space="preserve"> Translate!E$361</f>
        <v>Calendar year</v>
      </c>
      <c r="H7" s="72"/>
      <c r="I7" s="72"/>
      <c r="J7" s="72"/>
      <c r="K7" s="72"/>
      <c r="L7" s="72"/>
      <c r="M7" s="72"/>
      <c r="N7" s="72"/>
      <c r="O7" s="72"/>
      <c r="P7" s="72"/>
      <c r="Q7" s="72"/>
      <c r="R7" s="72"/>
      <c r="S7" s="72"/>
      <c r="T7" s="72"/>
      <c r="U7" s="72"/>
      <c r="V7" s="72"/>
      <c r="W7" s="72"/>
      <c r="X7" s="72"/>
      <c r="Y7" s="72"/>
      <c r="Z7" s="72"/>
      <c r="AA7" s="72"/>
      <c r="AB7" s="72"/>
      <c r="AC7" s="72"/>
      <c r="AD7" s="72"/>
      <c r="AE7" s="72"/>
      <c r="AF7" s="72"/>
      <c r="AG7" s="72"/>
      <c r="AH7" s="72"/>
      <c r="AI7" s="72"/>
      <c r="AJ7" s="72"/>
      <c r="AK7" s="72"/>
      <c r="AL7" s="72"/>
      <c r="AM7" s="72"/>
      <c r="AN7" s="72"/>
      <c r="AO7" s="72"/>
      <c r="AP7" s="72"/>
      <c r="AQ7" s="72"/>
      <c r="AR7" s="72"/>
      <c r="AS7" s="72"/>
      <c r="AT7" s="72"/>
      <c r="AU7" s="72"/>
      <c r="AV7" s="72"/>
      <c r="AW7" s="72"/>
      <c r="AX7" s="72"/>
    </row>
    <row r="8" spans="1:50" s="121" customFormat="1" ht="15" customHeight="1">
      <c r="A8" s="72"/>
      <c r="B8" s="72"/>
      <c r="C8" s="71"/>
      <c r="D8" s="72"/>
      <c r="E8" s="72"/>
      <c r="F8" s="72"/>
      <c r="G8" s="72"/>
      <c r="H8" s="72"/>
      <c r="I8" s="72"/>
      <c r="J8" s="72"/>
      <c r="K8" s="72"/>
      <c r="L8" s="72"/>
      <c r="M8" s="72"/>
      <c r="N8" s="72"/>
      <c r="O8" s="72"/>
      <c r="P8" s="72"/>
      <c r="Q8" s="72"/>
      <c r="R8" s="72"/>
      <c r="S8" s="72"/>
      <c r="T8" s="72"/>
      <c r="U8" s="72"/>
      <c r="V8" s="72"/>
      <c r="W8" s="72"/>
      <c r="X8" s="72"/>
      <c r="Y8" s="72"/>
      <c r="Z8" s="72"/>
      <c r="AA8" s="72"/>
      <c r="AB8" s="72"/>
      <c r="AC8" s="72"/>
      <c r="AD8" s="72"/>
      <c r="AE8" s="72"/>
      <c r="AF8" s="72"/>
      <c r="AG8" s="72"/>
      <c r="AH8" s="72"/>
      <c r="AI8" s="72"/>
      <c r="AJ8" s="72"/>
      <c r="AK8" s="72"/>
      <c r="AL8" s="72"/>
      <c r="AM8" s="72"/>
      <c r="AN8" s="72"/>
      <c r="AO8" s="72"/>
      <c r="AP8" s="72"/>
      <c r="AQ8" s="72"/>
      <c r="AR8" s="72"/>
      <c r="AS8" s="72"/>
      <c r="AT8" s="72"/>
      <c r="AU8" s="72"/>
      <c r="AV8" s="72"/>
      <c r="AW8" s="72"/>
      <c r="AX8" s="72"/>
    </row>
    <row r="9" spans="1:50" ht="15" customHeight="1">
      <c r="A9" s="86" t="str">
        <f>Translate!$E$570</f>
        <v>Project selection and sensitivities</v>
      </c>
      <c r="B9" s="86"/>
      <c r="C9" s="87"/>
      <c r="D9" s="86"/>
      <c r="E9" s="86"/>
      <c r="F9" s="86"/>
      <c r="G9" s="86"/>
      <c r="H9" s="86"/>
      <c r="I9" s="86"/>
      <c r="J9" s="86"/>
      <c r="M9" s="76"/>
    </row>
    <row r="10" spans="1:50" ht="15" customHeight="1">
      <c r="A10" s="99"/>
      <c r="B10" s="100"/>
      <c r="C10" s="101"/>
      <c r="D10" s="102"/>
      <c r="G10" s="76"/>
      <c r="H10" s="103"/>
      <c r="I10" s="103"/>
      <c r="J10" s="103"/>
      <c r="M10" s="76"/>
    </row>
    <row r="11" spans="1:50" ht="15" customHeight="1">
      <c r="A11" s="99"/>
      <c r="B11" s="100" t="str">
        <f>Translate!$E$576</f>
        <v>Selecting project</v>
      </c>
      <c r="C11" s="101"/>
      <c r="D11" s="102"/>
      <c r="G11" s="76"/>
      <c r="H11" s="103"/>
      <c r="I11" s="103"/>
      <c r="J11" s="103"/>
      <c r="M11" s="76"/>
    </row>
    <row r="12" spans="1:50" ht="15" customHeight="1">
      <c r="A12" s="76"/>
      <c r="E12" s="104" t="str">
        <f xml:space="preserve"> Dashboard!B$7</f>
        <v>Selected project</v>
      </c>
      <c r="F12" s="717" t="str">
        <f xml:space="preserve"> Dashboard!C$7</f>
        <v>Gold(2MMoz)</v>
      </c>
      <c r="G12" s="105" t="str">
        <f xml:space="preserve"> Dashboard!D$7</f>
        <v>Option</v>
      </c>
      <c r="H12" s="76"/>
      <c r="I12" s="76"/>
      <c r="J12" s="76"/>
      <c r="M12" s="76"/>
    </row>
    <row r="13" spans="1:50" ht="15" customHeight="1">
      <c r="A13" s="76"/>
      <c r="G13" s="76"/>
      <c r="H13" s="76"/>
      <c r="I13" s="76"/>
      <c r="J13" s="76"/>
      <c r="M13" s="76"/>
    </row>
    <row r="14" spans="1:50" ht="15" customHeight="1">
      <c r="A14" s="76"/>
      <c r="B14" s="74" t="str">
        <f>Translate!$E$577</f>
        <v>Project data location</v>
      </c>
      <c r="G14" s="76"/>
      <c r="H14" s="76"/>
      <c r="I14" s="76"/>
      <c r="J14" s="76"/>
      <c r="M14" s="76"/>
    </row>
    <row r="15" spans="1:50" ht="15" customHeight="1">
      <c r="A15" s="76"/>
      <c r="E15" s="76" t="str">
        <f>Translate!$E$402</f>
        <v>First row of project data</v>
      </c>
      <c r="F15" s="257">
        <v>12</v>
      </c>
      <c r="G15" s="307" t="str">
        <f xml:space="preserve"> Translate!E$587</f>
        <v>row</v>
      </c>
      <c r="H15" s="76"/>
      <c r="I15" s="76"/>
      <c r="J15" s="76"/>
      <c r="M15" s="76"/>
    </row>
    <row r="16" spans="1:50" ht="15" customHeight="1">
      <c r="A16" s="76"/>
      <c r="G16" s="76"/>
      <c r="H16" s="76"/>
      <c r="I16" s="76"/>
      <c r="J16" s="76"/>
      <c r="M16" s="76"/>
    </row>
    <row r="17" spans="1:13" ht="15" customHeight="1">
      <c r="A17" s="76"/>
      <c r="B17" s="74" t="str">
        <f>Translate!$E$578</f>
        <v>List of projects</v>
      </c>
      <c r="G17" s="76"/>
      <c r="H17" s="76"/>
      <c r="I17" s="76"/>
      <c r="J17" s="76"/>
      <c r="M17" s="76"/>
    </row>
    <row r="18" spans="1:13" ht="15" customHeight="1">
      <c r="A18" s="76"/>
      <c r="E18" s="76" t="str">
        <f>Translate!$E$504 &amp; " 1"</f>
        <v>Project 1</v>
      </c>
      <c r="F18" s="718" t="e">
        <f ca="1" xml:space="preserve"> 'Gold(2MMoz)'!A1</f>
        <v>#VALUE!</v>
      </c>
      <c r="G18" s="307" t="str">
        <f xml:space="preserve"> Translate!E$588</f>
        <v>Name</v>
      </c>
      <c r="H18" s="76"/>
      <c r="I18" s="76"/>
      <c r="J18" s="76"/>
      <c r="M18" s="76"/>
    </row>
    <row r="19" spans="1:13" ht="15" customHeight="1">
      <c r="A19" s="76"/>
      <c r="E19" s="76" t="str">
        <f>Translate!$E$504 &amp; " 2"</f>
        <v>Project 2</v>
      </c>
      <c r="F19" s="718" t="e">
        <f ca="1" xml:space="preserve"> 'IronOre(250MMt)'!A1</f>
        <v>#VALUE!</v>
      </c>
      <c r="G19" s="307" t="str">
        <f xml:space="preserve"> Translate!E$588</f>
        <v>Name</v>
      </c>
      <c r="H19" s="76"/>
      <c r="I19" s="76"/>
      <c r="J19" s="76"/>
      <c r="M19" s="76"/>
    </row>
    <row r="20" spans="1:13" ht="15" customHeight="1">
      <c r="A20" s="76"/>
      <c r="E20" s="76" t="str">
        <f>Translate!$E$504 &amp; " 3"</f>
        <v>Project 3</v>
      </c>
      <c r="F20" s="718" t="e">
        <f ca="1" xml:space="preserve"> 'Coal(250MMt)'!A1</f>
        <v>#VALUE!</v>
      </c>
      <c r="G20" s="307" t="str">
        <f xml:space="preserve"> Translate!E$588</f>
        <v>Name</v>
      </c>
      <c r="H20" s="76"/>
      <c r="I20" s="76"/>
      <c r="J20" s="76"/>
      <c r="M20" s="76"/>
    </row>
    <row r="21" spans="1:13" ht="15" customHeight="1">
      <c r="A21" s="76"/>
      <c r="E21" s="76" t="str">
        <f>Translate!$E$504 &amp; " 4"</f>
        <v>Project 4</v>
      </c>
      <c r="F21" s="718"/>
      <c r="G21" s="307" t="str">
        <f xml:space="preserve"> Translate!E$588</f>
        <v>Name</v>
      </c>
      <c r="H21" s="76"/>
      <c r="I21" s="76"/>
      <c r="J21" s="76"/>
      <c r="M21" s="76"/>
    </row>
    <row r="22" spans="1:13" ht="15" customHeight="1">
      <c r="A22" s="76"/>
      <c r="E22" s="76" t="str">
        <f>Translate!$E$504 &amp; " 5"</f>
        <v>Project 5</v>
      </c>
      <c r="F22" s="718"/>
      <c r="G22" s="307" t="str">
        <f xml:space="preserve"> Translate!E$588</f>
        <v>Name</v>
      </c>
      <c r="H22" s="76"/>
      <c r="I22" s="76"/>
      <c r="J22" s="76"/>
      <c r="M22" s="76"/>
    </row>
    <row r="23" spans="1:13" ht="15" customHeight="1">
      <c r="A23" s="76"/>
      <c r="E23" s="76" t="str">
        <f>Translate!$E$504 &amp; " 6"</f>
        <v>Project 6</v>
      </c>
      <c r="F23" s="718"/>
      <c r="G23" s="307" t="str">
        <f xml:space="preserve"> Translate!E$588</f>
        <v>Name</v>
      </c>
      <c r="H23" s="76"/>
      <c r="I23" s="76"/>
      <c r="J23" s="76"/>
      <c r="M23" s="76"/>
    </row>
    <row r="24" spans="1:13" ht="15" customHeight="1">
      <c r="A24" s="76"/>
      <c r="E24" s="76" t="str">
        <f>Translate!$E$504 &amp; " 7"</f>
        <v>Project 7</v>
      </c>
      <c r="F24" s="718"/>
      <c r="G24" s="307" t="str">
        <f xml:space="preserve"> Translate!E$588</f>
        <v>Name</v>
      </c>
      <c r="H24" s="76"/>
      <c r="I24" s="76"/>
      <c r="J24" s="76"/>
      <c r="M24" s="76"/>
    </row>
    <row r="25" spans="1:13" ht="15" customHeight="1">
      <c r="A25" s="76"/>
      <c r="E25" s="76" t="str">
        <f>Translate!$E$504 &amp; " 8"</f>
        <v>Project 8</v>
      </c>
      <c r="F25" s="718"/>
      <c r="G25" s="307" t="str">
        <f xml:space="preserve"> Translate!E$588</f>
        <v>Name</v>
      </c>
      <c r="H25" s="76"/>
      <c r="I25" s="76"/>
      <c r="J25" s="76"/>
      <c r="M25" s="76"/>
    </row>
    <row r="26" spans="1:13" ht="15" customHeight="1">
      <c r="A26" s="76"/>
      <c r="E26" s="76" t="str">
        <f>Translate!$E$504 &amp; " 9"</f>
        <v>Project 9</v>
      </c>
      <c r="F26" s="718"/>
      <c r="G26" s="307" t="str">
        <f xml:space="preserve"> Translate!E$588</f>
        <v>Name</v>
      </c>
      <c r="H26" s="76"/>
      <c r="I26" s="76"/>
      <c r="J26" s="76"/>
      <c r="M26" s="76"/>
    </row>
    <row r="27" spans="1:13" ht="15" customHeight="1">
      <c r="A27" s="76"/>
      <c r="E27" s="76" t="str">
        <f>Translate!$E$504 &amp; " 10"</f>
        <v>Project 10</v>
      </c>
      <c r="F27" s="718"/>
      <c r="G27" s="307" t="str">
        <f xml:space="preserve"> Translate!E$588</f>
        <v>Name</v>
      </c>
      <c r="H27" s="76"/>
      <c r="I27" s="76"/>
      <c r="J27" s="76"/>
      <c r="M27" s="76"/>
    </row>
    <row r="28" spans="1:13" ht="15" customHeight="1">
      <c r="A28" s="76"/>
      <c r="G28" s="76"/>
      <c r="H28" s="76"/>
      <c r="I28" s="76"/>
      <c r="J28" s="76"/>
      <c r="M28" s="76"/>
    </row>
    <row r="29" spans="1:13" ht="15" customHeight="1">
      <c r="A29" s="76"/>
      <c r="B29" s="74" t="str">
        <f>Translate!$E$377</f>
        <v>Mineral Price</v>
      </c>
      <c r="G29" s="76"/>
      <c r="H29" s="76"/>
      <c r="I29" s="76"/>
      <c r="J29" s="76"/>
      <c r="M29" s="76"/>
    </row>
    <row r="30" spans="1:13" ht="15" customHeight="1">
      <c r="A30" s="76"/>
      <c r="E30" s="106" t="str">
        <f ca="1" xml:space="preserve"> Dashboard!B$17</f>
        <v>Gold (into model)</v>
      </c>
      <c r="F30" s="106">
        <f ca="1" xml:space="preserve"> Dashboard!C$17</f>
        <v>1500</v>
      </c>
      <c r="G30" s="106" t="str">
        <f ca="1" xml:space="preserve"> Dashboard!D$17</f>
        <v>US$ 2021 / ounce</v>
      </c>
      <c r="H30" s="76"/>
      <c r="I30" s="76"/>
      <c r="J30" s="76"/>
      <c r="M30" s="76"/>
    </row>
    <row r="31" spans="1:13" ht="15" customHeight="1">
      <c r="A31" s="76"/>
      <c r="G31" s="76"/>
      <c r="H31" s="76"/>
      <c r="I31" s="76"/>
      <c r="J31" s="76"/>
      <c r="M31" s="76"/>
    </row>
    <row r="32" spans="1:13" ht="15" customHeight="1">
      <c r="A32" s="76"/>
      <c r="B32" s="74" t="str">
        <f>Translate!$E$579</f>
        <v>Sensitivity parameters</v>
      </c>
      <c r="G32" s="76"/>
      <c r="H32" s="76"/>
      <c r="I32" s="76"/>
      <c r="J32" s="76"/>
      <c r="M32" s="76"/>
    </row>
    <row r="33" spans="1:50" ht="15" customHeight="1">
      <c r="A33" s="76"/>
      <c r="E33" s="107" t="str">
        <f xml:space="preserve"> Dashboard!B$19</f>
        <v>Price sensitivity</v>
      </c>
      <c r="F33" s="108">
        <f xml:space="preserve"> Dashboard!C$19</f>
        <v>1</v>
      </c>
      <c r="G33" s="109" t="str">
        <f xml:space="preserve"> Dashboard!D$19</f>
        <v>factor</v>
      </c>
      <c r="H33" s="76"/>
      <c r="I33" s="76"/>
      <c r="J33" s="76"/>
      <c r="M33" s="76"/>
    </row>
    <row r="34" spans="1:50" ht="15" customHeight="1">
      <c r="A34" s="76"/>
      <c r="E34" s="107" t="str">
        <f xml:space="preserve"> Dashboard!B$20</f>
        <v>Production sensitivity</v>
      </c>
      <c r="F34" s="108">
        <f xml:space="preserve"> Dashboard!C$20</f>
        <v>1</v>
      </c>
      <c r="G34" s="109" t="str">
        <f xml:space="preserve"> Dashboard!D$20</f>
        <v>factor</v>
      </c>
      <c r="H34" s="76"/>
      <c r="I34" s="76"/>
      <c r="J34" s="76"/>
      <c r="M34" s="76"/>
    </row>
    <row r="35" spans="1:50" ht="15" customHeight="1">
      <c r="A35" s="76"/>
      <c r="E35" s="107" t="str">
        <f xml:space="preserve"> Dashboard!B$21</f>
        <v>Exploration cost sensitivity</v>
      </c>
      <c r="F35" s="108">
        <f xml:space="preserve"> Dashboard!C$21</f>
        <v>1</v>
      </c>
      <c r="G35" s="109" t="str">
        <f xml:space="preserve"> Dashboard!D$21</f>
        <v>factor</v>
      </c>
      <c r="H35" s="76"/>
      <c r="I35" s="76"/>
      <c r="J35" s="76"/>
      <c r="M35" s="76"/>
    </row>
    <row r="36" spans="1:50" ht="15" customHeight="1">
      <c r="A36" s="76"/>
      <c r="E36" s="107" t="str">
        <f xml:space="preserve"> Dashboard!B$22</f>
        <v xml:space="preserve">Capex sensitivity (Development; Replacement; Decommissioning) </v>
      </c>
      <c r="F36" s="108">
        <f xml:space="preserve"> Dashboard!C$22</f>
        <v>1</v>
      </c>
      <c r="G36" s="109" t="str">
        <f xml:space="preserve"> Dashboard!D$22</f>
        <v>factor</v>
      </c>
      <c r="H36" s="76"/>
      <c r="I36" s="76"/>
      <c r="J36" s="76"/>
      <c r="M36" s="76"/>
    </row>
    <row r="37" spans="1:50" ht="15" customHeight="1">
      <c r="A37" s="76"/>
      <c r="E37" s="107" t="str">
        <f xml:space="preserve"> Dashboard!B$23</f>
        <v>Operating cost sensitivity</v>
      </c>
      <c r="F37" s="108">
        <f xml:space="preserve"> Dashboard!C$23</f>
        <v>1</v>
      </c>
      <c r="G37" s="109" t="str">
        <f xml:space="preserve"> Dashboard!D$23</f>
        <v>factor</v>
      </c>
      <c r="H37" s="76"/>
      <c r="I37" s="76"/>
      <c r="J37" s="76"/>
      <c r="M37" s="76"/>
    </row>
    <row r="38" spans="1:50" ht="15" customHeight="1">
      <c r="A38" s="76"/>
      <c r="G38" s="76"/>
      <c r="H38" s="76"/>
      <c r="I38" s="76"/>
      <c r="J38" s="76"/>
      <c r="M38" s="76"/>
    </row>
    <row r="39" spans="1:50" ht="15" customHeight="1">
      <c r="A39" s="76"/>
      <c r="B39" s="74" t="str">
        <f>Translate!$E$334</f>
        <v>Economic limit test</v>
      </c>
      <c r="G39" s="76"/>
      <c r="H39" s="76"/>
      <c r="I39" s="76"/>
      <c r="J39" s="76"/>
      <c r="M39" s="76"/>
    </row>
    <row r="40" spans="1:50" ht="15" customHeight="1">
      <c r="A40" s="76"/>
      <c r="E40" s="76" t="str">
        <f>Translate!$E$534</f>
        <v>ELT applies</v>
      </c>
      <c r="F40" s="789" t="s">
        <v>34</v>
      </c>
      <c r="G40" s="76" t="str">
        <f>Translate!$E$351</f>
        <v>Option</v>
      </c>
      <c r="H40" s="76"/>
      <c r="I40" s="76"/>
      <c r="J40" s="76"/>
      <c r="M40" s="76"/>
    </row>
    <row r="41" spans="1:50" ht="15" customHeight="1">
      <c r="A41" s="76"/>
      <c r="E41" s="72" t="str">
        <f xml:space="preserve"> Translate!E$444 &amp; ": " &amp; Translate!E534</f>
        <v>Check: ELT applies</v>
      </c>
      <c r="F41" s="939">
        <f>IFERROR(MIN( 0, MATCH(F40,$F$81:$F$82,0) ), 1 )</f>
        <v>0</v>
      </c>
      <c r="G41" s="76" t="str">
        <f xml:space="preserve"> Translate!E$444</f>
        <v>Check</v>
      </c>
      <c r="H41" s="76"/>
      <c r="I41" s="76"/>
      <c r="J41" s="76"/>
      <c r="M41" s="76"/>
    </row>
    <row r="42" spans="1:50" ht="15" customHeight="1">
      <c r="A42" s="76"/>
      <c r="G42" s="76"/>
      <c r="H42" s="76"/>
      <c r="I42" s="76"/>
      <c r="J42" s="76"/>
      <c r="M42" s="76"/>
    </row>
    <row r="43" spans="1:50" ht="15" customHeight="1">
      <c r="A43" s="86" t="str">
        <f>Translate!$E$571</f>
        <v>Economic assumptions</v>
      </c>
      <c r="B43" s="86"/>
      <c r="C43" s="87"/>
      <c r="D43" s="86"/>
      <c r="E43" s="86"/>
      <c r="F43" s="86"/>
      <c r="G43" s="86"/>
      <c r="H43" s="86"/>
      <c r="I43" s="86"/>
      <c r="J43" s="86"/>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row>
    <row r="44" spans="1:50" ht="15" customHeight="1">
      <c r="A44" s="46"/>
      <c r="B44" s="116"/>
      <c r="C44" s="117"/>
      <c r="D44" s="89"/>
      <c r="E44" s="46"/>
      <c r="F44" s="118"/>
      <c r="G44" s="46"/>
      <c r="H44" s="43"/>
      <c r="I44" s="43"/>
      <c r="J44" s="43"/>
      <c r="K44" s="46"/>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row>
    <row r="45" spans="1:50" ht="15" customHeight="1">
      <c r="A45" s="41"/>
      <c r="B45" s="112"/>
      <c r="C45" s="113"/>
      <c r="D45" s="41"/>
      <c r="E45" s="43" t="str">
        <f>Translate!$E$535</f>
        <v>Inflation rate</v>
      </c>
      <c r="F45" s="598">
        <v>0.02</v>
      </c>
      <c r="G45" s="44" t="s">
        <v>29</v>
      </c>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row>
    <row r="46" spans="1:50" ht="15" customHeight="1">
      <c r="A46" s="41"/>
      <c r="B46" s="112"/>
      <c r="C46" s="113"/>
      <c r="D46" s="41"/>
      <c r="E46" s="43" t="str">
        <f>Translate!$E$537 &amp; ": " &amp; F85</f>
        <v>LIBOR: real</v>
      </c>
      <c r="F46" s="598">
        <v>0</v>
      </c>
      <c r="G46" s="44" t="str">
        <f xml:space="preserve"> "% " &amp; Inputs!F$85</f>
        <v>% real</v>
      </c>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row>
    <row r="47" spans="1:50" ht="15" customHeight="1">
      <c r="A47" s="41"/>
      <c r="B47" s="112"/>
      <c r="C47" s="113"/>
      <c r="D47" s="41"/>
      <c r="E47" s="43" t="str">
        <f>Translate!$E$537 &amp; ": " &amp; F86</f>
        <v>LIBOR: nominal</v>
      </c>
      <c r="F47" s="570">
        <f xml:space="preserve"> ( 1  + F45 ) * ( 1 + F46 ) - 1</f>
        <v>2.0000000000000018E-2</v>
      </c>
      <c r="G47" s="93" t="s">
        <v>29</v>
      </c>
      <c r="H47" s="41"/>
      <c r="I47" s="41"/>
      <c r="J47" s="41"/>
      <c r="K47" s="41"/>
      <c r="L47" s="41"/>
      <c r="M47" s="41"/>
      <c r="N47" s="41"/>
      <c r="O47" s="41"/>
      <c r="P47" s="41"/>
      <c r="Q47" s="41"/>
      <c r="R47" s="41"/>
      <c r="S47" s="41"/>
      <c r="T47" s="41"/>
      <c r="U47" s="41"/>
      <c r="V47" s="41"/>
      <c r="W47" s="41"/>
      <c r="X47" s="41"/>
      <c r="Y47" s="41"/>
      <c r="Z47" s="41"/>
      <c r="AA47" s="41"/>
      <c r="AB47" s="41"/>
      <c r="AC47" s="41"/>
      <c r="AD47" s="41"/>
      <c r="AE47" s="41"/>
      <c r="AF47" s="41"/>
      <c r="AG47" s="41"/>
      <c r="AH47" s="41"/>
      <c r="AI47" s="41"/>
      <c r="AJ47" s="41"/>
      <c r="AK47" s="41"/>
      <c r="AL47" s="41"/>
      <c r="AM47" s="41"/>
      <c r="AN47" s="41"/>
      <c r="AO47" s="41"/>
      <c r="AP47" s="41"/>
      <c r="AQ47" s="41"/>
      <c r="AR47" s="41"/>
      <c r="AS47" s="41"/>
      <c r="AT47" s="41"/>
      <c r="AU47" s="41"/>
      <c r="AV47" s="41"/>
      <c r="AW47" s="41"/>
      <c r="AX47" s="41"/>
    </row>
    <row r="48" spans="1:50" ht="15" customHeight="1">
      <c r="A48" s="41"/>
      <c r="B48" s="112"/>
      <c r="C48" s="113"/>
      <c r="D48" s="41"/>
      <c r="E48" s="50"/>
      <c r="F48" s="115"/>
      <c r="G48" s="93"/>
      <c r="H48" s="41"/>
      <c r="I48" s="41"/>
      <c r="J48" s="41"/>
      <c r="K48" s="41"/>
      <c r="L48" s="41"/>
      <c r="M48" s="41"/>
      <c r="N48" s="41"/>
      <c r="O48" s="41"/>
      <c r="P48" s="41"/>
      <c r="Q48" s="41"/>
      <c r="R48" s="41"/>
      <c r="S48" s="41"/>
      <c r="T48" s="41"/>
      <c r="U48" s="41"/>
      <c r="V48" s="41"/>
      <c r="W48" s="41"/>
      <c r="X48" s="41"/>
      <c r="Y48" s="41"/>
      <c r="Z48" s="41"/>
      <c r="AA48" s="41"/>
      <c r="AB48" s="41"/>
      <c r="AC48" s="41"/>
      <c r="AD48" s="41"/>
      <c r="AE48" s="41"/>
      <c r="AF48" s="41"/>
      <c r="AG48" s="41"/>
      <c r="AH48" s="41"/>
      <c r="AI48" s="41"/>
      <c r="AJ48" s="41"/>
      <c r="AK48" s="41"/>
      <c r="AL48" s="41"/>
      <c r="AM48" s="41"/>
      <c r="AN48" s="41"/>
      <c r="AO48" s="41"/>
      <c r="AP48" s="41"/>
      <c r="AQ48" s="41"/>
      <c r="AR48" s="41"/>
      <c r="AS48" s="41"/>
      <c r="AT48" s="41"/>
      <c r="AU48" s="41"/>
      <c r="AV48" s="41"/>
      <c r="AW48" s="41"/>
      <c r="AX48" s="41"/>
    </row>
    <row r="49" spans="1:50" ht="15" customHeight="1">
      <c r="A49" s="86" t="str">
        <f>Translate!$E$572</f>
        <v>Evaluation parameters</v>
      </c>
      <c r="B49" s="86"/>
      <c r="C49" s="87"/>
      <c r="D49" s="86"/>
      <c r="E49" s="86"/>
      <c r="F49" s="86"/>
      <c r="G49" s="86"/>
      <c r="H49" s="86"/>
      <c r="I49" s="86"/>
      <c r="J49" s="86"/>
      <c r="K49" s="41"/>
      <c r="L49" s="41"/>
      <c r="M49" s="41"/>
      <c r="N49" s="41"/>
      <c r="O49" s="41"/>
      <c r="P49" s="41"/>
      <c r="Q49" s="41"/>
      <c r="R49" s="41"/>
      <c r="S49" s="41"/>
      <c r="T49" s="41"/>
      <c r="U49" s="41"/>
      <c r="V49" s="41"/>
      <c r="W49" s="41"/>
      <c r="X49" s="41"/>
      <c r="Y49" s="41"/>
      <c r="Z49" s="41"/>
      <c r="AA49" s="41"/>
      <c r="AB49" s="41"/>
      <c r="AC49" s="41"/>
      <c r="AD49" s="41"/>
      <c r="AE49" s="41"/>
      <c r="AF49" s="41"/>
      <c r="AG49" s="41"/>
      <c r="AH49" s="41"/>
      <c r="AI49" s="41"/>
      <c r="AJ49" s="41"/>
      <c r="AK49" s="41"/>
      <c r="AL49" s="41"/>
      <c r="AM49" s="41"/>
      <c r="AN49" s="41"/>
      <c r="AO49" s="41"/>
      <c r="AP49" s="41"/>
      <c r="AQ49" s="41"/>
      <c r="AR49" s="41"/>
      <c r="AS49" s="41"/>
      <c r="AT49" s="41"/>
      <c r="AU49" s="41"/>
      <c r="AV49" s="41"/>
      <c r="AW49" s="41"/>
      <c r="AX49" s="41"/>
    </row>
    <row r="50" spans="1:50" ht="15" customHeight="1">
      <c r="A50" s="46"/>
      <c r="B50" s="116"/>
      <c r="C50" s="117"/>
      <c r="D50" s="89"/>
      <c r="E50" s="46"/>
      <c r="F50" s="118"/>
      <c r="G50" s="46"/>
      <c r="H50" s="43"/>
      <c r="I50" s="43"/>
      <c r="J50" s="43"/>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row>
    <row r="51" spans="1:50" s="315" customFormat="1" ht="15" customHeight="1">
      <c r="A51" s="312"/>
      <c r="B51" s="898"/>
      <c r="C51" s="899"/>
      <c r="D51" s="312"/>
      <c r="E51" s="312" t="str">
        <f xml:space="preserve"> E$7</f>
        <v>Model first calendar year</v>
      </c>
      <c r="F51" s="312">
        <f t="shared" ref="F51:G51" si="0" xml:space="preserve"> F$7</f>
        <v>2021</v>
      </c>
      <c r="G51" s="312" t="str">
        <f t="shared" si="0"/>
        <v>Calendar year</v>
      </c>
      <c r="H51" s="312"/>
      <c r="I51" s="312"/>
      <c r="J51" s="312"/>
      <c r="K51" s="312"/>
      <c r="L51" s="312"/>
      <c r="M51" s="312"/>
      <c r="N51" s="312"/>
      <c r="O51" s="312"/>
      <c r="P51" s="312"/>
      <c r="Q51" s="312"/>
      <c r="R51" s="312"/>
      <c r="S51" s="312"/>
      <c r="T51" s="312"/>
      <c r="U51" s="312"/>
      <c r="V51" s="312"/>
      <c r="W51" s="312"/>
      <c r="X51" s="312"/>
      <c r="Y51" s="312"/>
      <c r="Z51" s="312"/>
      <c r="AA51" s="312"/>
      <c r="AB51" s="312"/>
      <c r="AC51" s="312"/>
      <c r="AD51" s="312"/>
      <c r="AE51" s="312"/>
      <c r="AF51" s="312"/>
      <c r="AG51" s="312"/>
      <c r="AH51" s="312"/>
      <c r="AI51" s="312"/>
      <c r="AJ51" s="312"/>
      <c r="AK51" s="312"/>
      <c r="AL51" s="312"/>
      <c r="AM51" s="312"/>
      <c r="AN51" s="312"/>
      <c r="AO51" s="312"/>
      <c r="AP51" s="312"/>
      <c r="AQ51" s="312"/>
      <c r="AR51" s="312"/>
      <c r="AS51" s="312"/>
      <c r="AT51" s="312"/>
      <c r="AU51" s="312"/>
      <c r="AV51" s="312"/>
      <c r="AW51" s="312"/>
      <c r="AX51" s="312"/>
    </row>
    <row r="52" spans="1:50" ht="15" customHeight="1">
      <c r="A52" s="46"/>
      <c r="B52" s="116"/>
      <c r="C52" s="117"/>
      <c r="D52" s="89"/>
      <c r="E52" s="845" t="str">
        <f xml:space="preserve"> Translate!E$427</f>
        <v>Label for real terms cashflows</v>
      </c>
      <c r="F52" s="179" t="str">
        <f xml:space="preserve"> Translate!E$9 &amp; " " &amp; F51</f>
        <v>US$ 2021</v>
      </c>
      <c r="G52" s="306" t="str">
        <f xml:space="preserve"> Translate!E$585</f>
        <v>Label</v>
      </c>
      <c r="H52" s="43"/>
      <c r="I52" s="43"/>
      <c r="J52" s="43"/>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row>
    <row r="53" spans="1:50" ht="15" customHeight="1">
      <c r="A53" s="46"/>
      <c r="B53" s="116"/>
      <c r="C53" s="117"/>
      <c r="D53" s="89"/>
      <c r="E53" s="845" t="str">
        <f xml:space="preserve"> Translate!E$427 &amp; ": " &amp; Translate!E$343</f>
        <v>Label for real terms cashflows: Million</v>
      </c>
      <c r="F53" s="179" t="str">
        <f xml:space="preserve"> Translate!E$10 &amp; " " &amp; F51</f>
        <v>US$ mn 2021</v>
      </c>
      <c r="G53" s="306" t="str">
        <f xml:space="preserve"> Translate!E$585</f>
        <v>Label</v>
      </c>
      <c r="H53" s="43"/>
      <c r="I53" s="43"/>
      <c r="J53" s="43"/>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row>
    <row r="54" spans="1:50" ht="15" customHeight="1">
      <c r="A54" s="46"/>
      <c r="B54" s="116"/>
      <c r="C54" s="117"/>
      <c r="D54" s="89"/>
      <c r="E54" s="46"/>
      <c r="F54" s="118"/>
      <c r="G54" s="46"/>
      <c r="H54" s="43"/>
      <c r="I54" s="43"/>
      <c r="J54" s="43"/>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row>
    <row r="55" spans="1:50" ht="15" customHeight="1">
      <c r="A55" s="41"/>
      <c r="B55" s="112"/>
      <c r="C55" s="113"/>
      <c r="D55" s="41"/>
      <c r="E55" s="104" t="str">
        <f xml:space="preserve"> Dashboard!B$25</f>
        <v>Discount rate</v>
      </c>
      <c r="F55" s="108">
        <f xml:space="preserve"> Dashboard!C$25</f>
        <v>0.08</v>
      </c>
      <c r="G55" s="104" t="str">
        <f xml:space="preserve"> Dashboard!D$25</f>
        <v>% real</v>
      </c>
      <c r="H55" s="41"/>
      <c r="I55" s="41"/>
      <c r="J55" s="41"/>
      <c r="K55" s="41"/>
      <c r="L55" s="41"/>
      <c r="M55" s="41"/>
      <c r="N55" s="41"/>
      <c r="O55" s="41"/>
      <c r="P55" s="41"/>
      <c r="Q55" s="41"/>
      <c r="R55" s="41"/>
      <c r="S55" s="41"/>
      <c r="T55" s="41"/>
      <c r="U55" s="41"/>
      <c r="V55" s="41"/>
      <c r="W55" s="41"/>
      <c r="X55" s="41"/>
      <c r="Y55" s="41"/>
      <c r="Z55" s="41"/>
      <c r="AA55" s="41"/>
      <c r="AB55" s="41"/>
      <c r="AC55" s="41"/>
      <c r="AD55" s="41"/>
      <c r="AE55" s="41"/>
      <c r="AF55" s="41"/>
      <c r="AG55" s="41"/>
      <c r="AH55" s="41"/>
      <c r="AI55" s="41"/>
      <c r="AJ55" s="41"/>
      <c r="AK55" s="41"/>
      <c r="AL55" s="41"/>
      <c r="AM55" s="41"/>
      <c r="AN55" s="41"/>
      <c r="AO55" s="41"/>
      <c r="AP55" s="41"/>
      <c r="AQ55" s="41"/>
      <c r="AR55" s="41"/>
      <c r="AS55" s="41"/>
      <c r="AT55" s="41"/>
      <c r="AU55" s="41"/>
      <c r="AV55" s="41"/>
      <c r="AW55" s="41"/>
      <c r="AX55" s="41"/>
    </row>
    <row r="56" spans="1:50" ht="15" customHeight="1">
      <c r="A56" s="46"/>
      <c r="B56" s="116"/>
      <c r="C56" s="117"/>
      <c r="D56" s="89"/>
      <c r="E56" s="46"/>
      <c r="F56" s="118"/>
      <c r="G56" s="46"/>
      <c r="H56" s="43"/>
      <c r="I56" s="43"/>
      <c r="J56" s="43"/>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row>
    <row r="57" spans="1:50" ht="15" customHeight="1">
      <c r="A57" s="46"/>
      <c r="B57" s="116"/>
      <c r="C57" s="117"/>
      <c r="D57" s="89"/>
      <c r="E57" s="46" t="str">
        <f xml:space="preserve"> E$77</f>
        <v>one hundred</v>
      </c>
      <c r="F57" s="118">
        <f xml:space="preserve"> F$77</f>
        <v>100</v>
      </c>
      <c r="G57" s="46" t="str">
        <f xml:space="preserve"> G$77</f>
        <v>Constant</v>
      </c>
      <c r="H57" s="43"/>
      <c r="I57" s="43"/>
      <c r="J57" s="43"/>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row>
    <row r="58" spans="1:50" ht="15" customHeight="1">
      <c r="A58" s="46"/>
      <c r="B58" s="116"/>
      <c r="C58" s="117"/>
      <c r="D58" s="89"/>
      <c r="E58" s="46" t="str">
        <f>Translate!$E$538</f>
        <v xml:space="preserve">NPV label </v>
      </c>
      <c r="F58" s="118" t="str">
        <f xml:space="preserve"> Translate!E$10 &amp; " " &amp; Translate!$E$8 &amp; TEXT(F55 * F57, "#.0") &amp; " " &amp; F$85</f>
        <v>US$ mn NPV8.0 real</v>
      </c>
      <c r="G58" s="306" t="str">
        <f xml:space="preserve"> Translate!E$585</f>
        <v>Label</v>
      </c>
      <c r="H58" s="43"/>
      <c r="I58" s="43"/>
      <c r="J58" s="43"/>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row>
    <row r="59" spans="1:50" ht="15" customHeight="1">
      <c r="A59" s="46"/>
      <c r="B59" s="116"/>
      <c r="C59" s="117"/>
      <c r="D59" s="89"/>
      <c r="E59" s="46" t="str">
        <f>Translate!$E$539</f>
        <v>Short NPV label</v>
      </c>
      <c r="F59" s="118" t="str">
        <f xml:space="preserve"> Translate!$E$8 &amp; F55 * F57</f>
        <v>NPV8</v>
      </c>
      <c r="G59" s="306" t="str">
        <f xml:space="preserve"> Translate!E$585</f>
        <v>Label</v>
      </c>
      <c r="H59" s="43"/>
      <c r="I59" s="43"/>
      <c r="J59" s="43"/>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row>
    <row r="60" spans="1:50" ht="15" customHeight="1">
      <c r="A60" s="46"/>
      <c r="B60" s="116"/>
      <c r="C60" s="117"/>
      <c r="D60" s="89"/>
      <c r="E60" s="46"/>
      <c r="F60" s="118"/>
      <c r="G60" s="46"/>
      <c r="H60" s="43"/>
      <c r="I60" s="43"/>
      <c r="J60" s="43"/>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row>
    <row r="61" spans="1:50" ht="15" customHeight="1">
      <c r="A61" s="86" t="str">
        <f>Translate!$E$373</f>
        <v>GHG emissions from coal combustion</v>
      </c>
      <c r="B61" s="86"/>
      <c r="C61" s="87"/>
      <c r="D61" s="86"/>
      <c r="E61" s="86"/>
      <c r="F61" s="86"/>
      <c r="G61" s="86"/>
      <c r="H61" s="86"/>
      <c r="I61" s="86"/>
      <c r="J61" s="8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row>
    <row r="62" spans="1:50" ht="15" customHeight="1">
      <c r="A62" s="46"/>
      <c r="B62" s="116"/>
      <c r="C62" s="117"/>
      <c r="D62" s="89"/>
      <c r="E62" s="46"/>
      <c r="F62" s="118"/>
      <c r="G62" s="46"/>
      <c r="H62" s="43"/>
      <c r="I62" s="43"/>
      <c r="J62" s="43"/>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row>
    <row r="63" spans="1:50" ht="15" customHeight="1">
      <c r="A63" s="46"/>
      <c r="B63" s="116"/>
      <c r="C63" s="117"/>
      <c r="D63" s="89"/>
      <c r="E63" s="46" t="str">
        <f>Translate!$E$540</f>
        <v>Heat content per coal consumed</v>
      </c>
      <c r="F63" s="502">
        <v>20.92</v>
      </c>
      <c r="G63" s="46" t="str">
        <f xml:space="preserve"> Translate!E$751 &amp; " " &amp; Translate!E$344 &amp; " / " &amp; Translate!E$598</f>
        <v>Btu mn / MT</v>
      </c>
      <c r="H63" s="43"/>
      <c r="I63" s="43"/>
      <c r="J63" s="43"/>
      <c r="K63" s="46"/>
      <c r="L63" s="46"/>
      <c r="M63" s="46"/>
      <c r="N63" s="46"/>
      <c r="O63" s="46"/>
      <c r="P63" s="46"/>
      <c r="Q63" s="46"/>
      <c r="R63" s="46"/>
      <c r="S63" s="46"/>
      <c r="T63" s="46"/>
      <c r="U63" s="46"/>
      <c r="V63" s="46"/>
      <c r="W63" s="46"/>
      <c r="X63" s="46"/>
      <c r="Y63" s="46"/>
      <c r="Z63" s="46"/>
      <c r="AA63" s="46"/>
      <c r="AB63" s="46"/>
      <c r="AC63" s="46"/>
      <c r="AD63" s="46"/>
      <c r="AE63" s="46"/>
      <c r="AF63" s="46"/>
      <c r="AG63" s="46"/>
      <c r="AH63" s="46"/>
      <c r="AI63" s="46"/>
      <c r="AJ63" s="46"/>
      <c r="AK63" s="46"/>
      <c r="AL63" s="46"/>
      <c r="AM63" s="46"/>
      <c r="AN63" s="46"/>
      <c r="AO63" s="46"/>
      <c r="AP63" s="46"/>
      <c r="AQ63" s="46"/>
      <c r="AR63" s="46"/>
      <c r="AS63" s="46"/>
      <c r="AT63" s="46"/>
      <c r="AU63" s="46"/>
      <c r="AV63" s="46"/>
      <c r="AW63" s="46"/>
      <c r="AX63" s="46"/>
    </row>
    <row r="64" spans="1:50" ht="15" customHeight="1">
      <c r="A64" s="46"/>
      <c r="B64" s="116"/>
      <c r="C64" s="117"/>
      <c r="D64" s="89"/>
      <c r="E64" s="46" t="str">
        <f>Translate!$E$541</f>
        <v>Average carbon coefficient of coal combusted (EPA)</v>
      </c>
      <c r="F64" s="502">
        <v>26.08</v>
      </c>
      <c r="G64" s="46" t="str">
        <f xml:space="preserve"> Translate!E$753 &amp; " / " &amp; Translate!E$751 &amp; " " &amp; Translate!E$344</f>
        <v>kilograms of Carbon / Btu mn</v>
      </c>
      <c r="H64" s="43"/>
      <c r="I64" s="43"/>
      <c r="J64" s="43"/>
      <c r="K64" s="46"/>
      <c r="L64" s="46"/>
      <c r="M64" s="46"/>
      <c r="N64" s="46"/>
      <c r="O64" s="46"/>
      <c r="P64" s="46"/>
      <c r="Q64" s="46"/>
      <c r="R64" s="46"/>
      <c r="S64" s="46"/>
      <c r="T64" s="46"/>
      <c r="U64" s="46"/>
      <c r="V64" s="46"/>
      <c r="W64" s="46"/>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row>
    <row r="65" spans="1:50" customFormat="1" ht="15" customHeight="1">
      <c r="A65" s="287"/>
      <c r="B65" s="287"/>
      <c r="C65" s="289"/>
      <c r="D65" s="290"/>
      <c r="E65" s="46" t="str">
        <f>Translate!$E$542</f>
        <v>Ratio of molecular weight of carbon dioxide to carbon</v>
      </c>
      <c r="F65" s="502">
        <f>44/12</f>
        <v>3.6666666666666665</v>
      </c>
      <c r="G65" s="46" t="str">
        <f xml:space="preserve"> Translate!E$754 &amp; " / " &amp; Translate!E$753</f>
        <v>kilograms of CO2 / kilograms of Carbon</v>
      </c>
      <c r="H65" s="285"/>
      <c r="I65" s="285"/>
      <c r="J65" s="285"/>
      <c r="K65" s="285"/>
      <c r="L65" s="285"/>
      <c r="M65" s="285"/>
      <c r="N65" s="285"/>
      <c r="O65" s="285"/>
      <c r="P65" s="285"/>
      <c r="Q65" s="285"/>
      <c r="R65" s="285"/>
      <c r="S65" s="285"/>
      <c r="T65" s="285"/>
      <c r="U65" s="285"/>
      <c r="V65" s="285"/>
      <c r="W65" s="285"/>
      <c r="X65" s="285"/>
      <c r="Y65" s="285"/>
      <c r="Z65" s="285"/>
      <c r="AA65" s="285"/>
      <c r="AB65" s="285"/>
      <c r="AC65" s="285"/>
      <c r="AD65" s="285"/>
      <c r="AE65" s="285"/>
      <c r="AF65" s="285"/>
      <c r="AG65" s="285"/>
      <c r="AH65" s="285"/>
      <c r="AI65" s="285"/>
      <c r="AJ65" s="285"/>
      <c r="AK65" s="285"/>
      <c r="AL65" s="285"/>
      <c r="AM65" s="285"/>
      <c r="AN65" s="285"/>
      <c r="AO65" s="285"/>
      <c r="AP65" s="285"/>
      <c r="AQ65" s="285"/>
      <c r="AR65" s="285"/>
      <c r="AS65" s="285"/>
      <c r="AT65" s="285"/>
      <c r="AU65" s="285"/>
      <c r="AV65" s="285"/>
      <c r="AW65" s="285"/>
      <c r="AX65" s="285"/>
    </row>
    <row r="66" spans="1:50" ht="15" customHeight="1">
      <c r="A66" s="46"/>
      <c r="B66" s="116"/>
      <c r="C66" s="117"/>
      <c r="D66" s="89"/>
      <c r="E66" s="46"/>
      <c r="F66" s="118"/>
      <c r="G66" s="46"/>
      <c r="H66" s="43"/>
      <c r="I66" s="43"/>
      <c r="J66" s="43"/>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c r="AQ66" s="46"/>
      <c r="AR66" s="46"/>
      <c r="AS66" s="46"/>
      <c r="AT66" s="46"/>
      <c r="AU66" s="46"/>
      <c r="AV66" s="46"/>
      <c r="AW66" s="46"/>
      <c r="AX66" s="46"/>
    </row>
    <row r="67" spans="1:50" ht="15" customHeight="1">
      <c r="A67" s="86" t="str">
        <f>Translate!$E$573</f>
        <v>Model name and version</v>
      </c>
      <c r="B67" s="86"/>
      <c r="C67" s="87"/>
      <c r="D67" s="86"/>
      <c r="E67" s="86"/>
      <c r="F67" s="86"/>
      <c r="G67" s="86"/>
      <c r="H67" s="86"/>
      <c r="I67" s="86"/>
      <c r="J67" s="8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row>
    <row r="68" spans="1:50" ht="15" customHeight="1">
      <c r="A68" s="46"/>
      <c r="B68" s="116"/>
      <c r="C68" s="117"/>
      <c r="D68" s="89"/>
      <c r="E68" s="46"/>
      <c r="F68" s="118"/>
      <c r="G68" s="46"/>
      <c r="H68" s="43"/>
      <c r="I68" s="43"/>
      <c r="J68" s="43"/>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row>
    <row r="69" spans="1:50" ht="15" customHeight="1">
      <c r="A69" s="46"/>
      <c r="B69" s="116"/>
      <c r="C69" s="117"/>
      <c r="D69" s="89"/>
      <c r="E69" s="119" t="s">
        <v>35</v>
      </c>
      <c r="F69" s="118" t="str">
        <f xml:space="preserve"> Translate!E$588</f>
        <v>Name</v>
      </c>
      <c r="G69" s="46"/>
      <c r="H69" s="43"/>
      <c r="I69" s="43"/>
      <c r="J69" s="43"/>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row>
    <row r="70" spans="1:50" ht="15" customHeight="1">
      <c r="A70" s="46"/>
      <c r="B70" s="116"/>
      <c r="C70" s="117"/>
      <c r="D70" s="89"/>
      <c r="E70" s="120" t="s">
        <v>36</v>
      </c>
      <c r="F70" s="118" t="str">
        <f xml:space="preserve"> Translate!E$613</f>
        <v>Date</v>
      </c>
      <c r="G70" s="46"/>
      <c r="H70" s="43"/>
      <c r="I70" s="43"/>
      <c r="J70" s="43"/>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row>
    <row r="71" spans="1:50" ht="15" customHeight="1">
      <c r="A71" s="46"/>
      <c r="B71" s="116"/>
      <c r="C71" s="117"/>
      <c r="D71" s="89"/>
      <c r="E71" s="4" t="str">
        <f>E69 &amp; ": " &amp; E70</f>
        <v>Simplified Mining FARI model: February 2022</v>
      </c>
      <c r="F71" s="118" t="str">
        <f xml:space="preserve"> Translate!E$585</f>
        <v>Label</v>
      </c>
      <c r="G71" s="46"/>
      <c r="H71" s="43"/>
      <c r="I71" s="43"/>
      <c r="J71" s="43"/>
      <c r="K71" s="46"/>
      <c r="L71" s="46"/>
      <c r="M71" s="46"/>
      <c r="N71" s="46"/>
      <c r="O71" s="46"/>
      <c r="P71" s="46"/>
      <c r="Q71" s="46"/>
      <c r="R71" s="46"/>
      <c r="S71" s="46"/>
      <c r="T71" s="46"/>
      <c r="U71" s="46"/>
      <c r="V71" s="46"/>
      <c r="W71" s="46"/>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row>
    <row r="72" spans="1:50" ht="15" customHeight="1">
      <c r="A72" s="46"/>
      <c r="B72" s="116"/>
      <c r="C72" s="117"/>
      <c r="D72" s="89"/>
      <c r="E72" s="46"/>
      <c r="F72" s="118"/>
      <c r="G72" s="46"/>
      <c r="H72" s="43"/>
      <c r="I72" s="43"/>
      <c r="J72" s="43"/>
      <c r="K72" s="46"/>
      <c r="L72" s="46"/>
      <c r="M72" s="46"/>
      <c r="N72" s="46"/>
      <c r="O72" s="46"/>
      <c r="P72" s="46"/>
      <c r="Q72" s="46"/>
      <c r="R72" s="46"/>
      <c r="S72" s="46"/>
      <c r="T72" s="46"/>
      <c r="U72" s="46"/>
      <c r="V72" s="46"/>
      <c r="W72" s="46"/>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row>
    <row r="73" spans="1:50" ht="15" customHeight="1">
      <c r="A73" s="86" t="str">
        <f>Translate!$E$574</f>
        <v>Technical parameters</v>
      </c>
      <c r="B73" s="86"/>
      <c r="C73" s="87"/>
      <c r="D73" s="86"/>
      <c r="E73" s="86"/>
      <c r="F73" s="86"/>
      <c r="G73" s="86"/>
      <c r="H73" s="86"/>
      <c r="I73" s="86"/>
      <c r="J73" s="86"/>
      <c r="K73" s="46"/>
      <c r="L73" s="46"/>
      <c r="M73" s="46"/>
      <c r="N73" s="46"/>
      <c r="O73" s="46"/>
      <c r="P73" s="46"/>
      <c r="Q73" s="46"/>
      <c r="R73" s="46"/>
      <c r="S73" s="46"/>
      <c r="T73" s="46"/>
      <c r="U73" s="46"/>
      <c r="V73" s="46"/>
      <c r="W73" s="46"/>
      <c r="X73" s="46"/>
      <c r="Y73" s="46"/>
      <c r="Z73" s="46"/>
      <c r="AA73" s="46"/>
      <c r="AB73" s="46"/>
      <c r="AC73" s="46"/>
      <c r="AD73" s="46"/>
      <c r="AE73" s="46"/>
      <c r="AF73" s="46"/>
      <c r="AG73" s="46"/>
      <c r="AH73" s="46"/>
      <c r="AI73" s="46"/>
      <c r="AJ73" s="46"/>
      <c r="AK73" s="46"/>
      <c r="AL73" s="46"/>
      <c r="AM73" s="46"/>
      <c r="AN73" s="46"/>
      <c r="AO73" s="46"/>
      <c r="AP73" s="46"/>
      <c r="AQ73" s="46"/>
      <c r="AR73" s="46"/>
      <c r="AS73" s="46"/>
      <c r="AT73" s="46"/>
      <c r="AU73" s="46"/>
      <c r="AV73" s="46"/>
      <c r="AW73" s="46"/>
      <c r="AX73" s="46"/>
    </row>
    <row r="74" spans="1:50" ht="15" customHeight="1">
      <c r="A74" s="46"/>
      <c r="B74" s="116"/>
      <c r="C74" s="117"/>
      <c r="D74" s="89"/>
      <c r="E74" s="121" t="str">
        <f>Translate!$E$543</f>
        <v>Model check tolerance level</v>
      </c>
      <c r="F74" s="480">
        <v>9.9999999999999995E-7</v>
      </c>
      <c r="G74" s="304" t="str">
        <f xml:space="preserve"> Translate!E$594</f>
        <v>Tolerance</v>
      </c>
      <c r="H74" s="43"/>
      <c r="I74" s="43"/>
      <c r="J74" s="43"/>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row>
    <row r="75" spans="1:50" ht="15" customHeight="1">
      <c r="A75" s="99"/>
      <c r="B75" s="100"/>
      <c r="C75" s="101"/>
      <c r="D75" s="102"/>
      <c r="E75" s="43" t="str">
        <f>Translate!$E$544</f>
        <v>Production days per year</v>
      </c>
      <c r="F75" s="97">
        <v>365</v>
      </c>
      <c r="G75" s="866" t="str">
        <f xml:space="preserve"> Translate!E$595</f>
        <v>Days</v>
      </c>
      <c r="H75" s="103"/>
      <c r="I75" s="103"/>
      <c r="J75" s="103"/>
      <c r="K75" s="110"/>
      <c r="L75" s="102"/>
      <c r="M75" s="111"/>
      <c r="N75" s="111"/>
      <c r="O75" s="111"/>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row>
    <row r="76" spans="1:50" ht="15" customHeight="1">
      <c r="A76" s="99"/>
      <c r="B76" s="100"/>
      <c r="C76" s="101"/>
      <c r="D76" s="102"/>
      <c r="E76" s="43" t="str">
        <f>Translate!$E$545</f>
        <v>one thousand</v>
      </c>
      <c r="F76" s="97">
        <f xml:space="preserve"> 10^3</f>
        <v>1000</v>
      </c>
      <c r="G76" s="866" t="str">
        <f xml:space="preserve"> Translate!E$554</f>
        <v>Constant</v>
      </c>
      <c r="H76" s="103"/>
      <c r="I76" s="103"/>
      <c r="J76" s="103"/>
      <c r="K76" s="110"/>
      <c r="L76" s="102"/>
      <c r="M76" s="111"/>
      <c r="N76" s="111"/>
      <c r="O76" s="111"/>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row>
    <row r="77" spans="1:50" ht="15" customHeight="1">
      <c r="A77" s="99"/>
      <c r="B77" s="100"/>
      <c r="C77" s="101"/>
      <c r="D77" s="102"/>
      <c r="E77" s="43" t="str">
        <f>Translate!$E$546</f>
        <v>one hundred</v>
      </c>
      <c r="F77" s="97">
        <v>100</v>
      </c>
      <c r="G77" s="866" t="str">
        <f xml:space="preserve"> Translate!E$554</f>
        <v>Constant</v>
      </c>
      <c r="H77" s="103"/>
      <c r="I77" s="103"/>
      <c r="J77" s="103"/>
      <c r="K77" s="110"/>
      <c r="L77" s="102"/>
      <c r="M77" s="111"/>
      <c r="N77" s="111"/>
      <c r="O77" s="111"/>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row>
    <row r="78" spans="1:50" ht="15" customHeight="1"/>
    <row r="79" spans="1:50" ht="15" customHeight="1">
      <c r="A79" s="86" t="str">
        <f>Translate!$E$575</f>
        <v>Global labels</v>
      </c>
      <c r="B79" s="86"/>
      <c r="C79" s="87"/>
      <c r="D79" s="86"/>
      <c r="E79" s="86"/>
      <c r="F79" s="86"/>
      <c r="G79" s="86"/>
      <c r="H79" s="86"/>
      <c r="I79" s="86"/>
      <c r="J79" s="86"/>
      <c r="K79" s="46"/>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row>
    <row r="80" spans="1:50" ht="15" customHeight="1">
      <c r="A80" s="46"/>
      <c r="B80" s="116"/>
      <c r="C80" s="117"/>
      <c r="D80" s="89"/>
      <c r="E80" s="46"/>
      <c r="F80" s="118"/>
      <c r="G80" s="46"/>
      <c r="H80" s="43"/>
      <c r="I80" s="43"/>
      <c r="J80" s="43"/>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row>
    <row r="81" spans="1:50" ht="15" customHeight="1">
      <c r="A81" s="46"/>
      <c r="B81" s="116"/>
      <c r="C81" s="117"/>
      <c r="D81" s="89"/>
      <c r="E81" s="76" t="str">
        <f xml:space="preserve"> Translate!E$585 &amp; ": " &amp; F81</f>
        <v>Label: yes</v>
      </c>
      <c r="F81" s="863" t="str">
        <f xml:space="preserve"> Translate!E$589</f>
        <v>yes</v>
      </c>
      <c r="G81" s="306" t="str">
        <f xml:space="preserve"> Translate!E$585</f>
        <v>Label</v>
      </c>
      <c r="H81" s="43"/>
      <c r="I81" s="43"/>
      <c r="J81" s="43"/>
      <c r="K81" s="46"/>
      <c r="L81" s="46"/>
      <c r="M81" s="46"/>
      <c r="N81" s="4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row>
    <row r="82" spans="1:50" ht="15" customHeight="1">
      <c r="A82" s="46"/>
      <c r="B82" s="116"/>
      <c r="C82" s="117"/>
      <c r="D82" s="89"/>
      <c r="E82" s="76" t="str">
        <f xml:space="preserve"> Translate!E$585 &amp; ": " &amp; F82</f>
        <v>Label: no</v>
      </c>
      <c r="F82" s="863" t="str">
        <f xml:space="preserve"> Translate!E$590</f>
        <v>no</v>
      </c>
      <c r="G82" s="306" t="str">
        <f xml:space="preserve"> Translate!E$585</f>
        <v>Label</v>
      </c>
      <c r="H82" s="43"/>
      <c r="I82" s="43"/>
      <c r="J82" s="43"/>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row>
    <row r="83" spans="1:50" ht="15" customHeight="1">
      <c r="E83" s="76" t="str">
        <f xml:space="preserve"> Translate!E$585 &amp; ": " &amp; F83</f>
        <v>Label: full-cycle</v>
      </c>
      <c r="F83" s="897" t="str">
        <f xml:space="preserve"> Translate!E$3</f>
        <v>full-cycle</v>
      </c>
      <c r="G83" s="306" t="str">
        <f xml:space="preserve"> Translate!E$585</f>
        <v>Label</v>
      </c>
    </row>
    <row r="84" spans="1:50" ht="15" customHeight="1">
      <c r="E84" s="76" t="str">
        <f xml:space="preserve"> Translate!E$585 &amp; ": " &amp; F84</f>
        <v>Label: FID forward</v>
      </c>
      <c r="F84" s="897" t="str">
        <f xml:space="preserve"> Translate!E$4</f>
        <v>FID forward</v>
      </c>
      <c r="G84" s="306" t="str">
        <f xml:space="preserve"> Translate!E$585</f>
        <v>Label</v>
      </c>
    </row>
    <row r="85" spans="1:50" ht="15" customHeight="1">
      <c r="A85" s="46"/>
      <c r="B85" s="116"/>
      <c r="C85" s="117"/>
      <c r="D85" s="89"/>
      <c r="E85" s="76" t="str">
        <f xml:space="preserve"> Translate!E$585 &amp; ": " &amp; F85</f>
        <v>Label: real</v>
      </c>
      <c r="F85" s="896" t="str">
        <f xml:space="preserve"> Translate!E$6</f>
        <v>real</v>
      </c>
      <c r="G85" s="306" t="str">
        <f xml:space="preserve"> Translate!E$585</f>
        <v>Label</v>
      </c>
      <c r="H85" s="43"/>
      <c r="I85" s="43"/>
      <c r="J85" s="43"/>
      <c r="K85" s="46"/>
      <c r="L85" s="46"/>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row>
    <row r="86" spans="1:50" ht="15" customHeight="1">
      <c r="A86" s="46"/>
      <c r="B86" s="116"/>
      <c r="C86" s="117"/>
      <c r="D86" s="89"/>
      <c r="E86" s="76" t="str">
        <f xml:space="preserve"> Translate!E$585 &amp; ": " &amp; F86</f>
        <v>Label: nominal</v>
      </c>
      <c r="F86" s="896" t="str">
        <f xml:space="preserve"> Translate!E$5</f>
        <v>nominal</v>
      </c>
      <c r="G86" s="306" t="str">
        <f xml:space="preserve"> Translate!E$585</f>
        <v>Label</v>
      </c>
      <c r="H86" s="43"/>
      <c r="I86" s="43"/>
      <c r="J86" s="43"/>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row>
    <row r="87" spans="1:50" ht="15" customHeight="1">
      <c r="E87" s="76" t="str">
        <f xml:space="preserve"> Translate!E$585 &amp; ": " &amp; F87</f>
        <v>Label: undiscounted</v>
      </c>
      <c r="F87" s="230" t="str">
        <f xml:space="preserve"> Translate!E$7</f>
        <v>undiscounted</v>
      </c>
      <c r="G87" s="306" t="str">
        <f xml:space="preserve"> Translate!E$585</f>
        <v>Label</v>
      </c>
    </row>
    <row r="88" spans="1:50" ht="15" customHeight="1"/>
    <row r="89" spans="1:50" ht="15" customHeight="1">
      <c r="E89" s="106" t="str">
        <f xml:space="preserve"> Dashboard!B$5</f>
        <v>Language</v>
      </c>
      <c r="F89" s="106" t="str">
        <f xml:space="preserve"> Dashboard!C$5</f>
        <v>English</v>
      </c>
      <c r="G89" s="106" t="str">
        <f xml:space="preserve"> Dashboard!D$5</f>
        <v>Option</v>
      </c>
    </row>
    <row r="90" spans="1:50" ht="15" customHeight="1">
      <c r="E90" s="76" t="str">
        <f>Translate!$E$547</f>
        <v>English</v>
      </c>
      <c r="F90" s="257" t="s">
        <v>22</v>
      </c>
      <c r="G90" s="306" t="str">
        <f xml:space="preserve"> Translate!E$585</f>
        <v>Label</v>
      </c>
    </row>
    <row r="91" spans="1:50" ht="15" customHeight="1">
      <c r="E91" s="76" t="str">
        <f>Translate!$E$548</f>
        <v>French</v>
      </c>
      <c r="F91" s="257" t="s">
        <v>37</v>
      </c>
      <c r="G91" s="306" t="str">
        <f xml:space="preserve"> Translate!E$585</f>
        <v>Label</v>
      </c>
    </row>
    <row r="92" spans="1:50" ht="15" customHeight="1">
      <c r="E92" s="76" t="str">
        <f>Translate!$E$549</f>
        <v>Spanish</v>
      </c>
      <c r="F92" s="257" t="s">
        <v>38</v>
      </c>
      <c r="G92" s="306" t="str">
        <f xml:space="preserve"> Translate!E$585</f>
        <v>Label</v>
      </c>
    </row>
    <row r="93" spans="1:50" ht="15" customHeight="1">
      <c r="E93" s="267" t="str">
        <f xml:space="preserve"> Translate!E$550</f>
        <v>Other1</v>
      </c>
      <c r="F93" s="257" t="s">
        <v>39</v>
      </c>
      <c r="G93" s="306" t="str">
        <f xml:space="preserve"> Translate!E$585</f>
        <v>Label</v>
      </c>
    </row>
    <row r="94" spans="1:50" ht="15" customHeight="1">
      <c r="E94" s="267" t="str">
        <f xml:space="preserve"> Translate!E$551</f>
        <v>Other2</v>
      </c>
      <c r="F94" s="257" t="s">
        <v>40</v>
      </c>
      <c r="G94" s="306" t="str">
        <f xml:space="preserve"> Translate!E$585</f>
        <v>Label</v>
      </c>
    </row>
    <row r="95" spans="1:50" ht="15" customHeight="1">
      <c r="E95" s="76" t="str">
        <f>Translate!$E$552</f>
        <v>Language selected</v>
      </c>
      <c r="F95" s="76">
        <f>MATCH(F89, F90:F94)</f>
        <v>1</v>
      </c>
      <c r="G95" s="857" t="str">
        <f xml:space="preserve"> Translate!E$593</f>
        <v>option selected</v>
      </c>
    </row>
    <row r="96" spans="1:50" ht="15" customHeight="1"/>
    <row r="97" spans="1:50" ht="15" customHeight="1">
      <c r="A97" s="56" t="e">
        <f ca="1" xml:space="preserve"> $A$1 &amp; ": " &amp; Translate!$E$609</f>
        <v>#VALUE!</v>
      </c>
      <c r="B97" s="56"/>
      <c r="C97" s="122"/>
      <c r="D97" s="56"/>
      <c r="E97" s="56"/>
      <c r="F97" s="56"/>
      <c r="G97" s="56"/>
      <c r="H97" s="56"/>
      <c r="I97" s="56"/>
      <c r="J97" s="56"/>
    </row>
    <row r="98" spans="1:50" ht="15" customHeight="1">
      <c r="A98" s="46"/>
      <c r="B98" s="116"/>
      <c r="C98" s="117"/>
      <c r="D98" s="89"/>
      <c r="E98" s="46"/>
      <c r="F98" s="118"/>
      <c r="G98" s="46"/>
      <c r="H98" s="43"/>
      <c r="I98" s="43"/>
      <c r="J98" s="43"/>
      <c r="K98" s="46"/>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row>
    <row r="99" spans="1:50" ht="15" customHeight="1">
      <c r="A99" s="57"/>
      <c r="B99" s="58"/>
      <c r="C99" s="123"/>
      <c r="D99" s="59"/>
      <c r="E99" s="124"/>
      <c r="F99" s="851" t="str">
        <f xml:space="preserve"> Translate!E$565</f>
        <v>do not delete row</v>
      </c>
      <c r="G99" s="124"/>
      <c r="H99" s="124"/>
      <c r="I99" s="124"/>
      <c r="J99" s="124"/>
    </row>
    <row r="100" spans="1:50" ht="15" customHeight="1">
      <c r="A100" s="46"/>
      <c r="B100" s="938"/>
      <c r="E100" s="76" t="str">
        <f xml:space="preserve"> E$41</f>
        <v>Check: ELT applies</v>
      </c>
      <c r="F100" s="126">
        <f>F41</f>
        <v>0</v>
      </c>
      <c r="G100" s="77" t="str">
        <f xml:space="preserve"> Translate!E$444</f>
        <v>Check</v>
      </c>
    </row>
    <row r="101" spans="1:50" ht="15" customHeight="1">
      <c r="A101" s="57"/>
      <c r="B101" s="127"/>
      <c r="C101" s="123"/>
      <c r="D101" s="1053"/>
      <c r="E101" s="125"/>
      <c r="F101" s="851" t="str">
        <f xml:space="preserve"> Translate!E$565</f>
        <v>do not delete row</v>
      </c>
      <c r="G101" s="124"/>
      <c r="H101" s="124"/>
      <c r="I101" s="124"/>
      <c r="J101" s="124"/>
    </row>
    <row r="102" spans="1:50" ht="15" customHeight="1">
      <c r="A102" s="19"/>
      <c r="E102" s="4" t="e">
        <f ca="1" xml:space="preserve"> Translate!$E$639 &amp; ": " &amp; $A$1</f>
        <v>#VALUE!</v>
      </c>
      <c r="F102" s="126">
        <f xml:space="preserve"> SUM(F99:F101)</f>
        <v>0</v>
      </c>
      <c r="G102" s="857" t="str">
        <f xml:space="preserve"> Dashboard!L$60</f>
        <v>Check</v>
      </c>
    </row>
  </sheetData>
  <conditionalFormatting sqref="F102">
    <cfRule type="cellIs" dxfId="275" priority="25" stopIfTrue="1" operator="notEqual">
      <formula>0</formula>
    </cfRule>
    <cfRule type="cellIs" dxfId="274" priority="26" stopIfTrue="1" operator="equal">
      <formula>""</formula>
    </cfRule>
  </conditionalFormatting>
  <conditionalFormatting sqref="F102">
    <cfRule type="cellIs" dxfId="273" priority="23" stopIfTrue="1" operator="notEqual">
      <formula>0</formula>
    </cfRule>
    <cfRule type="cellIs" dxfId="272" priority="24" stopIfTrue="1" operator="equal">
      <formula>""</formula>
    </cfRule>
  </conditionalFormatting>
  <conditionalFormatting sqref="F3">
    <cfRule type="cellIs" dxfId="271" priority="21" stopIfTrue="1" operator="notEqual">
      <formula>0</formula>
    </cfRule>
    <cfRule type="cellIs" dxfId="270" priority="22" stopIfTrue="1" operator="equal">
      <formula>""</formula>
    </cfRule>
  </conditionalFormatting>
  <conditionalFormatting sqref="F3">
    <cfRule type="cellIs" dxfId="269" priority="19" stopIfTrue="1" operator="notEqual">
      <formula>0</formula>
    </cfRule>
    <cfRule type="cellIs" dxfId="268" priority="20" stopIfTrue="1" operator="equal">
      <formula>""</formula>
    </cfRule>
  </conditionalFormatting>
  <conditionalFormatting sqref="K3">
    <cfRule type="cellIs" dxfId="267" priority="9" stopIfTrue="1" operator="notEqual">
      <formula>0</formula>
    </cfRule>
    <cfRule type="cellIs" dxfId="266" priority="10" stopIfTrue="1" operator="equal">
      <formula>""</formula>
    </cfRule>
  </conditionalFormatting>
  <conditionalFormatting sqref="F100">
    <cfRule type="cellIs" dxfId="265" priority="3" stopIfTrue="1" operator="notEqual">
      <formula>0</formula>
    </cfRule>
    <cfRule type="cellIs" dxfId="264" priority="4" stopIfTrue="1" operator="equal">
      <formula>""</formula>
    </cfRule>
  </conditionalFormatting>
  <conditionalFormatting sqref="F100">
    <cfRule type="cellIs" dxfId="263" priority="5" stopIfTrue="1" operator="notEqual">
      <formula>0</formula>
    </cfRule>
    <cfRule type="cellIs" dxfId="262" priority="6" stopIfTrue="1" operator="equal">
      <formula>""</formula>
    </cfRule>
  </conditionalFormatting>
  <conditionalFormatting sqref="F41">
    <cfRule type="expression" dxfId="261" priority="1">
      <formula>($F$41=1)</formula>
    </cfRule>
    <cfRule type="expression" dxfId="260" priority="2">
      <formula>($F$41=0)</formula>
    </cfRule>
  </conditionalFormatting>
  <dataValidations count="1">
    <dataValidation type="list" allowBlank="1" showInputMessage="1" showErrorMessage="1" sqref="F40" xr:uid="{18B12F1E-B83C-4AF7-8E22-196E27922D78}">
      <formula1>$F$81:$F$82</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pageSetUpPr autoPageBreaks="0"/>
  </sheetPr>
  <dimension ref="A1:BH807"/>
  <sheetViews>
    <sheetView tabSelected="1" zoomScale="80" zoomScaleNormal="80" workbookViewId="0">
      <pane xSplit="10" ySplit="3" topLeftCell="K232" activePane="bottomRight" state="frozen"/>
      <selection pane="bottomRight" activeCell="H248" sqref="H248"/>
      <selection pane="bottomLeft" activeCell="H1" sqref="H1:H1048576"/>
      <selection pane="topRight" activeCell="H1" sqref="H1:H1048576"/>
    </sheetView>
  </sheetViews>
  <sheetFormatPr defaultColWidth="0" defaultRowHeight="15" outlineLevelCol="1"/>
  <cols>
    <col min="1" max="1" width="1.28515625" style="324" customWidth="1"/>
    <col min="2" max="2" width="1.28515625" style="690" customWidth="1"/>
    <col min="3" max="3" width="1.28515625" style="381" customWidth="1"/>
    <col min="4" max="4" width="1.28515625" style="344" customWidth="1"/>
    <col min="5" max="5" width="75" style="324" customWidth="1"/>
    <col min="6" max="6" width="12.7109375" style="324" customWidth="1"/>
    <col min="7" max="7" width="20.7109375" style="324" customWidth="1"/>
    <col min="8" max="8" width="40.7109375" style="324" customWidth="1" outlineLevel="1"/>
    <col min="9" max="9" width="12.7109375" style="324" customWidth="1"/>
    <col min="10" max="10" width="3.7109375" style="324" customWidth="1"/>
    <col min="11" max="50" width="10.7109375" style="324" customWidth="1"/>
    <col min="51" max="16384" width="9.140625" style="324" hidden="1"/>
  </cols>
  <sheetData>
    <row r="1" spans="1:50" ht="15" customHeight="1">
      <c r="A1" s="18" t="e">
        <f ca="1" xml:space="preserve"> RIGHT( CELL("filename",$A$1), LEN( CELL("filename",$A$1)) - SEARCH("]", CELL("filename",$A$1)))</f>
        <v>#VALUE!</v>
      </c>
      <c r="B1" s="671"/>
      <c r="C1" s="323"/>
      <c r="D1" s="1006"/>
      <c r="E1" s="1054"/>
      <c r="F1" s="1054"/>
      <c r="G1" s="1054"/>
      <c r="H1" s="1054"/>
      <c r="I1" s="1054"/>
      <c r="J1" s="1054"/>
      <c r="K1" s="1055">
        <f xml:space="preserve"> ProjectCashflows!K$48</f>
        <v>2021</v>
      </c>
      <c r="L1" s="1055">
        <f xml:space="preserve"> ProjectCashflows!L$48</f>
        <v>2022</v>
      </c>
      <c r="M1" s="1055">
        <f xml:space="preserve"> ProjectCashflows!M$48</f>
        <v>2023</v>
      </c>
      <c r="N1" s="1055">
        <f xml:space="preserve"> ProjectCashflows!N$48</f>
        <v>2024</v>
      </c>
      <c r="O1" s="1055">
        <f xml:space="preserve"> ProjectCashflows!O$48</f>
        <v>2025</v>
      </c>
      <c r="P1" s="1055">
        <f xml:space="preserve"> ProjectCashflows!P$48</f>
        <v>2026</v>
      </c>
      <c r="Q1" s="1055">
        <f xml:space="preserve"> ProjectCashflows!Q$48</f>
        <v>2027</v>
      </c>
      <c r="R1" s="1055">
        <f xml:space="preserve"> ProjectCashflows!R$48</f>
        <v>2028</v>
      </c>
      <c r="S1" s="1055">
        <f xml:space="preserve"> ProjectCashflows!S$48</f>
        <v>2029</v>
      </c>
      <c r="T1" s="1055">
        <f xml:space="preserve"> ProjectCashflows!T$48</f>
        <v>2030</v>
      </c>
      <c r="U1" s="1055">
        <f xml:space="preserve"> ProjectCashflows!U$48</f>
        <v>2031</v>
      </c>
      <c r="V1" s="1055">
        <f xml:space="preserve"> ProjectCashflows!V$48</f>
        <v>2032</v>
      </c>
      <c r="W1" s="1055">
        <f xml:space="preserve"> ProjectCashflows!W$48</f>
        <v>2033</v>
      </c>
      <c r="X1" s="1055">
        <f xml:space="preserve"> ProjectCashflows!X$48</f>
        <v>2034</v>
      </c>
      <c r="Y1" s="1055">
        <f xml:space="preserve"> ProjectCashflows!Y$48</f>
        <v>2035</v>
      </c>
      <c r="Z1" s="1055">
        <f xml:space="preserve"> ProjectCashflows!Z$48</f>
        <v>2036</v>
      </c>
      <c r="AA1" s="1055">
        <f xml:space="preserve"> ProjectCashflows!AA$48</f>
        <v>2037</v>
      </c>
      <c r="AB1" s="1055">
        <f xml:space="preserve"> ProjectCashflows!AB$48</f>
        <v>2038</v>
      </c>
      <c r="AC1" s="1055">
        <f xml:space="preserve"> ProjectCashflows!AC$48</f>
        <v>2039</v>
      </c>
      <c r="AD1" s="1055">
        <f xml:space="preserve"> ProjectCashflows!AD$48</f>
        <v>2040</v>
      </c>
      <c r="AE1" s="1055">
        <f xml:space="preserve"> ProjectCashflows!AE$48</f>
        <v>2041</v>
      </c>
      <c r="AF1" s="1055">
        <f xml:space="preserve"> ProjectCashflows!AF$48</f>
        <v>2042</v>
      </c>
      <c r="AG1" s="1055">
        <f xml:space="preserve"> ProjectCashflows!AG$48</f>
        <v>2043</v>
      </c>
      <c r="AH1" s="1055">
        <f xml:space="preserve"> ProjectCashflows!AH$48</f>
        <v>2044</v>
      </c>
      <c r="AI1" s="1055">
        <f xml:space="preserve"> ProjectCashflows!AI$48</f>
        <v>2045</v>
      </c>
      <c r="AJ1" s="1055">
        <f xml:space="preserve"> ProjectCashflows!AJ$48</f>
        <v>2046</v>
      </c>
      <c r="AK1" s="1055">
        <f xml:space="preserve"> ProjectCashflows!AK$48</f>
        <v>2047</v>
      </c>
      <c r="AL1" s="1055">
        <f xml:space="preserve"> ProjectCashflows!AL$48</f>
        <v>2048</v>
      </c>
      <c r="AM1" s="1055">
        <f xml:space="preserve"> ProjectCashflows!AM$48</f>
        <v>2049</v>
      </c>
      <c r="AN1" s="1055">
        <f xml:space="preserve"> ProjectCashflows!AN$48</f>
        <v>2050</v>
      </c>
      <c r="AO1" s="1055">
        <f xml:space="preserve"> ProjectCashflows!AO$48</f>
        <v>2051</v>
      </c>
      <c r="AP1" s="1055">
        <f xml:space="preserve"> ProjectCashflows!AP$48</f>
        <v>2052</v>
      </c>
      <c r="AQ1" s="1055">
        <f xml:space="preserve"> ProjectCashflows!AQ$48</f>
        <v>2053</v>
      </c>
      <c r="AR1" s="1055">
        <f xml:space="preserve"> ProjectCashflows!AR$48</f>
        <v>2054</v>
      </c>
      <c r="AS1" s="1055">
        <f xml:space="preserve"> ProjectCashflows!AS$48</f>
        <v>2055</v>
      </c>
      <c r="AT1" s="1055">
        <f xml:space="preserve"> ProjectCashflows!AT$48</f>
        <v>2056</v>
      </c>
      <c r="AU1" s="1055">
        <f xml:space="preserve"> ProjectCashflows!AU$48</f>
        <v>2057</v>
      </c>
      <c r="AV1" s="1055">
        <f xml:space="preserve"> ProjectCashflows!AV$48</f>
        <v>2058</v>
      </c>
      <c r="AW1" s="1055">
        <f xml:space="preserve"> ProjectCashflows!AW$48</f>
        <v>2059</v>
      </c>
      <c r="AX1" s="1055">
        <f xml:space="preserve"> ProjectCashflows!AX$48</f>
        <v>2060</v>
      </c>
    </row>
    <row r="2" spans="1:50" ht="15" customHeight="1">
      <c r="A2" s="325"/>
      <c r="B2" s="671"/>
      <c r="C2" s="323"/>
      <c r="D2" s="1006"/>
      <c r="E2" s="1054" t="str">
        <f>Translate!$E$391</f>
        <v>Row description</v>
      </c>
      <c r="F2" s="866" t="str">
        <f xml:space="preserve"> Translate!E$554</f>
        <v>Constant</v>
      </c>
      <c r="G2" s="857" t="str">
        <f xml:space="preserve"> Translate!E$445</f>
        <v>Units</v>
      </c>
      <c r="H2" s="1052" t="str">
        <f>Translate!$E$280</f>
        <v>Comments</v>
      </c>
      <c r="I2" s="857" t="str">
        <f xml:space="preserve"> Translate!E$19</f>
        <v>Total</v>
      </c>
      <c r="J2" s="1054"/>
      <c r="K2" s="1054"/>
      <c r="L2" s="1054"/>
      <c r="M2" s="1054"/>
      <c r="N2" s="1054"/>
      <c r="O2" s="1054"/>
      <c r="P2" s="1054"/>
      <c r="Q2" s="1054"/>
      <c r="R2" s="1054"/>
      <c r="S2" s="1054"/>
      <c r="T2" s="1054"/>
      <c r="U2" s="1054"/>
      <c r="V2" s="1054"/>
      <c r="W2" s="1054"/>
      <c r="X2" s="1054"/>
      <c r="Y2" s="1054"/>
      <c r="Z2" s="1054"/>
      <c r="AA2" s="1054"/>
      <c r="AB2" s="1054"/>
      <c r="AC2" s="1054"/>
      <c r="AD2" s="1054"/>
      <c r="AE2" s="1054"/>
      <c r="AF2" s="1054"/>
      <c r="AG2" s="1054"/>
      <c r="AH2" s="1054"/>
      <c r="AI2" s="1054"/>
      <c r="AJ2" s="1054"/>
      <c r="AK2" s="1054"/>
      <c r="AL2" s="1054"/>
      <c r="AM2" s="1054"/>
      <c r="AN2" s="1054"/>
      <c r="AO2" s="1054"/>
      <c r="AP2" s="1054"/>
      <c r="AQ2" s="1054"/>
      <c r="AR2" s="1054"/>
      <c r="AS2" s="1054"/>
      <c r="AT2" s="1054"/>
      <c r="AU2" s="1054"/>
      <c r="AV2" s="1054"/>
      <c r="AW2" s="1054"/>
      <c r="AX2" s="1054"/>
    </row>
    <row r="3" spans="1:50" ht="15" customHeight="1">
      <c r="A3" s="326"/>
      <c r="B3" s="672"/>
      <c r="C3" s="328"/>
      <c r="D3" s="1046"/>
      <c r="E3" s="1056"/>
      <c r="F3" s="128">
        <f ca="1" xml:space="preserve"> ReadMe!$D$7</f>
        <v>0</v>
      </c>
      <c r="G3" s="1047" t="str">
        <f xml:space="preserve"> ReadMe!$E$7</f>
        <v>Checks</v>
      </c>
      <c r="H3" s="1041"/>
      <c r="I3" s="1041"/>
      <c r="J3" s="1041"/>
      <c r="K3" s="512">
        <f ca="1" xml:space="preserve"> Track!$F$1</f>
        <v>0</v>
      </c>
      <c r="L3" s="1041" t="str">
        <f xml:space="preserve"> Track!$G$1</f>
        <v>Track changes</v>
      </c>
      <c r="M3" s="1041"/>
      <c r="N3" s="1041"/>
      <c r="O3" s="1041"/>
      <c r="P3" s="1041"/>
      <c r="Q3" s="1041"/>
      <c r="R3" s="1041"/>
      <c r="S3" s="1041"/>
      <c r="T3" s="1041"/>
      <c r="U3" s="1041"/>
      <c r="V3" s="1041"/>
      <c r="W3" s="1041"/>
      <c r="X3" s="1041"/>
      <c r="Y3" s="1041"/>
      <c r="Z3" s="1041"/>
      <c r="AA3" s="1041"/>
      <c r="AB3" s="1041"/>
      <c r="AC3" s="1041"/>
      <c r="AD3" s="1041"/>
      <c r="AE3" s="1041"/>
      <c r="AF3" s="1041"/>
      <c r="AG3" s="1041"/>
      <c r="AH3" s="1041"/>
      <c r="AI3" s="1041"/>
      <c r="AJ3" s="1041"/>
      <c r="AK3" s="1041"/>
      <c r="AL3" s="1041"/>
      <c r="AM3" s="1041"/>
      <c r="AN3" s="1041"/>
      <c r="AO3" s="1041"/>
      <c r="AP3" s="1041"/>
      <c r="AQ3" s="1041"/>
      <c r="AR3" s="1041"/>
      <c r="AS3" s="1041"/>
      <c r="AT3" s="1041"/>
      <c r="AU3" s="1041"/>
      <c r="AV3" s="1041"/>
      <c r="AW3" s="1041"/>
      <c r="AX3" s="1041"/>
    </row>
    <row r="4" spans="1:50" ht="15" customHeight="1">
      <c r="A4" s="329" t="str">
        <f>Translate!$E$20</f>
        <v>Fiscal regime parameters</v>
      </c>
      <c r="B4" s="673"/>
      <c r="C4" s="330"/>
      <c r="D4" s="329"/>
      <c r="E4" s="331"/>
      <c r="F4" s="329"/>
      <c r="G4" s="329"/>
      <c r="H4" s="329"/>
      <c r="I4" s="329"/>
      <c r="J4" s="329"/>
      <c r="K4" s="329"/>
      <c r="L4" s="329"/>
      <c r="M4" s="329"/>
      <c r="N4" s="329"/>
      <c r="O4" s="329"/>
      <c r="P4" s="329"/>
      <c r="Q4" s="329"/>
      <c r="R4" s="329"/>
      <c r="S4" s="329"/>
      <c r="T4" s="329"/>
      <c r="U4" s="329"/>
      <c r="V4" s="329"/>
      <c r="W4" s="329"/>
      <c r="X4" s="329"/>
      <c r="Y4" s="329"/>
      <c r="Z4" s="329"/>
      <c r="AA4" s="329"/>
      <c r="AB4" s="329"/>
      <c r="AC4" s="329"/>
      <c r="AD4" s="329"/>
      <c r="AE4" s="329"/>
      <c r="AF4" s="329"/>
      <c r="AG4" s="329"/>
      <c r="AH4" s="329"/>
      <c r="AI4" s="329"/>
      <c r="AJ4" s="329"/>
      <c r="AK4" s="329"/>
      <c r="AL4" s="329"/>
      <c r="AM4" s="329"/>
      <c r="AN4" s="329"/>
      <c r="AO4" s="329"/>
      <c r="AP4" s="329"/>
      <c r="AQ4" s="329"/>
      <c r="AR4" s="329"/>
      <c r="AS4" s="329"/>
      <c r="AT4" s="329"/>
      <c r="AU4" s="329"/>
      <c r="AV4" s="329"/>
      <c r="AW4" s="329"/>
      <c r="AX4" s="329"/>
    </row>
    <row r="5" spans="1:50" s="334" customFormat="1" ht="15" customHeight="1">
      <c r="A5" s="975"/>
      <c r="B5" s="643"/>
      <c r="C5" s="976"/>
      <c r="D5" s="975"/>
      <c r="E5" s="977"/>
      <c r="F5" s="975"/>
      <c r="G5" s="975"/>
      <c r="H5" s="975"/>
      <c r="I5" s="975"/>
      <c r="J5" s="975"/>
      <c r="K5" s="975"/>
      <c r="L5" s="975"/>
      <c r="M5" s="975"/>
      <c r="N5" s="975"/>
      <c r="O5" s="975"/>
      <c r="P5" s="975"/>
      <c r="Q5" s="975"/>
      <c r="R5" s="975"/>
      <c r="S5" s="975"/>
      <c r="T5" s="975"/>
      <c r="U5" s="975"/>
      <c r="V5" s="975"/>
      <c r="W5" s="975"/>
      <c r="X5" s="975"/>
      <c r="Y5" s="975"/>
      <c r="Z5" s="975"/>
      <c r="AA5" s="975"/>
      <c r="AB5" s="975"/>
      <c r="AC5" s="975"/>
      <c r="AD5" s="975"/>
      <c r="AE5" s="975"/>
      <c r="AF5" s="975"/>
      <c r="AG5" s="975"/>
      <c r="AH5" s="975"/>
      <c r="AI5" s="975"/>
      <c r="AJ5" s="975"/>
      <c r="AK5" s="975"/>
      <c r="AL5" s="975"/>
      <c r="AM5" s="975"/>
      <c r="AN5" s="975"/>
      <c r="AO5" s="975"/>
      <c r="AP5" s="975"/>
      <c r="AQ5" s="975"/>
      <c r="AR5" s="975"/>
      <c r="AS5" s="975"/>
      <c r="AT5" s="975"/>
      <c r="AU5" s="975"/>
      <c r="AV5" s="975"/>
      <c r="AW5" s="975"/>
      <c r="AX5" s="975"/>
    </row>
    <row r="6" spans="1:50" ht="15" customHeight="1">
      <c r="A6" s="1049"/>
      <c r="B6" s="828" t="str">
        <f>Translate!$E$591</f>
        <v>Translation of options</v>
      </c>
      <c r="C6" s="333"/>
      <c r="D6" s="1049"/>
      <c r="E6" s="1036"/>
      <c r="F6" s="1049"/>
      <c r="G6" s="1049"/>
      <c r="H6" s="1049"/>
      <c r="I6" s="1049"/>
      <c r="J6" s="1049"/>
      <c r="K6" s="1049"/>
      <c r="L6" s="1049"/>
      <c r="M6" s="1049"/>
      <c r="N6" s="1049"/>
      <c r="O6" s="1049"/>
      <c r="P6" s="1049"/>
      <c r="Q6" s="1049"/>
      <c r="R6" s="1049"/>
      <c r="S6" s="1049"/>
      <c r="T6"/>
      <c r="U6"/>
      <c r="V6"/>
      <c r="W6"/>
      <c r="X6"/>
      <c r="Y6" s="1049"/>
      <c r="Z6" s="1049"/>
      <c r="AA6" s="1049"/>
      <c r="AB6" s="1049"/>
      <c r="AC6" s="1049"/>
      <c r="AD6" s="1049"/>
      <c r="AE6" s="1049"/>
      <c r="AF6" s="1049"/>
      <c r="AG6" s="1049"/>
      <c r="AH6" s="1049"/>
      <c r="AI6" s="1049"/>
      <c r="AJ6" s="1049"/>
      <c r="AK6" s="1049"/>
      <c r="AL6" s="1049"/>
      <c r="AM6" s="1049"/>
      <c r="AN6" s="1049"/>
      <c r="AO6" s="1049"/>
      <c r="AP6" s="1049"/>
      <c r="AQ6" s="1049"/>
      <c r="AR6" s="1049"/>
      <c r="AS6" s="1049"/>
      <c r="AT6" s="1049"/>
      <c r="AU6" s="1049"/>
      <c r="AV6" s="1049"/>
      <c r="AW6" s="1049"/>
      <c r="AX6" s="1049"/>
    </row>
    <row r="7" spans="1:50" ht="15" customHeight="1">
      <c r="A7" s="347"/>
      <c r="B7" s="643"/>
      <c r="C7" s="333"/>
      <c r="D7" s="1057"/>
      <c r="E7" s="307" t="str">
        <f xml:space="preserve"> Translate!$E$444 &amp; ": " &amp; Translate!$E$591</f>
        <v>Check: Translation of options</v>
      </c>
      <c r="F7" s="864">
        <f xml:space="preserve"> MIN( 1, SUM(I16:I66))</f>
        <v>0</v>
      </c>
      <c r="G7" s="311" t="str">
        <f xml:space="preserve"> Translate!E444</f>
        <v>Check</v>
      </c>
      <c r="H7" s="1058"/>
      <c r="I7" s="1048"/>
      <c r="J7" s="1059"/>
      <c r="K7" s="1059"/>
      <c r="L7" s="1059"/>
      <c r="M7" s="1059"/>
      <c r="N7" s="1059"/>
      <c r="O7" s="1059"/>
      <c r="P7" s="1059"/>
      <c r="Q7" s="1059"/>
      <c r="R7" s="1059"/>
      <c r="S7" s="1059"/>
      <c r="T7" s="1059"/>
      <c r="U7" s="1059"/>
      <c r="V7" s="1059"/>
      <c r="W7" s="1059"/>
      <c r="X7" s="1059"/>
      <c r="Y7" s="1059"/>
      <c r="Z7" s="1059"/>
      <c r="AA7" s="1059"/>
      <c r="AB7" s="1059"/>
      <c r="AC7" s="1059"/>
      <c r="AD7" s="1059"/>
      <c r="AE7" s="1059"/>
      <c r="AF7" s="1059"/>
      <c r="AG7" s="1059"/>
      <c r="AH7" s="1059"/>
      <c r="AI7" s="1059"/>
      <c r="AJ7" s="1059"/>
      <c r="AK7" s="1059"/>
      <c r="AL7" s="1059"/>
      <c r="AM7" s="1059"/>
      <c r="AN7" s="1059"/>
      <c r="AO7" s="1059"/>
      <c r="AP7" s="1059"/>
      <c r="AQ7" s="1059"/>
      <c r="AR7" s="1059"/>
      <c r="AS7" s="1059"/>
      <c r="AT7" s="1059"/>
      <c r="AU7" s="1059"/>
      <c r="AV7" s="1059"/>
      <c r="AW7" s="1059"/>
      <c r="AX7" s="1059"/>
    </row>
    <row r="8" spans="1:50" ht="15" customHeight="1">
      <c r="A8" s="347"/>
      <c r="B8" s="643"/>
      <c r="C8" s="333"/>
      <c r="D8" s="1057"/>
      <c r="E8" s="349"/>
      <c r="F8" s="350"/>
      <c r="G8" s="1058"/>
      <c r="H8" s="1058"/>
      <c r="I8" s="1048"/>
      <c r="J8" s="1059"/>
      <c r="K8" s="1059"/>
      <c r="L8" s="1059"/>
      <c r="M8" s="1059"/>
      <c r="N8" s="1059"/>
      <c r="O8" s="1059"/>
      <c r="P8" s="1059"/>
      <c r="Q8" s="1059"/>
      <c r="R8" s="1059"/>
      <c r="S8" s="1059"/>
      <c r="T8" s="1059"/>
      <c r="U8" s="1059"/>
      <c r="V8" s="1059"/>
      <c r="W8" s="1059"/>
      <c r="X8" s="1059"/>
      <c r="Y8" s="1059"/>
      <c r="Z8" s="1059"/>
      <c r="AA8" s="1059"/>
      <c r="AB8" s="1059"/>
      <c r="AC8" s="1059"/>
      <c r="AD8" s="1059"/>
      <c r="AE8" s="1059"/>
      <c r="AF8" s="1059"/>
      <c r="AG8" s="1059"/>
      <c r="AH8" s="1059"/>
      <c r="AI8" s="1059"/>
      <c r="AJ8" s="1059"/>
      <c r="AK8" s="1059"/>
      <c r="AL8" s="1059"/>
      <c r="AM8" s="1059"/>
      <c r="AN8" s="1059"/>
      <c r="AO8" s="1059"/>
      <c r="AP8" s="1059"/>
      <c r="AQ8" s="1059"/>
      <c r="AR8" s="1059"/>
      <c r="AS8" s="1059"/>
      <c r="AT8" s="1059"/>
      <c r="AU8" s="1059"/>
      <c r="AV8" s="1059"/>
      <c r="AW8" s="1059"/>
      <c r="AX8" s="1059"/>
    </row>
    <row r="9" spans="1:50" ht="15" customHeight="1">
      <c r="A9" s="1049"/>
      <c r="B9" s="674" t="str">
        <f>Translate!$E$41</f>
        <v>Fiscal regime selection</v>
      </c>
      <c r="C9" s="333"/>
      <c r="D9" s="1049"/>
      <c r="E9" s="1060"/>
      <c r="F9" s="1061"/>
      <c r="G9" s="1061"/>
      <c r="H9" s="1061"/>
      <c r="I9" s="1061"/>
      <c r="J9" s="1061"/>
      <c r="K9" s="874" t="str">
        <f xml:space="preserve"> Translate!E$621</f>
        <v>alternative sets of fiscal paramemters</v>
      </c>
      <c r="L9" s="1061"/>
      <c r="M9" s="1061"/>
      <c r="N9" s="1061"/>
      <c r="O9" s="1061"/>
      <c r="P9" s="1061"/>
      <c r="Q9" s="1061"/>
      <c r="R9" s="1061"/>
      <c r="S9" s="1061"/>
      <c r="T9" s="1061"/>
      <c r="U9" s="1061"/>
      <c r="V9" s="1061"/>
      <c r="W9" s="1061"/>
      <c r="X9" s="1061"/>
      <c r="Y9" s="1061"/>
      <c r="Z9" s="1061"/>
      <c r="AA9" s="1061"/>
      <c r="AB9" s="1061"/>
      <c r="AC9" s="1061"/>
      <c r="AD9" s="1061"/>
      <c r="AE9" s="1061"/>
      <c r="AF9" s="1061"/>
      <c r="AG9" s="1061"/>
      <c r="AH9" s="1061"/>
      <c r="AI9" s="1061"/>
      <c r="AJ9" s="1061"/>
      <c r="AK9" s="1061"/>
      <c r="AL9" s="1061"/>
      <c r="AM9" s="1061"/>
      <c r="AN9" s="1061"/>
      <c r="AO9" s="1061"/>
      <c r="AP9" s="1061"/>
      <c r="AQ9" s="1061"/>
      <c r="AR9" s="1061"/>
      <c r="AS9" s="1061"/>
      <c r="AT9" s="1061"/>
      <c r="AU9" s="1061"/>
      <c r="AV9" s="1061"/>
      <c r="AW9" s="1061"/>
      <c r="AX9" s="1061"/>
    </row>
    <row r="10" spans="1:50" ht="15" customHeight="1">
      <c r="A10" s="1049"/>
      <c r="B10" s="674"/>
      <c r="C10" s="333"/>
      <c r="D10" s="1049"/>
      <c r="E10" s="1024" t="str">
        <f>Translate!$E$123</f>
        <v>Regime number</v>
      </c>
      <c r="F10" s="1059"/>
      <c r="G10" s="1024" t="str">
        <f>Translate!E612</f>
        <v>number</v>
      </c>
      <c r="H10" s="1059"/>
      <c r="I10" s="1059"/>
      <c r="J10" s="1062"/>
      <c r="K10" s="1063">
        <f t="shared" ref="K10:AX10" si="0" xml:space="preserve"> J10 + 1</f>
        <v>1</v>
      </c>
      <c r="L10" s="1063">
        <f t="shared" si="0"/>
        <v>2</v>
      </c>
      <c r="M10" s="1063">
        <f t="shared" si="0"/>
        <v>3</v>
      </c>
      <c r="N10" s="1063">
        <f t="shared" si="0"/>
        <v>4</v>
      </c>
      <c r="O10" s="1063">
        <f t="shared" si="0"/>
        <v>5</v>
      </c>
      <c r="P10" s="1063">
        <f t="shared" si="0"/>
        <v>6</v>
      </c>
      <c r="Q10" s="1063">
        <f t="shared" si="0"/>
        <v>7</v>
      </c>
      <c r="R10" s="1063">
        <f t="shared" si="0"/>
        <v>8</v>
      </c>
      <c r="S10" s="1063">
        <f t="shared" si="0"/>
        <v>9</v>
      </c>
      <c r="T10" s="1063">
        <f t="shared" si="0"/>
        <v>10</v>
      </c>
      <c r="U10" s="1063">
        <f t="shared" si="0"/>
        <v>11</v>
      </c>
      <c r="V10" s="1063">
        <f t="shared" si="0"/>
        <v>12</v>
      </c>
      <c r="W10" s="1063">
        <f t="shared" si="0"/>
        <v>13</v>
      </c>
      <c r="X10" s="1063">
        <f t="shared" si="0"/>
        <v>14</v>
      </c>
      <c r="Y10" s="1063">
        <f t="shared" si="0"/>
        <v>15</v>
      </c>
      <c r="Z10" s="1063">
        <f t="shared" si="0"/>
        <v>16</v>
      </c>
      <c r="AA10" s="1063">
        <f t="shared" si="0"/>
        <v>17</v>
      </c>
      <c r="AB10" s="1063">
        <f t="shared" si="0"/>
        <v>18</v>
      </c>
      <c r="AC10" s="1063">
        <f t="shared" si="0"/>
        <v>19</v>
      </c>
      <c r="AD10" s="1063">
        <f t="shared" si="0"/>
        <v>20</v>
      </c>
      <c r="AE10" s="1063">
        <f t="shared" si="0"/>
        <v>21</v>
      </c>
      <c r="AF10" s="1063">
        <f t="shared" si="0"/>
        <v>22</v>
      </c>
      <c r="AG10" s="1063">
        <f t="shared" si="0"/>
        <v>23</v>
      </c>
      <c r="AH10" s="1063">
        <f t="shared" si="0"/>
        <v>24</v>
      </c>
      <c r="AI10" s="1063">
        <f t="shared" si="0"/>
        <v>25</v>
      </c>
      <c r="AJ10" s="1063">
        <f t="shared" si="0"/>
        <v>26</v>
      </c>
      <c r="AK10" s="1063">
        <f t="shared" si="0"/>
        <v>27</v>
      </c>
      <c r="AL10" s="1063">
        <f t="shared" si="0"/>
        <v>28</v>
      </c>
      <c r="AM10" s="1063">
        <f t="shared" si="0"/>
        <v>29</v>
      </c>
      <c r="AN10" s="1063">
        <f t="shared" si="0"/>
        <v>30</v>
      </c>
      <c r="AO10" s="1063">
        <f t="shared" si="0"/>
        <v>31</v>
      </c>
      <c r="AP10" s="1063">
        <f t="shared" si="0"/>
        <v>32</v>
      </c>
      <c r="AQ10" s="1063">
        <f t="shared" si="0"/>
        <v>33</v>
      </c>
      <c r="AR10" s="1063">
        <f t="shared" si="0"/>
        <v>34</v>
      </c>
      <c r="AS10" s="1063">
        <f t="shared" si="0"/>
        <v>35</v>
      </c>
      <c r="AT10" s="1063">
        <f t="shared" si="0"/>
        <v>36</v>
      </c>
      <c r="AU10" s="1063">
        <f t="shared" si="0"/>
        <v>37</v>
      </c>
      <c r="AV10" s="1063">
        <f t="shared" si="0"/>
        <v>38</v>
      </c>
      <c r="AW10" s="1063">
        <f t="shared" si="0"/>
        <v>39</v>
      </c>
      <c r="AX10" s="1063">
        <f t="shared" si="0"/>
        <v>40</v>
      </c>
    </row>
    <row r="11" spans="1:50" ht="45">
      <c r="A11" s="325"/>
      <c r="B11" s="671"/>
      <c r="C11" s="323"/>
      <c r="D11" s="1054"/>
      <c r="E11" s="1044" t="str">
        <f>Translate!$E$124</f>
        <v>Regime name</v>
      </c>
      <c r="F11" s="1054"/>
      <c r="G11" s="1044" t="str">
        <f>Translate!$E$124</f>
        <v>Regime name</v>
      </c>
      <c r="H11" s="1064"/>
      <c r="I11" s="1064"/>
      <c r="J11" s="1064"/>
      <c r="K11" s="489" t="s">
        <v>19</v>
      </c>
      <c r="L11" s="489" t="s">
        <v>26</v>
      </c>
      <c r="M11" s="489" t="s">
        <v>31</v>
      </c>
      <c r="N11" s="489" t="s">
        <v>24</v>
      </c>
      <c r="O11" s="489" t="s">
        <v>25</v>
      </c>
      <c r="P11" s="489"/>
      <c r="Q11" s="489"/>
      <c r="R11" s="489"/>
      <c r="S11" s="489"/>
      <c r="T11" s="489"/>
      <c r="U11" s="489"/>
      <c r="V11" s="489"/>
      <c r="W11" s="489"/>
      <c r="X11" s="489"/>
      <c r="Y11" s="489"/>
      <c r="Z11" s="489"/>
      <c r="AA11" s="489"/>
      <c r="AB11" s="489"/>
      <c r="AC11" s="489"/>
      <c r="AD11" s="489"/>
      <c r="AE11" s="489"/>
      <c r="AF11" s="489"/>
      <c r="AG11" s="489"/>
      <c r="AH11" s="489"/>
      <c r="AI11" s="489"/>
      <c r="AJ11" s="489"/>
      <c r="AK11" s="489"/>
      <c r="AL11" s="489"/>
      <c r="AM11" s="489"/>
      <c r="AN11" s="489"/>
      <c r="AO11" s="489"/>
      <c r="AP11" s="489"/>
      <c r="AQ11" s="489"/>
      <c r="AR11" s="489"/>
      <c r="AS11" s="489"/>
      <c r="AT11" s="489"/>
      <c r="AU11" s="489"/>
      <c r="AV11" s="489"/>
      <c r="AW11" s="489"/>
      <c r="AX11" s="489"/>
    </row>
    <row r="12" spans="1:50" ht="15" customHeight="1">
      <c r="A12" s="325"/>
      <c r="B12" s="671"/>
      <c r="C12" s="323"/>
      <c r="D12" s="1054"/>
      <c r="E12" s="337" t="str">
        <f xml:space="preserve"> Dashboard!B$6</f>
        <v>Fiscal regime selected</v>
      </c>
      <c r="F12" s="657" t="str">
        <f xml:space="preserve"> Dashboard!C$6</f>
        <v>Royalty + CIT</v>
      </c>
      <c r="G12" s="337" t="str">
        <f xml:space="preserve"> Dashboard!D$6</f>
        <v>Option</v>
      </c>
      <c r="H12" s="1064"/>
      <c r="I12" s="1064"/>
      <c r="J12" s="1064"/>
      <c r="K12" s="338"/>
      <c r="L12" s="338"/>
      <c r="M12" s="338"/>
      <c r="N12" s="338"/>
      <c r="O12" s="338"/>
      <c r="P12" s="338"/>
      <c r="Q12" s="338"/>
      <c r="R12" s="338"/>
      <c r="S12" s="338"/>
      <c r="T12" s="338"/>
      <c r="U12" s="338"/>
      <c r="V12" s="338"/>
      <c r="W12" s="338"/>
      <c r="X12" s="338"/>
      <c r="Y12" s="338"/>
      <c r="Z12" s="338"/>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row>
    <row r="13" spans="1:50" ht="15" customHeight="1">
      <c r="A13" s="325"/>
      <c r="B13" s="671"/>
      <c r="C13" s="323"/>
      <c r="D13" s="1054"/>
      <c r="E13" s="1065" t="str">
        <f>Translate!$E$125</f>
        <v>Selected regime number</v>
      </c>
      <c r="F13" s="843">
        <f xml:space="preserve"> MATCH( $F12, K11:AX11, 0)</f>
        <v>1</v>
      </c>
      <c r="G13" s="1024" t="str">
        <f>Translate!$E$123</f>
        <v>Regime number</v>
      </c>
      <c r="H13" s="1064"/>
      <c r="I13" s="1065"/>
      <c r="J13" s="1065"/>
      <c r="K13" s="1066"/>
      <c r="L13" s="1066"/>
      <c r="M13" s="1066"/>
      <c r="N13" s="1066"/>
      <c r="O13" s="1066"/>
      <c r="P13" s="1066"/>
      <c r="Q13" s="1066"/>
      <c r="R13" s="1066"/>
      <c r="S13" s="1066"/>
      <c r="T13" s="1066"/>
      <c r="U13" s="1066"/>
      <c r="V13" s="1066"/>
      <c r="W13" s="1066"/>
      <c r="X13" s="1066"/>
      <c r="Y13" s="1066"/>
      <c r="Z13" s="1066"/>
      <c r="AA13" s="1066"/>
      <c r="AB13" s="1066"/>
      <c r="AC13" s="1066"/>
      <c r="AD13" s="1066"/>
      <c r="AE13" s="1066"/>
      <c r="AF13" s="1066"/>
      <c r="AG13" s="1066"/>
      <c r="AH13" s="1066"/>
      <c r="AI13" s="1066"/>
      <c r="AJ13" s="1066"/>
      <c r="AK13" s="1066"/>
      <c r="AL13" s="1066"/>
      <c r="AM13" s="1066"/>
      <c r="AN13" s="1066"/>
      <c r="AO13" s="1066"/>
      <c r="AP13" s="1066"/>
      <c r="AQ13" s="1066"/>
      <c r="AR13" s="1066"/>
      <c r="AS13" s="1066"/>
      <c r="AT13" s="1066"/>
      <c r="AU13" s="1066"/>
      <c r="AV13" s="1066"/>
      <c r="AW13" s="1066"/>
      <c r="AX13" s="1066"/>
    </row>
    <row r="14" spans="1:50" s="341" customFormat="1" ht="15" customHeight="1">
      <c r="A14" s="339" t="str">
        <f>Translate!$E$21</f>
        <v>Top of fiscal regime parameters</v>
      </c>
      <c r="B14" s="675"/>
      <c r="C14" s="340"/>
      <c r="D14" s="1067"/>
      <c r="E14" s="1068"/>
      <c r="F14" s="600"/>
      <c r="G14" s="1069"/>
      <c r="H14" s="1069"/>
      <c r="I14" s="1068"/>
      <c r="J14" s="1068"/>
      <c r="K14" s="1070"/>
      <c r="L14" s="1070"/>
      <c r="M14" s="1070"/>
      <c r="N14" s="1070"/>
      <c r="O14" s="1070"/>
      <c r="P14" s="1070"/>
      <c r="Q14" s="1070"/>
      <c r="R14" s="1070"/>
      <c r="S14" s="1070"/>
      <c r="T14" s="1070"/>
      <c r="U14" s="1070"/>
      <c r="V14" s="1070"/>
      <c r="W14" s="1070"/>
      <c r="X14" s="1070"/>
      <c r="Y14" s="1070"/>
      <c r="Z14" s="1070"/>
      <c r="AA14" s="1070"/>
      <c r="AB14" s="1070"/>
      <c r="AC14" s="1070"/>
      <c r="AD14" s="1070"/>
      <c r="AE14" s="1070"/>
      <c r="AF14" s="1070"/>
      <c r="AG14" s="1070"/>
      <c r="AH14" s="1070"/>
      <c r="AI14" s="1070"/>
      <c r="AJ14" s="1070"/>
      <c r="AK14" s="1070"/>
      <c r="AL14" s="1070"/>
      <c r="AM14" s="1070"/>
      <c r="AN14" s="1070"/>
      <c r="AO14" s="1070"/>
      <c r="AP14" s="1070"/>
      <c r="AQ14" s="1070"/>
      <c r="AR14" s="1070"/>
      <c r="AS14" s="1070"/>
      <c r="AT14" s="1070"/>
      <c r="AU14" s="1070"/>
      <c r="AV14" s="1070"/>
      <c r="AW14" s="1070"/>
      <c r="AX14" s="1070"/>
    </row>
    <row r="15" spans="1:50" ht="15" customHeight="1">
      <c r="A15" s="325"/>
      <c r="B15" s="676" t="str">
        <f>Translate!$E$24</f>
        <v>Bonus</v>
      </c>
      <c r="C15" s="342"/>
      <c r="D15" s="1071"/>
      <c r="E15" s="1072"/>
      <c r="F15" s="601"/>
      <c r="G15" s="1073"/>
      <c r="H15" s="1073"/>
      <c r="I15" s="1072"/>
      <c r="J15" s="1072"/>
      <c r="K15" s="1074"/>
      <c r="L15" s="1074"/>
      <c r="M15" s="1074"/>
      <c r="N15" s="1074"/>
      <c r="O15" s="1074"/>
      <c r="P15" s="1074"/>
      <c r="Q15" s="1074"/>
      <c r="R15" s="1074"/>
      <c r="S15" s="1074"/>
      <c r="T15" s="1074"/>
      <c r="U15" s="1074"/>
      <c r="V15" s="1074"/>
      <c r="W15" s="1074"/>
      <c r="X15" s="1074"/>
      <c r="Y15" s="1074"/>
      <c r="Z15" s="1074"/>
      <c r="AA15" s="1074"/>
      <c r="AB15" s="1074"/>
      <c r="AC15" s="1074"/>
      <c r="AD15" s="1074"/>
      <c r="AE15" s="1074"/>
      <c r="AF15" s="1074"/>
      <c r="AG15" s="1074"/>
      <c r="AH15" s="1074"/>
      <c r="AI15" s="1074"/>
      <c r="AJ15" s="1074"/>
      <c r="AK15" s="1074"/>
      <c r="AL15" s="1074"/>
      <c r="AM15" s="1074"/>
      <c r="AN15" s="1074"/>
      <c r="AO15" s="1074"/>
      <c r="AP15" s="1074"/>
      <c r="AQ15" s="1074"/>
      <c r="AR15" s="1074"/>
      <c r="AS15" s="1074"/>
      <c r="AT15" s="1074"/>
      <c r="AU15" s="1074"/>
      <c r="AV15" s="1074"/>
      <c r="AW15" s="1074"/>
      <c r="AX15" s="1074"/>
    </row>
    <row r="16" spans="1:50" s="343" customFormat="1" ht="15" customHeight="1">
      <c r="A16" s="504"/>
      <c r="B16" s="677"/>
      <c r="C16" s="505"/>
      <c r="D16" s="1075"/>
      <c r="E16" s="1060" t="str">
        <f>Translate!$E$126</f>
        <v>Signature bonus (first period of activity)</v>
      </c>
      <c r="F16" s="646">
        <f xml:space="preserve"> INDEX(K16:AX16,$F$13)</f>
        <v>0</v>
      </c>
      <c r="G16" s="1076" t="str">
        <f xml:space="preserve"> Translate!E$10</f>
        <v>US$ mn</v>
      </c>
      <c r="H16" s="1073" t="str">
        <f>Translate!$E$281</f>
        <v>incurred in period of first project activity</v>
      </c>
      <c r="I16" s="1072"/>
      <c r="J16" s="1072"/>
      <c r="K16" s="1004">
        <v>0</v>
      </c>
      <c r="L16" s="1004">
        <v>0</v>
      </c>
      <c r="M16" s="1004">
        <v>0</v>
      </c>
      <c r="N16" s="1004">
        <v>0</v>
      </c>
      <c r="O16" s="1004">
        <v>0</v>
      </c>
      <c r="P16" s="1004"/>
      <c r="Q16" s="1004"/>
      <c r="R16" s="1004"/>
      <c r="S16" s="1004"/>
      <c r="T16" s="1004"/>
      <c r="U16" s="1004"/>
      <c r="V16" s="1004"/>
      <c r="W16" s="1004"/>
      <c r="X16" s="1004"/>
      <c r="Y16" s="1004"/>
      <c r="Z16" s="1004"/>
      <c r="AA16" s="1004"/>
      <c r="AB16" s="1004"/>
      <c r="AC16" s="1004"/>
      <c r="AD16" s="1004"/>
      <c r="AE16" s="1004"/>
      <c r="AF16" s="1004"/>
      <c r="AG16" s="1004"/>
      <c r="AH16" s="1004"/>
      <c r="AI16" s="1004"/>
      <c r="AJ16" s="1004"/>
      <c r="AK16" s="1004"/>
      <c r="AL16" s="1004"/>
      <c r="AM16" s="1004"/>
      <c r="AN16" s="1004"/>
      <c r="AO16" s="1004"/>
      <c r="AP16" s="1004"/>
      <c r="AQ16" s="1004"/>
      <c r="AR16" s="1004"/>
      <c r="AS16" s="1004"/>
      <c r="AT16" s="1004"/>
      <c r="AU16" s="1004"/>
      <c r="AV16" s="1004"/>
      <c r="AW16" s="1004"/>
      <c r="AX16" s="1004"/>
    </row>
    <row r="17" spans="1:50" s="336" customFormat="1" ht="15" customHeight="1">
      <c r="A17" s="348"/>
      <c r="B17" s="676"/>
      <c r="C17" s="342"/>
      <c r="D17" s="1071"/>
      <c r="E17" s="1024" t="str">
        <f>Translate!$E$127</f>
        <v>Bonuses tax deductible</v>
      </c>
      <c r="F17" s="398">
        <f xml:space="preserve"> INDEX(K17:AX17,$F$13)</f>
        <v>0</v>
      </c>
      <c r="G17" s="1058" t="str">
        <f>Translate!$E$351</f>
        <v>Option</v>
      </c>
      <c r="H17" s="1058" t="str">
        <f>Translate!$E$282</f>
        <v>depreciated for CIT if deductible, expensed for RRT if deductible; 0 = non-deductible</v>
      </c>
      <c r="I17" s="861" cm="1">
        <f t="array" ref="I17">MAX(0,IFERROR(MIN( 0, IF(K17:AX17&lt;&gt;"",MATCH(K17:AX17,Inputs!$F$81:$F$82,0),0) ),1))</f>
        <v>0</v>
      </c>
      <c r="J17" s="1044"/>
      <c r="K17" s="491"/>
      <c r="L17" s="491"/>
      <c r="M17" s="491"/>
      <c r="N17" s="491"/>
      <c r="O17" s="491"/>
      <c r="P17" s="551"/>
      <c r="Q17" s="491"/>
      <c r="R17" s="491"/>
      <c r="S17" s="491"/>
      <c r="T17" s="491"/>
      <c r="U17" s="551"/>
      <c r="V17" s="551"/>
      <c r="W17" s="551"/>
      <c r="X17" s="491"/>
      <c r="Y17" s="491"/>
      <c r="Z17" s="491"/>
      <c r="AA17" s="491"/>
      <c r="AB17" s="491"/>
      <c r="AC17" s="491"/>
      <c r="AD17" s="491"/>
      <c r="AE17" s="491"/>
      <c r="AF17" s="491"/>
      <c r="AG17" s="491"/>
      <c r="AH17" s="491"/>
      <c r="AI17" s="491"/>
      <c r="AJ17" s="491"/>
      <c r="AK17" s="491"/>
      <c r="AL17" s="491"/>
      <c r="AM17" s="491"/>
      <c r="AN17" s="491"/>
      <c r="AO17" s="491"/>
      <c r="AP17" s="491"/>
      <c r="AQ17" s="491"/>
      <c r="AR17" s="491"/>
      <c r="AS17" s="491"/>
      <c r="AT17" s="491"/>
      <c r="AU17" s="491"/>
      <c r="AV17" s="491"/>
      <c r="AW17" s="491"/>
      <c r="AX17" s="491"/>
    </row>
    <row r="18" spans="1:50" ht="15" customHeight="1">
      <c r="A18" s="325"/>
      <c r="B18" s="676" t="str">
        <f>Translate!$E$25</f>
        <v>Royalty</v>
      </c>
      <c r="C18" s="342"/>
      <c r="D18" s="1071"/>
      <c r="E18" s="1041"/>
      <c r="F18" s="1077"/>
      <c r="G18" s="1049"/>
      <c r="H18" s="1049"/>
      <c r="I18" s="1054"/>
      <c r="J18" s="1054"/>
      <c r="K18" s="1005"/>
      <c r="L18" s="1005"/>
      <c r="M18" s="1005"/>
      <c r="N18" s="1005"/>
      <c r="O18" s="1005"/>
      <c r="P18" s="1005"/>
      <c r="Q18" s="1005"/>
      <c r="R18" s="1005"/>
      <c r="S18" s="1005"/>
      <c r="T18" s="1005"/>
      <c r="U18" s="1005"/>
      <c r="V18" s="1005"/>
      <c r="W18" s="1005"/>
      <c r="X18" s="1005"/>
      <c r="Y18" s="1005"/>
      <c r="Z18" s="1005"/>
      <c r="AA18" s="1005"/>
      <c r="AB18" s="1005"/>
      <c r="AC18" s="1005"/>
      <c r="AD18" s="1005"/>
      <c r="AE18" s="1005"/>
      <c r="AF18" s="1005"/>
      <c r="AG18" s="1005"/>
      <c r="AH18" s="1005"/>
      <c r="AI18" s="1005"/>
      <c r="AJ18" s="1005"/>
      <c r="AK18" s="1005"/>
      <c r="AL18" s="1005"/>
      <c r="AM18" s="1005"/>
      <c r="AN18" s="1005"/>
      <c r="AO18" s="1005"/>
      <c r="AP18" s="1005"/>
      <c r="AQ18" s="1005"/>
      <c r="AR18" s="1005"/>
      <c r="AS18" s="1005"/>
      <c r="AT18" s="1005"/>
      <c r="AU18" s="1005"/>
      <c r="AV18" s="1005"/>
      <c r="AW18" s="1005"/>
      <c r="AX18" s="1005"/>
    </row>
    <row r="19" spans="1:50" s="343" customFormat="1" ht="15" customHeight="1">
      <c r="A19" s="504"/>
      <c r="B19" s="677"/>
      <c r="C19" s="505"/>
      <c r="D19" s="1075"/>
      <c r="E19" s="1060" t="str">
        <f>Translate!$E$128</f>
        <v>Royalty rate: flat</v>
      </c>
      <c r="F19" s="715" cm="1">
        <f t="array" ref="F19" xml:space="preserve"> INDEX(K19:AX19,$F$13)</f>
        <v>0.05</v>
      </c>
      <c r="G19" s="1076" t="s">
        <v>29</v>
      </c>
      <c r="H19" s="1076" t="str">
        <f>Translate!$E$283</f>
        <v>ad-valorem royalty</v>
      </c>
      <c r="I19" s="1072"/>
      <c r="J19" s="1072"/>
      <c r="K19" s="716">
        <v>0.05</v>
      </c>
      <c r="L19" s="716">
        <v>0.09</v>
      </c>
      <c r="M19" s="716">
        <v>0.02</v>
      </c>
      <c r="N19" s="716">
        <v>0.05</v>
      </c>
      <c r="O19" s="716">
        <v>0.05</v>
      </c>
      <c r="P19" s="716"/>
      <c r="Q19" s="716"/>
      <c r="R19" s="716"/>
      <c r="S19" s="716"/>
      <c r="T19" s="716"/>
      <c r="U19" s="716"/>
      <c r="V19" s="716"/>
      <c r="W19" s="716"/>
      <c r="X19" s="716"/>
      <c r="Y19" s="716"/>
      <c r="Z19" s="716"/>
      <c r="AA19" s="716"/>
      <c r="AB19" s="716"/>
      <c r="AC19" s="716"/>
      <c r="AD19" s="716"/>
      <c r="AE19" s="716"/>
      <c r="AF19" s="716"/>
      <c r="AG19" s="716"/>
      <c r="AH19" s="716"/>
      <c r="AI19" s="716"/>
      <c r="AJ19" s="716"/>
      <c r="AK19" s="716"/>
      <c r="AL19" s="716"/>
      <c r="AM19" s="716"/>
      <c r="AN19" s="716"/>
      <c r="AO19" s="716"/>
      <c r="AP19" s="716"/>
      <c r="AQ19" s="716"/>
      <c r="AR19" s="716"/>
      <c r="AS19" s="716"/>
      <c r="AT19" s="716"/>
      <c r="AU19" s="716"/>
      <c r="AV19" s="716"/>
      <c r="AW19" s="716"/>
      <c r="AX19" s="716"/>
    </row>
    <row r="20" spans="1:50" s="336" customFormat="1" ht="15" customHeight="1">
      <c r="A20" s="348"/>
      <c r="B20" s="676"/>
      <c r="C20" s="342"/>
      <c r="D20" s="1071"/>
      <c r="E20" s="1024" t="str">
        <f>Translate!$E$129</f>
        <v>Additional royalty rate above price threshold</v>
      </c>
      <c r="F20" s="647" cm="1">
        <f t="array" ref="F20" xml:space="preserve"> INDEX(K20:AX20,$F$13)</f>
        <v>0</v>
      </c>
      <c r="G20" s="1058" t="s">
        <v>29</v>
      </c>
      <c r="H20" s="1058" t="str">
        <f>Translate!$E$284</f>
        <v>applies in addition to any flat royalty</v>
      </c>
      <c r="I20" s="1044"/>
      <c r="J20" s="1044"/>
      <c r="K20" s="490"/>
      <c r="L20" s="490"/>
      <c r="M20" s="490"/>
      <c r="N20" s="490"/>
      <c r="O20" s="490"/>
      <c r="P20" s="490"/>
      <c r="Q20" s="490"/>
      <c r="R20" s="490"/>
      <c r="S20" s="490"/>
      <c r="T20" s="490"/>
      <c r="U20" s="490"/>
      <c r="V20" s="490"/>
      <c r="W20" s="490"/>
      <c r="X20" s="490"/>
      <c r="Y20" s="490"/>
      <c r="Z20" s="490"/>
      <c r="AA20" s="490"/>
      <c r="AB20" s="490"/>
      <c r="AC20" s="490"/>
      <c r="AD20" s="490"/>
      <c r="AE20" s="490"/>
      <c r="AF20" s="490"/>
      <c r="AG20" s="490"/>
      <c r="AH20" s="490"/>
      <c r="AI20" s="490"/>
      <c r="AJ20" s="490"/>
      <c r="AK20" s="490"/>
      <c r="AL20" s="490"/>
      <c r="AM20" s="490"/>
      <c r="AN20" s="490"/>
      <c r="AO20" s="490"/>
      <c r="AP20" s="490"/>
      <c r="AQ20" s="490"/>
      <c r="AR20" s="490"/>
      <c r="AS20" s="490"/>
      <c r="AT20" s="490"/>
      <c r="AU20" s="490"/>
      <c r="AV20" s="490"/>
      <c r="AW20" s="490"/>
      <c r="AX20" s="490"/>
    </row>
    <row r="21" spans="1:50" s="336" customFormat="1" ht="15" customHeight="1">
      <c r="A21" s="518"/>
      <c r="B21" s="678"/>
      <c r="C21" s="498"/>
      <c r="D21" s="1044"/>
      <c r="E21" s="1024" t="str">
        <f>Translate!$E$130</f>
        <v>Threshold for price royalty (0 = no price royalty)</v>
      </c>
      <c r="F21" s="398" cm="1">
        <f t="array" ref="F21" xml:space="preserve"> INDEX(K21:AX21,$F$13)</f>
        <v>0</v>
      </c>
      <c r="G21" s="366" t="str">
        <f ca="1" xml:space="preserve"> Dashboard!D$17</f>
        <v>US$ 2021 / ounce</v>
      </c>
      <c r="H21" s="1024"/>
      <c r="I21" s="1044"/>
      <c r="J21" s="1044"/>
      <c r="K21" s="529"/>
      <c r="L21" s="529"/>
      <c r="M21" s="529"/>
      <c r="N21" s="529"/>
      <c r="O21" s="529"/>
      <c r="P21" s="529"/>
      <c r="Q21" s="529"/>
      <c r="R21" s="529"/>
      <c r="S21" s="529"/>
      <c r="T21" s="529"/>
      <c r="U21" s="529"/>
      <c r="V21" s="529"/>
      <c r="W21" s="529"/>
      <c r="X21" s="529"/>
      <c r="Y21" s="529"/>
      <c r="Z21" s="529"/>
      <c r="AA21" s="529"/>
      <c r="AB21" s="529"/>
      <c r="AC21" s="529"/>
      <c r="AD21" s="529"/>
      <c r="AE21" s="529"/>
      <c r="AF21" s="529"/>
      <c r="AG21" s="529"/>
      <c r="AH21" s="529"/>
      <c r="AI21" s="529"/>
      <c r="AJ21" s="529"/>
      <c r="AK21" s="529"/>
      <c r="AL21" s="529"/>
      <c r="AM21" s="529"/>
      <c r="AN21" s="529"/>
      <c r="AO21" s="529"/>
      <c r="AP21" s="529"/>
      <c r="AQ21" s="529"/>
      <c r="AR21" s="529"/>
      <c r="AS21" s="529"/>
      <c r="AT21" s="529"/>
      <c r="AU21" s="529"/>
      <c r="AV21" s="529"/>
      <c r="AW21" s="529"/>
      <c r="AX21" s="529"/>
    </row>
    <row r="22" spans="1:50" s="336" customFormat="1" ht="15" customHeight="1">
      <c r="A22" s="518"/>
      <c r="B22" s="678"/>
      <c r="C22" s="498"/>
      <c r="D22" s="1044"/>
      <c r="E22" s="1024" t="str">
        <f>Translate!$E$131</f>
        <v>Price threshold inflation indexed</v>
      </c>
      <c r="F22" s="647" cm="1">
        <f t="array" ref="F22" xml:space="preserve"> INDEX(K22:AX22,$F$13)</f>
        <v>0</v>
      </c>
      <c r="G22" s="432" t="str">
        <f>Translate!$E$351</f>
        <v>Option</v>
      </c>
      <c r="H22" s="1024" t="str">
        <f>Translate!$E$285</f>
        <v>yes or no</v>
      </c>
      <c r="I22" s="861" cm="1">
        <f t="array" ref="I22">MAX(0,IFERROR(MIN( 0, IF(K22:AX22&lt;&gt;"",MATCH(K22:AX22,Inputs!$F$81:$F$82,0),0) ),1))</f>
        <v>0</v>
      </c>
      <c r="J22" s="1044"/>
      <c r="K22" s="491"/>
      <c r="L22" s="491"/>
      <c r="M22" s="491"/>
      <c r="N22" s="491"/>
      <c r="O22" s="491"/>
      <c r="P22" s="491"/>
      <c r="Q22" s="491"/>
      <c r="R22" s="491"/>
      <c r="S22" s="491"/>
      <c r="T22" s="491"/>
      <c r="U22" s="491"/>
      <c r="V22" s="491"/>
      <c r="W22" s="491"/>
      <c r="X22" s="491"/>
      <c r="Y22" s="491"/>
      <c r="Z22" s="491"/>
      <c r="AA22" s="491"/>
      <c r="AB22" s="491"/>
      <c r="AC22" s="491"/>
      <c r="AD22" s="491"/>
      <c r="AE22" s="491"/>
      <c r="AF22" s="491"/>
      <c r="AG22" s="491"/>
      <c r="AH22" s="491"/>
      <c r="AI22" s="491"/>
      <c r="AJ22" s="491"/>
      <c r="AK22" s="491"/>
      <c r="AL22" s="491"/>
      <c r="AM22" s="491"/>
      <c r="AN22" s="491"/>
      <c r="AO22" s="491"/>
      <c r="AP22" s="491"/>
      <c r="AQ22" s="491"/>
      <c r="AR22" s="491"/>
      <c r="AS22" s="491"/>
      <c r="AT22" s="491"/>
      <c r="AU22" s="491"/>
      <c r="AV22" s="491"/>
      <c r="AW22" s="491"/>
      <c r="AX22" s="491"/>
    </row>
    <row r="23" spans="1:50" ht="15" customHeight="1">
      <c r="A23" s="325"/>
      <c r="B23" s="676"/>
      <c r="C23" s="342"/>
      <c r="D23" s="1071"/>
      <c r="E23" s="1024" t="str">
        <f>Translate!$E$132</f>
        <v xml:space="preserve">Royalty base (gross or net revenues) </v>
      </c>
      <c r="F23" s="647" t="str" cm="1">
        <f t="array" ref="F23" xml:space="preserve"> INDEX(K23:AX23,$F$13)</f>
        <v>net</v>
      </c>
      <c r="G23" s="1058" t="str">
        <f>Translate!$E$351</f>
        <v>Option</v>
      </c>
      <c r="H23" s="1058" t="str">
        <f>Translate!$E$286</f>
        <v>net = revenues minus downstream costs</v>
      </c>
      <c r="I23" s="862" cm="1">
        <f t="array" ref="I23">MAX(0,IFERROR(MIN( 0, IF(K23:AX23&lt;&gt;"",MATCH(K23:AX23,$F$145:$F$146,0),0) ),1))</f>
        <v>0</v>
      </c>
      <c r="J23" s="1044"/>
      <c r="K23" s="490" t="s">
        <v>41</v>
      </c>
      <c r="L23" s="490" t="s">
        <v>41</v>
      </c>
      <c r="M23" s="490" t="s">
        <v>41</v>
      </c>
      <c r="N23" s="490" t="s">
        <v>41</v>
      </c>
      <c r="O23" s="490" t="s">
        <v>41</v>
      </c>
      <c r="P23" s="490"/>
      <c r="Q23" s="490"/>
      <c r="R23" s="490"/>
      <c r="S23" s="490"/>
      <c r="T23" s="490"/>
      <c r="U23" s="490"/>
      <c r="V23" s="490"/>
      <c r="W23" s="490"/>
      <c r="X23" s="490"/>
      <c r="Y23" s="490"/>
      <c r="Z23" s="490"/>
      <c r="AA23" s="490"/>
      <c r="AB23" s="490"/>
      <c r="AC23" s="490"/>
      <c r="AD23" s="490"/>
      <c r="AE23" s="490"/>
      <c r="AF23" s="490"/>
      <c r="AG23" s="490"/>
      <c r="AH23" s="490"/>
      <c r="AI23" s="490"/>
      <c r="AJ23" s="490"/>
      <c r="AK23" s="490"/>
      <c r="AL23" s="490"/>
      <c r="AM23" s="490"/>
      <c r="AN23" s="490"/>
      <c r="AO23" s="490"/>
      <c r="AP23" s="490"/>
      <c r="AQ23" s="490"/>
      <c r="AR23" s="490"/>
      <c r="AS23" s="490"/>
      <c r="AT23" s="490"/>
      <c r="AU23" s="490"/>
      <c r="AV23" s="490"/>
      <c r="AW23" s="490"/>
      <c r="AX23" s="490"/>
    </row>
    <row r="24" spans="1:50" s="336" customFormat="1" ht="15" customHeight="1">
      <c r="A24" s="348"/>
      <c r="B24" s="676"/>
      <c r="C24" s="342"/>
      <c r="D24" s="1071"/>
      <c r="E24" s="1024" t="str">
        <f>Translate!$E$133</f>
        <v>Royalty is CIT and RRT deductible</v>
      </c>
      <c r="F24" s="647" t="str" cm="1">
        <f t="array" ref="F24" xml:space="preserve"> INDEX(K24:AX24,$F$13)</f>
        <v>yes</v>
      </c>
      <c r="G24" s="1058" t="str">
        <f>Translate!$E$351</f>
        <v>Option</v>
      </c>
      <c r="H24" s="1058"/>
      <c r="I24" s="861" cm="1">
        <f t="array" ref="I24">MAX(0,IFERROR(MIN( 0, IF(K24:AX24&lt;&gt;"",MATCH(K24:AX24,Inputs!$F$81:$F$82,0),0) ),1))</f>
        <v>0</v>
      </c>
      <c r="J24" s="1044"/>
      <c r="K24" s="491" t="s">
        <v>34</v>
      </c>
      <c r="L24" s="491" t="s">
        <v>34</v>
      </c>
      <c r="M24" s="491" t="s">
        <v>34</v>
      </c>
      <c r="N24" s="491" t="s">
        <v>34</v>
      </c>
      <c r="O24" s="491" t="s">
        <v>34</v>
      </c>
      <c r="P24" s="491"/>
      <c r="Q24" s="491"/>
      <c r="R24" s="491"/>
      <c r="S24" s="491"/>
      <c r="T24" s="491"/>
      <c r="U24" s="491"/>
      <c r="V24" s="491"/>
      <c r="W24" s="491"/>
      <c r="X24" s="491"/>
      <c r="Y24" s="490"/>
      <c r="Z24" s="490"/>
      <c r="AA24" s="490"/>
      <c r="AB24" s="490"/>
      <c r="AC24" s="490"/>
      <c r="AD24" s="490"/>
      <c r="AE24" s="490"/>
      <c r="AF24" s="490"/>
      <c r="AG24" s="490"/>
      <c r="AH24" s="490"/>
      <c r="AI24" s="490"/>
      <c r="AJ24" s="490"/>
      <c r="AK24" s="490"/>
      <c r="AL24" s="490"/>
      <c r="AM24" s="490"/>
      <c r="AN24" s="490"/>
      <c r="AO24" s="490"/>
      <c r="AP24" s="490"/>
      <c r="AQ24" s="490"/>
      <c r="AR24" s="490"/>
      <c r="AS24" s="490"/>
      <c r="AT24" s="490"/>
      <c r="AU24" s="490"/>
      <c r="AV24" s="490"/>
      <c r="AW24" s="490"/>
      <c r="AX24" s="490"/>
    </row>
    <row r="25" spans="1:50" ht="15" customHeight="1">
      <c r="A25" s="325"/>
      <c r="B25" s="676" t="str">
        <f>Translate!$E$26</f>
        <v>Carbon tax</v>
      </c>
      <c r="C25" s="342"/>
      <c r="D25" s="1071"/>
      <c r="E25" s="1041"/>
      <c r="F25" s="1077"/>
      <c r="G25" s="1049"/>
      <c r="H25" s="1049"/>
      <c r="I25" s="1054"/>
      <c r="J25" s="1054"/>
      <c r="K25" s="1005"/>
      <c r="L25" s="1005"/>
      <c r="M25" s="1005"/>
      <c r="N25" s="1005"/>
      <c r="O25" s="1005"/>
      <c r="P25" s="1005"/>
      <c r="Q25" s="1005"/>
      <c r="R25" s="1005"/>
      <c r="S25" s="1005"/>
      <c r="T25" s="1005"/>
      <c r="U25" s="1005"/>
      <c r="V25" s="1005"/>
      <c r="W25" s="1005"/>
      <c r="X25" s="1005"/>
      <c r="Y25" s="1005"/>
      <c r="Z25" s="1005"/>
      <c r="AA25" s="1005"/>
      <c r="AB25" s="1005"/>
      <c r="AC25" s="1005"/>
      <c r="AD25" s="1005"/>
      <c r="AE25" s="1005"/>
      <c r="AF25" s="1005"/>
      <c r="AG25" s="1005"/>
      <c r="AH25" s="1005"/>
      <c r="AI25" s="1005"/>
      <c r="AJ25" s="1005"/>
      <c r="AK25" s="1005"/>
      <c r="AL25" s="1005"/>
      <c r="AM25" s="1005"/>
      <c r="AN25" s="1005"/>
      <c r="AO25" s="1005"/>
      <c r="AP25" s="1005"/>
      <c r="AQ25" s="1005"/>
      <c r="AR25" s="1005"/>
      <c r="AS25" s="1005"/>
      <c r="AT25" s="1005"/>
      <c r="AU25" s="1005"/>
      <c r="AV25" s="1005"/>
      <c r="AW25" s="1005"/>
      <c r="AX25" s="1005"/>
    </row>
    <row r="26" spans="1:50" s="343" customFormat="1" ht="15" customHeight="1">
      <c r="A26" s="504"/>
      <c r="B26" s="677"/>
      <c r="C26" s="505"/>
      <c r="D26" s="1075"/>
      <c r="E26" s="1060" t="str">
        <f>Translate!$E$134</f>
        <v>Tax per ton of CO2 eq emitted in start year</v>
      </c>
      <c r="F26" s="646" cm="1">
        <f t="array" ref="F26" xml:space="preserve"> INDEX(K26:AX26,$F$13)</f>
        <v>20</v>
      </c>
      <c r="G26" s="1076" t="str">
        <f xml:space="preserve"> Translate!E$730</f>
        <v>US$ / t CO2 eq</v>
      </c>
      <c r="H26" s="1073"/>
      <c r="I26" s="1072"/>
      <c r="J26" s="1072"/>
      <c r="K26" s="1004">
        <v>20</v>
      </c>
      <c r="L26" s="1004">
        <v>20</v>
      </c>
      <c r="M26" s="1004">
        <v>20</v>
      </c>
      <c r="N26" s="1004">
        <v>20</v>
      </c>
      <c r="O26" s="1004">
        <v>20</v>
      </c>
      <c r="P26" s="1004"/>
      <c r="Q26" s="1004"/>
      <c r="R26" s="1004"/>
      <c r="S26" s="1004"/>
      <c r="T26" s="1004"/>
      <c r="U26" s="1004"/>
      <c r="V26" s="1004"/>
      <c r="W26" s="1004"/>
      <c r="X26" s="1004"/>
      <c r="Y26" s="1004"/>
      <c r="Z26" s="1004"/>
      <c r="AA26" s="1004"/>
      <c r="AB26" s="1004"/>
      <c r="AC26" s="1004"/>
      <c r="AD26" s="1004"/>
      <c r="AE26" s="1004"/>
      <c r="AF26" s="1004"/>
      <c r="AG26" s="1004"/>
      <c r="AH26" s="1004"/>
      <c r="AI26" s="1004"/>
      <c r="AJ26" s="1004"/>
      <c r="AK26" s="1004"/>
      <c r="AL26" s="1004"/>
      <c r="AM26" s="1004"/>
      <c r="AN26" s="1004"/>
      <c r="AO26" s="1004"/>
      <c r="AP26" s="1004"/>
      <c r="AQ26" s="1004"/>
      <c r="AR26" s="1004"/>
      <c r="AS26" s="1004"/>
      <c r="AT26" s="1004"/>
      <c r="AU26" s="1004"/>
      <c r="AV26" s="1004"/>
      <c r="AW26" s="1004"/>
      <c r="AX26" s="1004"/>
    </row>
    <row r="27" spans="1:50" s="7" customFormat="1" ht="15" customHeight="1">
      <c r="A27" s="719"/>
      <c r="B27" s="720"/>
      <c r="C27" s="721"/>
      <c r="E27" s="45" t="str">
        <f>Translate!$E$135</f>
        <v>Start year of carbon tax (0=from beginning)</v>
      </c>
      <c r="F27" s="722" cm="1">
        <f t="array" ref="F27" xml:space="preserve"> INDEX(K27:AX27,$F$13)</f>
        <v>0</v>
      </c>
      <c r="G27" s="456" t="str">
        <f xml:space="preserve"> Translate!E$361</f>
        <v>Calendar year</v>
      </c>
      <c r="H27" s="1078"/>
      <c r="K27" s="723">
        <v>0</v>
      </c>
      <c r="L27" s="723">
        <v>0</v>
      </c>
      <c r="M27" s="723">
        <v>0</v>
      </c>
      <c r="N27" s="723">
        <v>0</v>
      </c>
      <c r="O27" s="723">
        <v>0</v>
      </c>
      <c r="P27" s="723"/>
      <c r="Q27" s="723"/>
      <c r="R27" s="723"/>
      <c r="S27" s="723"/>
      <c r="T27" s="723"/>
      <c r="U27" s="723"/>
      <c r="V27" s="723"/>
      <c r="W27" s="723"/>
      <c r="X27" s="723"/>
      <c r="Y27" s="723"/>
      <c r="Z27" s="723"/>
      <c r="AA27" s="723"/>
      <c r="AB27" s="723"/>
      <c r="AC27" s="723"/>
      <c r="AD27" s="723"/>
      <c r="AE27" s="723"/>
      <c r="AF27" s="723"/>
      <c r="AG27" s="723"/>
      <c r="AH27" s="723"/>
      <c r="AI27" s="723"/>
      <c r="AJ27" s="723"/>
      <c r="AK27" s="723"/>
      <c r="AL27" s="723"/>
      <c r="AM27" s="723"/>
      <c r="AN27" s="723"/>
      <c r="AO27" s="723"/>
      <c r="AP27" s="723"/>
      <c r="AQ27" s="723"/>
      <c r="AR27" s="723"/>
      <c r="AS27" s="723"/>
      <c r="AT27" s="723"/>
      <c r="AU27" s="723"/>
      <c r="AV27" s="723"/>
      <c r="AW27" s="723"/>
      <c r="AX27" s="723"/>
    </row>
    <row r="28" spans="1:50" s="7" customFormat="1" ht="15" customHeight="1">
      <c r="A28" s="719"/>
      <c r="B28" s="720"/>
      <c r="C28" s="721"/>
      <c r="E28" s="45" t="str">
        <f>Translate!$E$136</f>
        <v>Carbon tax in real or nominal terms</v>
      </c>
      <c r="F28" s="722" t="str" cm="1">
        <f t="array" ref="F28" xml:space="preserve"> INDEX(K28:AX28,$F$13)</f>
        <v>nominal</v>
      </c>
      <c r="G28" s="456" t="str">
        <f>Translate!$E$351</f>
        <v>Option</v>
      </c>
      <c r="H28" s="1078" t="str">
        <f>Translate!$E$287</f>
        <v>Real, nominal; assumed nominal if empty</v>
      </c>
      <c r="I28" s="861" cm="1">
        <f t="array" ref="I28">MAX(0,IFERROR(MIN( 0, IF(K28:AX28&lt;&gt;"",MATCH(K28:AX28,$F$198:$F$199,0),0) ),1))</f>
        <v>0</v>
      </c>
      <c r="K28" s="962" t="s">
        <v>42</v>
      </c>
      <c r="L28" s="962" t="s">
        <v>42</v>
      </c>
      <c r="M28" s="962" t="s">
        <v>42</v>
      </c>
      <c r="N28" s="962" t="s">
        <v>42</v>
      </c>
      <c r="O28" s="962" t="s">
        <v>42</v>
      </c>
      <c r="P28" s="962"/>
      <c r="Q28" s="962"/>
      <c r="R28" s="962"/>
      <c r="S28" s="962"/>
      <c r="T28" s="962"/>
      <c r="U28" s="962"/>
      <c r="V28" s="962"/>
      <c r="W28" s="962"/>
      <c r="X28" s="962"/>
      <c r="Y28" s="962"/>
      <c r="Z28" s="962"/>
      <c r="AA28" s="962"/>
      <c r="AB28" s="962"/>
      <c r="AC28" s="962"/>
      <c r="AD28" s="962"/>
      <c r="AE28" s="962"/>
      <c r="AF28" s="962"/>
      <c r="AG28" s="962"/>
      <c r="AH28" s="962"/>
      <c r="AI28" s="962"/>
      <c r="AJ28" s="962"/>
      <c r="AK28" s="962"/>
      <c r="AL28" s="962"/>
      <c r="AM28" s="962"/>
      <c r="AN28" s="962"/>
      <c r="AO28" s="962"/>
      <c r="AP28" s="962"/>
      <c r="AQ28" s="962"/>
      <c r="AR28" s="962"/>
      <c r="AS28" s="962"/>
      <c r="AT28" s="962"/>
      <c r="AU28" s="962"/>
      <c r="AV28" s="962"/>
      <c r="AW28" s="962"/>
      <c r="AX28" s="962"/>
    </row>
    <row r="29" spans="1:50" s="7" customFormat="1" ht="15" customHeight="1">
      <c r="A29" s="719"/>
      <c r="B29" s="720"/>
      <c r="C29" s="721"/>
      <c r="E29" s="45" t="str">
        <f>Translate!$E$137</f>
        <v>Method to change carbon tax over time</v>
      </c>
      <c r="F29" s="722" t="str" cm="1">
        <f t="array" ref="F29" xml:space="preserve"> INDEX(K29:AX29,$F$13)</f>
        <v>Percentage</v>
      </c>
      <c r="G29" s="456" t="str">
        <f>Translate!$E$351</f>
        <v>Option</v>
      </c>
      <c r="H29" s="1078" t="str">
        <f>Translate!$E$288</f>
        <v>Percentage, target year; assumed percentage if empty</v>
      </c>
      <c r="I29" s="861" cm="1">
        <f t="array" ref="I29">MAX(0,IFERROR(MIN( 0, IF(K29:AX29&lt;&gt;"",MATCH(K29:AX29,$F$237:$F$238,0),0) ),1))</f>
        <v>0</v>
      </c>
      <c r="K29" s="962" t="s">
        <v>43</v>
      </c>
      <c r="L29" s="962" t="s">
        <v>43</v>
      </c>
      <c r="M29" s="962" t="s">
        <v>43</v>
      </c>
      <c r="N29" s="962" t="s">
        <v>43</v>
      </c>
      <c r="O29" s="962" t="s">
        <v>43</v>
      </c>
      <c r="P29" s="962"/>
      <c r="Q29" s="962"/>
      <c r="R29" s="962"/>
      <c r="S29" s="962"/>
      <c r="T29" s="962"/>
      <c r="U29" s="962"/>
      <c r="V29" s="962"/>
      <c r="W29" s="962"/>
      <c r="X29" s="962"/>
      <c r="Y29" s="962"/>
      <c r="Z29" s="962"/>
      <c r="AA29" s="962"/>
      <c r="AB29" s="962"/>
      <c r="AC29" s="962"/>
      <c r="AD29" s="962"/>
      <c r="AE29" s="962"/>
      <c r="AF29" s="962"/>
      <c r="AG29" s="962"/>
      <c r="AH29" s="962"/>
      <c r="AI29" s="962"/>
      <c r="AJ29" s="962"/>
      <c r="AK29" s="962"/>
      <c r="AL29" s="962"/>
      <c r="AM29" s="962"/>
      <c r="AN29" s="962"/>
      <c r="AO29" s="962"/>
      <c r="AP29" s="962"/>
      <c r="AQ29" s="962"/>
      <c r="AR29" s="962"/>
      <c r="AS29" s="962"/>
      <c r="AT29" s="962"/>
      <c r="AU29" s="962"/>
      <c r="AV29" s="962"/>
      <c r="AW29" s="962"/>
      <c r="AX29" s="962"/>
    </row>
    <row r="30" spans="1:50" s="727" customFormat="1" ht="15" customHeight="1">
      <c r="A30" s="724"/>
      <c r="B30" s="725"/>
      <c r="C30" s="726"/>
      <c r="E30" s="196" t="str">
        <f>Translate!$E$138</f>
        <v>Percentage - annual increase above inflation</v>
      </c>
      <c r="F30" s="728" cm="1">
        <f t="array" ref="F30" xml:space="preserve"> INDEX(K30:AX30,$F$13)</f>
        <v>0</v>
      </c>
      <c r="G30" s="729" t="s">
        <v>29</v>
      </c>
      <c r="H30" s="1079" t="str">
        <f>Translate!$E$289</f>
        <v>0 if a constant tax level; percentage relative to carbon price in the first year</v>
      </c>
      <c r="K30" s="730"/>
      <c r="L30" s="730"/>
      <c r="M30" s="730"/>
      <c r="N30" s="730"/>
      <c r="O30" s="730"/>
      <c r="P30" s="730"/>
      <c r="Q30" s="730"/>
      <c r="R30" s="730"/>
      <c r="S30" s="730"/>
      <c r="T30" s="730"/>
      <c r="U30" s="730"/>
      <c r="V30" s="730"/>
      <c r="W30" s="730"/>
      <c r="X30" s="730"/>
      <c r="Y30" s="730"/>
      <c r="Z30" s="730"/>
      <c r="AA30" s="730"/>
      <c r="AB30" s="730"/>
      <c r="AC30" s="730"/>
      <c r="AD30" s="730"/>
      <c r="AE30" s="730"/>
      <c r="AF30" s="730"/>
      <c r="AG30" s="730"/>
      <c r="AH30" s="730"/>
      <c r="AI30" s="730"/>
      <c r="AJ30" s="730"/>
      <c r="AK30" s="730"/>
      <c r="AL30" s="730"/>
      <c r="AM30" s="730"/>
      <c r="AN30" s="730"/>
      <c r="AO30" s="730"/>
      <c r="AP30" s="730"/>
      <c r="AQ30" s="730"/>
      <c r="AR30" s="730"/>
      <c r="AS30" s="730"/>
      <c r="AT30" s="730"/>
      <c r="AU30" s="730"/>
      <c r="AV30" s="730"/>
      <c r="AW30" s="730"/>
      <c r="AX30" s="730"/>
    </row>
    <row r="31" spans="1:50" s="734" customFormat="1" ht="15" customHeight="1">
      <c r="A31" s="731"/>
      <c r="B31" s="732"/>
      <c r="C31" s="733"/>
      <c r="E31" s="312" t="str">
        <f>Translate!$E$139</f>
        <v>Target year - tax per CO2 eq emitted in future year</v>
      </c>
      <c r="F31" s="322" cm="1">
        <f t="array" ref="F31" xml:space="preserve"> INDEX(K31:AX31,$F$13)</f>
        <v>0</v>
      </c>
      <c r="G31" s="735" t="str">
        <f xml:space="preserve"> Translate!E$730</f>
        <v>US$ / t CO2 eq</v>
      </c>
      <c r="H31" s="1078"/>
      <c r="K31" s="736"/>
      <c r="L31" s="736"/>
      <c r="M31" s="736"/>
      <c r="N31" s="736"/>
      <c r="O31" s="736"/>
      <c r="P31" s="736"/>
      <c r="Q31" s="736"/>
      <c r="R31" s="736"/>
      <c r="S31" s="736"/>
      <c r="T31" s="736"/>
      <c r="U31" s="736"/>
      <c r="V31" s="736"/>
      <c r="W31" s="736"/>
      <c r="X31" s="736"/>
      <c r="Y31" s="736"/>
      <c r="Z31" s="736"/>
      <c r="AA31" s="736"/>
      <c r="AB31" s="736"/>
      <c r="AC31" s="736"/>
      <c r="AD31" s="736"/>
      <c r="AE31" s="736"/>
      <c r="AF31" s="736"/>
      <c r="AG31" s="736"/>
      <c r="AH31" s="736"/>
      <c r="AI31" s="736"/>
      <c r="AJ31" s="736"/>
      <c r="AK31" s="736"/>
      <c r="AL31" s="736"/>
      <c r="AM31" s="736"/>
      <c r="AN31" s="736"/>
      <c r="AO31" s="736"/>
      <c r="AP31" s="736"/>
      <c r="AQ31" s="736"/>
      <c r="AR31" s="736"/>
      <c r="AS31" s="736"/>
      <c r="AT31" s="736"/>
      <c r="AU31" s="736"/>
      <c r="AV31" s="736"/>
      <c r="AW31" s="736"/>
      <c r="AX31" s="736"/>
    </row>
    <row r="32" spans="1:50" s="734" customFormat="1" ht="15" customHeight="1">
      <c r="A32" s="731"/>
      <c r="B32" s="732"/>
      <c r="C32" s="733"/>
      <c r="E32" s="312" t="str">
        <f>Translate!$E$140</f>
        <v>Target year - year in which tax reaches target level</v>
      </c>
      <c r="F32" s="322" cm="1">
        <f t="array" ref="F32" xml:space="preserve"> INDEX(K32:AX32,$F$13)</f>
        <v>0</v>
      </c>
      <c r="G32" s="735" t="str">
        <f xml:space="preserve"> Translate!E$361</f>
        <v>Calendar year</v>
      </c>
      <c r="H32" s="1078"/>
      <c r="K32" s="736"/>
      <c r="L32" s="736"/>
      <c r="M32" s="736"/>
      <c r="N32" s="736"/>
      <c r="O32" s="736"/>
      <c r="P32" s="736"/>
      <c r="Q32" s="736"/>
      <c r="R32" s="736"/>
      <c r="S32" s="736"/>
      <c r="T32" s="736"/>
      <c r="U32" s="736"/>
      <c r="V32" s="736"/>
      <c r="W32" s="736"/>
      <c r="X32" s="736"/>
      <c r="Y32" s="736"/>
      <c r="Z32" s="736"/>
      <c r="AA32" s="736"/>
      <c r="AB32" s="736"/>
      <c r="AC32" s="736"/>
      <c r="AD32" s="736"/>
      <c r="AE32" s="736"/>
      <c r="AF32" s="736"/>
      <c r="AG32" s="736"/>
      <c r="AH32" s="736"/>
      <c r="AI32" s="736"/>
      <c r="AJ32" s="736"/>
      <c r="AK32" s="736"/>
      <c r="AL32" s="736"/>
      <c r="AM32" s="736"/>
      <c r="AN32" s="736"/>
      <c r="AO32" s="736"/>
      <c r="AP32" s="736"/>
      <c r="AQ32" s="736"/>
      <c r="AR32" s="736"/>
      <c r="AS32" s="736"/>
      <c r="AT32" s="736"/>
      <c r="AU32" s="736"/>
      <c r="AV32" s="736"/>
      <c r="AW32" s="736"/>
      <c r="AX32" s="736"/>
    </row>
    <row r="33" spans="1:50" s="573" customFormat="1" ht="15" customHeight="1">
      <c r="A33" s="571"/>
      <c r="B33" s="679"/>
      <c r="C33" s="572"/>
      <c r="D33" s="1080"/>
      <c r="E33" s="45" t="str">
        <f>Translate!$E$141</f>
        <v>Carbon tax imposed on scope 3 emissions levied on investor</v>
      </c>
      <c r="F33" s="648" t="str" cm="1">
        <f t="array" ref="F33" xml:space="preserve"> INDEX(K33:AX33,$F$13)</f>
        <v>yes</v>
      </c>
      <c r="G33" s="1078" t="str">
        <f>Translate!$E$351</f>
        <v>Option</v>
      </c>
      <c r="H33" s="1078" t="str">
        <f>Translate!$E$290</f>
        <v>no entry means not directly levied on investor</v>
      </c>
      <c r="I33" s="861" cm="1">
        <f t="array" ref="I33">MAX(0,IFERROR(MIN( 0, IF(K33:AX33&lt;&gt;"",MATCH(K33:AX33,Inputs!$F$81:$F$82,0),0) ),1))</f>
        <v>0</v>
      </c>
      <c r="J33" s="1080"/>
      <c r="K33" s="551" t="s">
        <v>34</v>
      </c>
      <c r="L33" s="551" t="s">
        <v>34</v>
      </c>
      <c r="M33" s="551" t="s">
        <v>34</v>
      </c>
      <c r="N33" s="551" t="s">
        <v>34</v>
      </c>
      <c r="O33" s="551" t="s">
        <v>34</v>
      </c>
      <c r="P33" s="551"/>
      <c r="Q33" s="551"/>
      <c r="R33" s="551"/>
      <c r="S33" s="551"/>
      <c r="T33" s="551"/>
      <c r="U33" s="551"/>
      <c r="V33" s="551"/>
      <c r="W33" s="551"/>
      <c r="X33" s="551"/>
      <c r="Y33" s="551"/>
      <c r="Z33" s="551"/>
      <c r="AA33" s="551"/>
      <c r="AB33" s="551"/>
      <c r="AC33" s="551"/>
      <c r="AD33" s="551"/>
      <c r="AE33" s="551"/>
      <c r="AF33" s="551"/>
      <c r="AG33" s="551"/>
      <c r="AH33" s="551"/>
      <c r="AI33" s="551"/>
      <c r="AJ33" s="551"/>
      <c r="AK33" s="551"/>
      <c r="AL33" s="551"/>
      <c r="AM33" s="551"/>
      <c r="AN33" s="551"/>
      <c r="AO33" s="551"/>
      <c r="AP33" s="551"/>
      <c r="AQ33" s="551"/>
      <c r="AR33" s="551"/>
      <c r="AS33" s="551"/>
      <c r="AT33" s="551"/>
      <c r="AU33" s="551"/>
      <c r="AV33" s="551"/>
      <c r="AW33" s="551"/>
      <c r="AX33" s="551"/>
    </row>
    <row r="34" spans="1:50" s="573" customFormat="1" ht="15" customHeight="1">
      <c r="A34" s="571"/>
      <c r="B34" s="679"/>
      <c r="C34" s="572"/>
      <c r="D34" s="1080"/>
      <c r="E34" s="1078" t="str">
        <f>Translate!$E$142</f>
        <v>Carbon tax is CIT and RRT deductible</v>
      </c>
      <c r="F34" s="648" t="str" cm="1">
        <f t="array" ref="F34" xml:space="preserve"> INDEX(K34:AX34,$F$13)</f>
        <v>yes</v>
      </c>
      <c r="G34" s="1078" t="str">
        <f>Translate!$E$351</f>
        <v>Option</v>
      </c>
      <c r="H34" s="1078" t="str">
        <f>Translate!$E$291</f>
        <v>no entry means not deductible for CIT and RRT</v>
      </c>
      <c r="I34" s="861" cm="1">
        <f t="array" ref="I34">MAX(0,IFERROR(MIN( 0, IF(K34:AX34&lt;&gt;"",MATCH(K34:AX34,Inputs!$F$81:$F$82,0),0) ),1))</f>
        <v>0</v>
      </c>
      <c r="J34" s="1080"/>
      <c r="K34" s="551" t="s">
        <v>34</v>
      </c>
      <c r="L34" s="551" t="s">
        <v>34</v>
      </c>
      <c r="M34" s="551" t="s">
        <v>34</v>
      </c>
      <c r="N34" s="551" t="s">
        <v>34</v>
      </c>
      <c r="O34" s="551" t="s">
        <v>34</v>
      </c>
      <c r="P34" s="551"/>
      <c r="Q34" s="551"/>
      <c r="R34" s="551"/>
      <c r="S34" s="551"/>
      <c r="T34" s="551"/>
      <c r="U34" s="551"/>
      <c r="V34" s="551"/>
      <c r="W34" s="551"/>
      <c r="X34" s="551"/>
      <c r="Y34" s="551"/>
      <c r="Z34" s="551"/>
      <c r="AA34" s="551"/>
      <c r="AB34" s="551"/>
      <c r="AC34" s="551"/>
      <c r="AD34" s="551"/>
      <c r="AE34" s="551"/>
      <c r="AF34" s="551"/>
      <c r="AG34" s="551"/>
      <c r="AH34" s="551"/>
      <c r="AI34" s="551"/>
      <c r="AJ34" s="551"/>
      <c r="AK34" s="551"/>
      <c r="AL34" s="551"/>
      <c r="AM34" s="551"/>
      <c r="AN34" s="551"/>
      <c r="AO34" s="551"/>
      <c r="AP34" s="551"/>
      <c r="AQ34" s="551"/>
      <c r="AR34" s="551"/>
      <c r="AS34" s="551"/>
      <c r="AT34" s="551"/>
      <c r="AU34" s="551"/>
      <c r="AV34" s="551"/>
      <c r="AW34" s="551"/>
      <c r="AX34" s="551"/>
    </row>
    <row r="35" spans="1:50" ht="15" customHeight="1">
      <c r="A35" s="325"/>
      <c r="B35" s="676" t="str">
        <f>Translate!$E$42</f>
        <v>Decommissioning</v>
      </c>
      <c r="C35" s="342"/>
      <c r="D35" s="1071"/>
      <c r="E35" s="1041"/>
      <c r="F35" s="1077"/>
      <c r="G35" s="1049"/>
      <c r="H35" s="1049"/>
      <c r="I35" s="1054"/>
      <c r="J35" s="1054"/>
      <c r="K35" s="1006"/>
      <c r="L35" s="1006"/>
      <c r="M35" s="1006"/>
      <c r="N35" s="1006"/>
      <c r="O35" s="1006"/>
      <c r="P35" s="1006"/>
      <c r="Q35" s="1006"/>
      <c r="R35" s="1006"/>
      <c r="S35" s="1006"/>
      <c r="T35" s="1006"/>
      <c r="U35" s="1006"/>
      <c r="V35" s="1006"/>
      <c r="W35" s="1006"/>
      <c r="X35" s="1006"/>
      <c r="Y35" s="1006"/>
      <c r="Z35" s="1006"/>
      <c r="AA35" s="1006"/>
      <c r="AB35" s="1006"/>
      <c r="AC35" s="1006"/>
      <c r="AD35" s="1006"/>
      <c r="AE35" s="1006"/>
      <c r="AF35" s="1006"/>
      <c r="AG35" s="1006"/>
      <c r="AH35" s="1006"/>
      <c r="AI35" s="1006"/>
      <c r="AJ35" s="1006"/>
      <c r="AK35" s="1006"/>
      <c r="AL35" s="1006"/>
      <c r="AM35" s="1006"/>
      <c r="AN35" s="1006"/>
      <c r="AO35" s="1006"/>
      <c r="AP35" s="1006"/>
      <c r="AQ35" s="1006"/>
      <c r="AR35" s="1006"/>
      <c r="AS35" s="1006"/>
      <c r="AT35" s="1006"/>
      <c r="AU35" s="1006"/>
      <c r="AV35" s="1006"/>
      <c r="AW35" s="1006"/>
      <c r="AX35" s="1006"/>
    </row>
    <row r="36" spans="1:50" s="343" customFormat="1" ht="15" customHeight="1">
      <c r="A36" s="504"/>
      <c r="B36" s="677"/>
      <c r="C36" s="505"/>
      <c r="D36" s="1075"/>
      <c r="E36" s="1060" t="str">
        <f>Translate!$E$23</f>
        <v>Decommissioning fund</v>
      </c>
      <c r="F36" s="646" t="str">
        <f>INDEX(K36:AX36,$F$13)</f>
        <v>yes</v>
      </c>
      <c r="G36" s="859" t="str">
        <f xml:space="preserve"> Translate!E$359</f>
        <v>Switch</v>
      </c>
      <c r="H36" s="1024" t="str">
        <f>Translate!$E$285</f>
        <v>yes or no</v>
      </c>
      <c r="I36" s="861" cm="1">
        <f t="array" ref="I36">MAX(0,IFERROR(MIN( 0, IF(K36:AX36&lt;&gt;"",MATCH(K36:AX36,Inputs!$F$81:$F$82,0),0) ),1))</f>
        <v>0</v>
      </c>
      <c r="J36" s="1072"/>
      <c r="K36" s="506" t="s">
        <v>34</v>
      </c>
      <c r="L36" s="506" t="s">
        <v>34</v>
      </c>
      <c r="M36" s="506" t="s">
        <v>34</v>
      </c>
      <c r="N36" s="506" t="s">
        <v>34</v>
      </c>
      <c r="O36" s="506" t="s">
        <v>34</v>
      </c>
      <c r="P36" s="506"/>
      <c r="Q36" s="506"/>
      <c r="R36" s="506"/>
      <c r="S36" s="506"/>
      <c r="T36" s="506"/>
      <c r="U36" s="506"/>
      <c r="V36" s="506"/>
      <c r="W36" s="506"/>
      <c r="X36" s="506"/>
      <c r="Y36" s="506"/>
      <c r="Z36" s="506"/>
      <c r="AA36" s="506"/>
      <c r="AB36" s="506"/>
      <c r="AC36" s="506"/>
      <c r="AD36" s="506"/>
      <c r="AE36" s="506"/>
      <c r="AF36" s="506"/>
      <c r="AG36" s="506"/>
      <c r="AH36" s="506"/>
      <c r="AI36" s="506"/>
      <c r="AJ36" s="506"/>
      <c r="AK36" s="506"/>
      <c r="AL36" s="506"/>
      <c r="AM36" s="506"/>
      <c r="AN36" s="506"/>
      <c r="AO36" s="506"/>
      <c r="AP36" s="506"/>
      <c r="AQ36" s="506"/>
      <c r="AR36" s="506"/>
      <c r="AS36" s="506"/>
      <c r="AT36" s="506"/>
      <c r="AU36" s="506"/>
      <c r="AV36" s="506"/>
      <c r="AW36" s="506"/>
      <c r="AX36" s="506"/>
    </row>
    <row r="37" spans="1:50" s="619" customFormat="1" ht="15" customHeight="1">
      <c r="A37" s="617"/>
      <c r="B37" s="680"/>
      <c r="C37" s="618"/>
      <c r="D37" s="1081"/>
      <c r="E37" s="1082" t="str">
        <f>Translate!$E$143</f>
        <v>Commencement of decommissioning provision</v>
      </c>
      <c r="F37" s="649">
        <f>INDEX(K37:AX37,$F$13)</f>
        <v>0.6</v>
      </c>
      <c r="G37" s="620" t="str">
        <f xml:space="preserve"> Translate!E$364</f>
        <v>% depletion</v>
      </c>
      <c r="H37" s="620" t="str">
        <f>Translate!$E$292</f>
        <v>0 = from start of production</v>
      </c>
      <c r="I37" s="1083"/>
      <c r="J37" s="1083"/>
      <c r="K37" s="666">
        <v>0.6</v>
      </c>
      <c r="L37" s="666">
        <v>0.6</v>
      </c>
      <c r="M37" s="666">
        <v>0.6</v>
      </c>
      <c r="N37" s="666">
        <v>0.6</v>
      </c>
      <c r="O37" s="666">
        <v>0.6</v>
      </c>
      <c r="P37" s="666"/>
      <c r="Q37" s="666"/>
      <c r="R37" s="666"/>
      <c r="S37" s="666"/>
      <c r="T37" s="666"/>
      <c r="U37" s="666"/>
      <c r="V37" s="666"/>
      <c r="W37" s="666"/>
      <c r="X37" s="666"/>
      <c r="Y37" s="666"/>
      <c r="Z37" s="666"/>
      <c r="AA37" s="666"/>
      <c r="AB37" s="666"/>
      <c r="AC37" s="666"/>
      <c r="AD37" s="666"/>
      <c r="AE37" s="666"/>
      <c r="AF37" s="666"/>
      <c r="AG37" s="666"/>
      <c r="AH37" s="666"/>
      <c r="AI37" s="666"/>
      <c r="AJ37" s="666"/>
      <c r="AK37" s="666"/>
      <c r="AL37" s="666"/>
      <c r="AM37" s="666"/>
      <c r="AN37" s="666"/>
      <c r="AO37" s="666"/>
      <c r="AP37" s="666"/>
      <c r="AQ37" s="666"/>
      <c r="AR37" s="666"/>
      <c r="AS37" s="666"/>
      <c r="AT37" s="666"/>
      <c r="AU37" s="666"/>
      <c r="AV37" s="666"/>
      <c r="AW37" s="666"/>
      <c r="AX37" s="666"/>
    </row>
    <row r="38" spans="1:50" ht="15" customHeight="1">
      <c r="A38" s="325"/>
      <c r="B38" s="676" t="str">
        <f xml:space="preserve"> Translate!E$30</f>
        <v>Corporate income tax</v>
      </c>
      <c r="C38" s="342"/>
      <c r="D38" s="1071"/>
      <c r="E38" s="1041"/>
      <c r="F38" s="1006"/>
      <c r="G38" s="1054"/>
      <c r="H38" s="1054"/>
      <c r="I38" s="1054"/>
      <c r="J38" s="1054"/>
      <c r="K38" s="1006"/>
      <c r="L38" s="1006"/>
      <c r="M38" s="1006"/>
      <c r="N38" s="1006"/>
      <c r="O38" s="1006"/>
      <c r="P38" s="1006"/>
      <c r="Q38" s="1006"/>
      <c r="R38" s="1006"/>
      <c r="S38" s="1006"/>
      <c r="T38" s="1006"/>
      <c r="U38" s="1006"/>
      <c r="V38" s="1006"/>
      <c r="W38" s="1006"/>
      <c r="X38" s="1006"/>
      <c r="Y38" s="1006"/>
      <c r="Z38" s="1006"/>
      <c r="AA38" s="1006"/>
      <c r="AB38" s="1006"/>
      <c r="AC38" s="1006"/>
      <c r="AD38" s="1006"/>
      <c r="AE38" s="1006"/>
      <c r="AF38" s="1006"/>
      <c r="AG38" s="1006"/>
      <c r="AH38" s="1006"/>
      <c r="AI38" s="1006"/>
      <c r="AJ38" s="1006"/>
      <c r="AK38" s="1006"/>
      <c r="AL38" s="1006"/>
      <c r="AM38" s="1006"/>
      <c r="AN38" s="1006"/>
      <c r="AO38" s="1006"/>
      <c r="AP38" s="1006"/>
      <c r="AQ38" s="1006"/>
      <c r="AR38" s="1006"/>
      <c r="AS38" s="1006"/>
      <c r="AT38" s="1006"/>
      <c r="AU38" s="1006"/>
      <c r="AV38" s="1006"/>
      <c r="AW38" s="1006"/>
      <c r="AX38" s="1006"/>
    </row>
    <row r="39" spans="1:50" s="615" customFormat="1" ht="15" customHeight="1">
      <c r="A39" s="613"/>
      <c r="B39" s="681"/>
      <c r="C39" s="614"/>
      <c r="D39" s="1084"/>
      <c r="E39" s="1085" t="str">
        <f>Translate!$E$43</f>
        <v>CIT rate</v>
      </c>
      <c r="F39" s="650">
        <f>INDEX(K39:AX39,$F$13)</f>
        <v>0.28000000000000003</v>
      </c>
      <c r="G39" s="616" t="s">
        <v>29</v>
      </c>
      <c r="H39" s="616"/>
      <c r="I39" s="1085"/>
      <c r="J39" s="1085"/>
      <c r="K39" s="667">
        <v>0.28000000000000003</v>
      </c>
      <c r="L39" s="667">
        <v>0.2</v>
      </c>
      <c r="M39" s="667">
        <v>0.15</v>
      </c>
      <c r="N39" s="667">
        <v>0.2</v>
      </c>
      <c r="O39" s="667">
        <v>0.28000000000000003</v>
      </c>
      <c r="P39" s="667"/>
      <c r="Q39" s="667"/>
      <c r="R39" s="667"/>
      <c r="S39" s="667"/>
      <c r="T39" s="667"/>
      <c r="U39" s="667"/>
      <c r="V39" s="667"/>
      <c r="W39" s="667"/>
      <c r="X39" s="667"/>
      <c r="Y39" s="667"/>
      <c r="Z39" s="667"/>
      <c r="AA39" s="667"/>
      <c r="AB39" s="667"/>
      <c r="AC39" s="667"/>
      <c r="AD39" s="667"/>
      <c r="AE39" s="667"/>
      <c r="AF39" s="667"/>
      <c r="AG39" s="667"/>
      <c r="AH39" s="667"/>
      <c r="AI39" s="667"/>
      <c r="AJ39" s="667"/>
      <c r="AK39" s="667"/>
      <c r="AL39" s="667"/>
      <c r="AM39" s="667"/>
      <c r="AN39" s="667"/>
      <c r="AO39" s="667"/>
      <c r="AP39" s="667"/>
      <c r="AQ39" s="667"/>
      <c r="AR39" s="667"/>
      <c r="AS39" s="667"/>
      <c r="AT39" s="667"/>
      <c r="AU39" s="667"/>
      <c r="AV39" s="667"/>
      <c r="AW39" s="667"/>
      <c r="AX39" s="667"/>
    </row>
    <row r="40" spans="1:50" ht="15" customHeight="1">
      <c r="A40" s="471"/>
      <c r="B40" s="678"/>
      <c r="C40" s="498"/>
      <c r="D40" s="1044"/>
      <c r="E40" s="1041" t="str">
        <f>Translate!$E$144</f>
        <v>Exploration costs depreciated or deducted immediately</v>
      </c>
      <c r="F40" s="398" t="str">
        <f>INDEX(K40:AX40,$F$13)</f>
        <v>expensed</v>
      </c>
      <c r="G40" s="22" t="str">
        <f>Translate!$E$351</f>
        <v>Option</v>
      </c>
      <c r="H40" s="22" t="str">
        <f>Translate!$E$293</f>
        <v>must enter value</v>
      </c>
      <c r="I40" s="861" cm="1">
        <f t="array" ref="I40">MAX(0,IFERROR(MIN( 0, IF(K40:AX40&lt;&gt;"",MATCH(K40:AX40,$F$357:$F$358,0),0) ),1))</f>
        <v>0</v>
      </c>
      <c r="J40" s="1044"/>
      <c r="K40" s="962" t="s">
        <v>44</v>
      </c>
      <c r="L40" s="962" t="s">
        <v>44</v>
      </c>
      <c r="M40" s="962" t="s">
        <v>44</v>
      </c>
      <c r="N40" s="962" t="s">
        <v>44</v>
      </c>
      <c r="O40" s="962" t="s">
        <v>44</v>
      </c>
      <c r="P40" s="962"/>
      <c r="Q40" s="962"/>
      <c r="R40" s="962"/>
      <c r="S40" s="962"/>
      <c r="T40" s="962"/>
      <c r="U40" s="962"/>
      <c r="V40" s="962"/>
      <c r="W40" s="962"/>
      <c r="X40" s="962"/>
      <c r="Y40" s="962"/>
      <c r="Z40" s="962"/>
      <c r="AA40" s="962"/>
      <c r="AB40" s="962"/>
      <c r="AC40" s="962"/>
      <c r="AD40" s="962"/>
      <c r="AE40" s="962"/>
      <c r="AF40" s="962"/>
      <c r="AG40" s="962"/>
      <c r="AH40" s="962"/>
      <c r="AI40" s="962"/>
      <c r="AJ40" s="962"/>
      <c r="AK40" s="962"/>
      <c r="AL40" s="962"/>
      <c r="AM40" s="962"/>
      <c r="AN40" s="962"/>
      <c r="AO40" s="962"/>
      <c r="AP40" s="962"/>
      <c r="AQ40" s="962"/>
      <c r="AR40" s="962"/>
      <c r="AS40" s="962"/>
      <c r="AT40" s="962"/>
      <c r="AU40" s="962"/>
      <c r="AV40" s="962"/>
      <c r="AW40" s="962"/>
      <c r="AX40" s="962"/>
    </row>
    <row r="41" spans="1:50" ht="15" customHeight="1">
      <c r="A41" s="471"/>
      <c r="B41" s="678"/>
      <c r="C41" s="498"/>
      <c r="D41" s="1044"/>
      <c r="E41" s="1041" t="str">
        <f>Translate!$E$145</f>
        <v>Depreciation starts from</v>
      </c>
      <c r="F41" s="398" t="str">
        <f>INDEX(K41:AX41,$F$13)</f>
        <v>Production</v>
      </c>
      <c r="G41" s="22" t="str">
        <f>Translate!$E$351</f>
        <v>Option</v>
      </c>
      <c r="H41" s="22" t="str">
        <f>Translate!$E$293</f>
        <v>must enter value</v>
      </c>
      <c r="I41" s="861" cm="1">
        <f t="array" ref="I41">MAX(0,IFERROR(MIN( 0, IF(K41:AX41&lt;&gt;"",MATCH(K41:AX41,$F$390:$F$391,0),0) ),1))</f>
        <v>0</v>
      </c>
      <c r="J41" s="1044"/>
      <c r="K41" s="962" t="s">
        <v>45</v>
      </c>
      <c r="L41" s="962" t="s">
        <v>45</v>
      </c>
      <c r="M41" s="962" t="s">
        <v>45</v>
      </c>
      <c r="N41" s="962" t="s">
        <v>45</v>
      </c>
      <c r="O41" s="962" t="s">
        <v>45</v>
      </c>
      <c r="P41" s="962"/>
      <c r="Q41" s="962"/>
      <c r="R41" s="962"/>
      <c r="S41" s="962"/>
      <c r="T41" s="962"/>
      <c r="U41" s="962"/>
      <c r="V41" s="962"/>
      <c r="W41" s="962"/>
      <c r="X41" s="962"/>
      <c r="Y41" s="962"/>
      <c r="Z41" s="962"/>
      <c r="AA41" s="962"/>
      <c r="AB41" s="962"/>
      <c r="AC41" s="962"/>
      <c r="AD41" s="962"/>
      <c r="AE41" s="962"/>
      <c r="AF41" s="962"/>
      <c r="AG41" s="962"/>
      <c r="AH41" s="962"/>
      <c r="AI41" s="962"/>
      <c r="AJ41" s="962"/>
      <c r="AK41" s="962"/>
      <c r="AL41" s="962"/>
      <c r="AM41" s="962"/>
      <c r="AN41" s="962"/>
      <c r="AO41" s="962"/>
      <c r="AP41" s="962"/>
      <c r="AQ41" s="962"/>
      <c r="AR41" s="962"/>
      <c r="AS41" s="962"/>
      <c r="AT41" s="962"/>
      <c r="AU41" s="962"/>
      <c r="AV41" s="962"/>
      <c r="AW41" s="962"/>
      <c r="AX41" s="962"/>
    </row>
    <row r="42" spans="1:50" s="336" customFormat="1" ht="15" customHeight="1">
      <c r="A42" s="348"/>
      <c r="B42" s="676"/>
      <c r="C42" s="342"/>
      <c r="D42" s="1071"/>
      <c r="E42" s="1044" t="str">
        <f>Translate!$E$146</f>
        <v>Development costs and replacement capital depreciation</v>
      </c>
      <c r="F42" s="398">
        <f>INDEX(K42:AX42,$F$13)</f>
        <v>5</v>
      </c>
      <c r="G42" s="858" t="str">
        <f xml:space="preserve"> Translate!E$358</f>
        <v>Years</v>
      </c>
      <c r="H42" s="346"/>
      <c r="I42" s="1044"/>
      <c r="J42" s="1044"/>
      <c r="K42" s="493">
        <v>5</v>
      </c>
      <c r="L42" s="493">
        <v>5</v>
      </c>
      <c r="M42" s="493">
        <v>5</v>
      </c>
      <c r="N42" s="493">
        <v>5</v>
      </c>
      <c r="O42" s="493">
        <v>5</v>
      </c>
      <c r="P42" s="493"/>
      <c r="Q42" s="493"/>
      <c r="R42" s="493"/>
      <c r="S42" s="493"/>
      <c r="T42" s="493"/>
      <c r="U42" s="493"/>
      <c r="V42" s="493"/>
      <c r="W42" s="493"/>
      <c r="X42" s="493"/>
      <c r="Y42" s="493"/>
      <c r="Z42" s="493"/>
      <c r="AA42" s="493"/>
      <c r="AB42" s="493"/>
      <c r="AC42" s="493"/>
      <c r="AD42" s="493"/>
      <c r="AE42" s="493"/>
      <c r="AF42" s="493"/>
      <c r="AG42" s="493"/>
      <c r="AH42" s="493"/>
      <c r="AI42" s="493"/>
      <c r="AJ42" s="493"/>
      <c r="AK42" s="493"/>
      <c r="AL42" s="493"/>
      <c r="AM42" s="493"/>
      <c r="AN42" s="493"/>
      <c r="AO42" s="493"/>
      <c r="AP42" s="493"/>
      <c r="AQ42" s="493"/>
      <c r="AR42" s="493"/>
      <c r="AS42" s="493"/>
      <c r="AT42" s="493"/>
      <c r="AU42" s="493"/>
      <c r="AV42" s="493"/>
      <c r="AW42" s="493"/>
      <c r="AX42" s="493"/>
    </row>
    <row r="43" spans="1:50" ht="15" customHeight="1">
      <c r="A43" s="325"/>
      <c r="B43" s="676" t="str">
        <f>Translate!$E$44</f>
        <v>Resource rent tax</v>
      </c>
      <c r="C43" s="342"/>
      <c r="D43" s="1071"/>
      <c r="E43" s="1041"/>
      <c r="F43" s="1006"/>
      <c r="G43" s="1054"/>
      <c r="H43" s="1054" t="str">
        <f>Translate!$E$294</f>
        <v>cashflow RRT</v>
      </c>
      <c r="I43" s="1054"/>
      <c r="J43" s="1054"/>
      <c r="K43" s="1006"/>
      <c r="L43" s="1006"/>
      <c r="M43" s="1006"/>
      <c r="N43" s="1006"/>
      <c r="O43" s="1006"/>
      <c r="P43" s="1006"/>
      <c r="Q43" s="1006"/>
      <c r="R43" s="1006"/>
      <c r="S43" s="1006"/>
      <c r="T43" s="1006"/>
      <c r="U43" s="1006"/>
      <c r="V43" s="1006"/>
      <c r="W43" s="1006"/>
      <c r="X43" s="1006"/>
      <c r="Y43" s="1006"/>
      <c r="Z43" s="1006"/>
      <c r="AA43" s="1006"/>
      <c r="AB43" s="1006"/>
      <c r="AC43" s="1006"/>
      <c r="AD43" s="1006"/>
      <c r="AE43" s="1006"/>
      <c r="AF43" s="1006"/>
      <c r="AG43" s="1006"/>
      <c r="AH43" s="1006"/>
      <c r="AI43" s="1006"/>
      <c r="AJ43" s="1006"/>
      <c r="AK43" s="1006"/>
      <c r="AL43" s="1006"/>
      <c r="AM43" s="1006"/>
      <c r="AN43" s="1006"/>
      <c r="AO43" s="1006"/>
      <c r="AP43" s="1006"/>
      <c r="AQ43" s="1006"/>
      <c r="AR43" s="1006"/>
      <c r="AS43" s="1006"/>
      <c r="AT43" s="1006"/>
      <c r="AU43" s="1006"/>
      <c r="AV43" s="1006"/>
      <c r="AW43" s="1006"/>
      <c r="AX43" s="1006"/>
    </row>
    <row r="44" spans="1:50" s="624" customFormat="1" ht="15" customHeight="1">
      <c r="A44" s="622"/>
      <c r="B44" s="682"/>
      <c r="C44" s="623"/>
      <c r="D44" s="1086"/>
      <c r="E44" s="1086" t="str">
        <f>Translate!$E$147</f>
        <v>Uplift on negative cashflows</v>
      </c>
      <c r="F44" s="651">
        <f>INDEX(K44:AX44,$F$13)</f>
        <v>0</v>
      </c>
      <c r="G44" s="625" t="s">
        <v>29</v>
      </c>
      <c r="H44" s="625"/>
      <c r="I44" s="1086"/>
      <c r="J44" s="1086"/>
      <c r="K44" s="668"/>
      <c r="L44" s="668"/>
      <c r="M44" s="668">
        <v>0.125</v>
      </c>
      <c r="N44" s="668"/>
      <c r="O44" s="668"/>
      <c r="P44" s="668"/>
      <c r="Q44" s="668"/>
      <c r="R44" s="668"/>
      <c r="S44" s="668"/>
      <c r="T44" s="668"/>
      <c r="U44" s="668"/>
      <c r="V44" s="668"/>
      <c r="W44" s="668"/>
      <c r="X44" s="668"/>
      <c r="Y44" s="668"/>
      <c r="Z44" s="668"/>
      <c r="AA44" s="668"/>
      <c r="AB44" s="668"/>
      <c r="AC44" s="668"/>
      <c r="AD44" s="668"/>
      <c r="AE44" s="668"/>
      <c r="AF44" s="668"/>
      <c r="AG44" s="668"/>
      <c r="AH44" s="668"/>
      <c r="AI44" s="668"/>
      <c r="AJ44" s="668"/>
      <c r="AK44" s="668"/>
      <c r="AL44" s="668"/>
      <c r="AM44" s="668"/>
      <c r="AN44" s="668"/>
      <c r="AO44" s="668"/>
      <c r="AP44" s="668"/>
      <c r="AQ44" s="668"/>
      <c r="AR44" s="668"/>
      <c r="AS44" s="668"/>
      <c r="AT44" s="668"/>
      <c r="AU44" s="668"/>
      <c r="AV44" s="668"/>
      <c r="AW44" s="668"/>
      <c r="AX44" s="668"/>
    </row>
    <row r="45" spans="1:50" ht="15" customHeight="1">
      <c r="A45" s="325"/>
      <c r="B45" s="676"/>
      <c r="C45" s="342"/>
      <c r="D45" s="1071"/>
      <c r="E45" s="1024" t="str">
        <f>Translate!$E$148</f>
        <v>CIT is deducted for RRT</v>
      </c>
      <c r="F45" s="652">
        <f>INDEX(K45:AX45,$F$13)</f>
        <v>0</v>
      </c>
      <c r="G45" s="346" t="str">
        <f>Translate!$E$351</f>
        <v>Option</v>
      </c>
      <c r="H45" s="346" t="str">
        <f>Translate!$E$295</f>
        <v>no entry means not deducted; "No" means RRT is then deducted for CIT</v>
      </c>
      <c r="I45" s="861" cm="1">
        <f t="array" ref="I45">MAX(0,IFERROR(MIN( 0, IF(K45:AX45&lt;&gt;"",MATCH(K45:AX45,Inputs!$F$81:$F$82,0),0) ),1))</f>
        <v>0</v>
      </c>
      <c r="J45" s="1044"/>
      <c r="K45" s="493"/>
      <c r="L45" s="493"/>
      <c r="M45" s="493" t="s">
        <v>34</v>
      </c>
      <c r="N45" s="493"/>
      <c r="O45" s="493"/>
      <c r="P45" s="493"/>
      <c r="Q45" s="493"/>
      <c r="R45" s="493"/>
      <c r="S45" s="493"/>
      <c r="T45" s="493"/>
      <c r="U45" s="493"/>
      <c r="V45" s="493"/>
      <c r="W45" s="493"/>
      <c r="X45" s="493"/>
      <c r="Y45" s="493"/>
      <c r="Z45" s="493"/>
      <c r="AA45" s="493"/>
      <c r="AB45" s="493"/>
      <c r="AC45" s="493"/>
      <c r="AD45" s="493"/>
      <c r="AE45" s="493"/>
      <c r="AF45" s="493"/>
      <c r="AG45" s="493"/>
      <c r="AH45" s="493"/>
      <c r="AI45" s="493"/>
      <c r="AJ45" s="493"/>
      <c r="AK45" s="493"/>
      <c r="AL45" s="493"/>
      <c r="AM45" s="493"/>
      <c r="AN45" s="493"/>
      <c r="AO45" s="493"/>
      <c r="AP45" s="493"/>
      <c r="AQ45" s="493"/>
      <c r="AR45" s="493"/>
      <c r="AS45" s="493"/>
      <c r="AT45" s="493"/>
      <c r="AU45" s="493"/>
      <c r="AV45" s="493"/>
      <c r="AW45" s="493"/>
      <c r="AX45" s="493"/>
    </row>
    <row r="46" spans="1:50" s="629" customFormat="1" ht="15" customHeight="1">
      <c r="A46" s="626"/>
      <c r="B46" s="683"/>
      <c r="C46" s="627"/>
      <c r="D46" s="1087"/>
      <c r="E46" s="1088" t="str">
        <f>Translate!$E$149</f>
        <v>RRT tax rate</v>
      </c>
      <c r="F46" s="649">
        <f>INDEX(K46:AX46,$F$13)</f>
        <v>0</v>
      </c>
      <c r="G46" s="628" t="s">
        <v>29</v>
      </c>
      <c r="H46" s="628"/>
      <c r="I46" s="1088"/>
      <c r="J46" s="1088"/>
      <c r="K46" s="666"/>
      <c r="L46" s="666"/>
      <c r="M46" s="666">
        <v>0.25</v>
      </c>
      <c r="N46" s="666"/>
      <c r="O46" s="666"/>
      <c r="P46" s="666"/>
      <c r="Q46" s="666"/>
      <c r="R46" s="666"/>
      <c r="S46" s="666"/>
      <c r="T46" s="666"/>
      <c r="U46" s="666"/>
      <c r="V46" s="666"/>
      <c r="W46" s="666"/>
      <c r="X46" s="666"/>
      <c r="Y46" s="666"/>
      <c r="Z46" s="666"/>
      <c r="AA46" s="666"/>
      <c r="AB46" s="666"/>
      <c r="AC46" s="666"/>
      <c r="AD46" s="666"/>
      <c r="AE46" s="666"/>
      <c r="AF46" s="666"/>
      <c r="AG46" s="666"/>
      <c r="AH46" s="666"/>
      <c r="AI46" s="666"/>
      <c r="AJ46" s="666"/>
      <c r="AK46" s="666"/>
      <c r="AL46" s="666"/>
      <c r="AM46" s="666"/>
      <c r="AN46" s="666"/>
      <c r="AO46" s="666"/>
      <c r="AP46" s="666"/>
      <c r="AQ46" s="666"/>
      <c r="AR46" s="666"/>
      <c r="AS46" s="666"/>
      <c r="AT46" s="666"/>
      <c r="AU46" s="666"/>
      <c r="AV46" s="666"/>
      <c r="AW46" s="666"/>
      <c r="AX46" s="666"/>
    </row>
    <row r="47" spans="1:50" ht="15" customHeight="1">
      <c r="A47" s="325"/>
      <c r="B47" s="676" t="str">
        <f>Translate!$E$46</f>
        <v>Withholding tax on dividends and interest</v>
      </c>
      <c r="C47" s="342"/>
      <c r="D47" s="1071"/>
      <c r="E47" s="1041"/>
      <c r="F47" s="1006"/>
      <c r="G47" s="1054"/>
      <c r="H47" s="1054"/>
      <c r="I47" s="1049"/>
      <c r="J47" s="1049"/>
      <c r="K47" s="1006"/>
      <c r="L47" s="1006"/>
      <c r="M47" s="1006"/>
      <c r="N47" s="1006"/>
      <c r="O47" s="1006"/>
      <c r="P47" s="1006"/>
      <c r="Q47" s="1006"/>
      <c r="R47" s="1006"/>
      <c r="S47" s="1006"/>
      <c r="T47" s="1006"/>
      <c r="U47" s="1006"/>
      <c r="V47" s="1006"/>
      <c r="W47" s="1006"/>
      <c r="X47" s="1006"/>
      <c r="Y47" s="1006"/>
      <c r="Z47" s="1006"/>
      <c r="AA47" s="1006"/>
      <c r="AB47" s="1006"/>
      <c r="AC47" s="1006"/>
      <c r="AD47" s="1006"/>
      <c r="AE47" s="1006"/>
      <c r="AF47" s="1006"/>
      <c r="AG47" s="1006"/>
      <c r="AH47" s="1006"/>
      <c r="AI47" s="1006"/>
      <c r="AJ47" s="1006"/>
      <c r="AK47" s="1006"/>
      <c r="AL47" s="1006"/>
      <c r="AM47" s="1006"/>
      <c r="AN47" s="1006"/>
      <c r="AO47" s="1006"/>
      <c r="AP47" s="1006"/>
      <c r="AQ47" s="1006"/>
      <c r="AR47" s="1006"/>
      <c r="AS47" s="1006"/>
      <c r="AT47" s="1006"/>
      <c r="AU47" s="1006"/>
      <c r="AV47" s="1006"/>
      <c r="AW47" s="1006"/>
      <c r="AX47" s="1006"/>
    </row>
    <row r="48" spans="1:50" s="632" customFormat="1" ht="15" customHeight="1">
      <c r="A48" s="630"/>
      <c r="B48" s="684"/>
      <c r="C48" s="631"/>
      <c r="D48" s="1089"/>
      <c r="E48" s="1089" t="str">
        <f>Translate!$E$150</f>
        <v>Dividend withholding tax</v>
      </c>
      <c r="F48" s="650">
        <f>INDEX(K48:AX48,$F$13)</f>
        <v>0.1</v>
      </c>
      <c r="G48" s="633" t="s">
        <v>29</v>
      </c>
      <c r="H48" s="633" t="str">
        <f>Translate!$E$296</f>
        <v>paid once cumulative equity cashflow positive</v>
      </c>
      <c r="I48" s="1089"/>
      <c r="J48" s="1089"/>
      <c r="K48" s="667">
        <v>0.1</v>
      </c>
      <c r="L48" s="667">
        <v>0.1</v>
      </c>
      <c r="M48" s="667">
        <v>0.1</v>
      </c>
      <c r="N48" s="667">
        <v>0.1</v>
      </c>
      <c r="O48" s="667">
        <v>0.1</v>
      </c>
      <c r="P48" s="667"/>
      <c r="Q48" s="667"/>
      <c r="R48" s="667"/>
      <c r="S48" s="667"/>
      <c r="T48" s="667"/>
      <c r="U48" s="667"/>
      <c r="V48" s="667"/>
      <c r="W48" s="667"/>
      <c r="X48" s="667"/>
      <c r="Y48" s="667"/>
      <c r="Z48" s="667"/>
      <c r="AA48" s="667"/>
      <c r="AB48" s="667"/>
      <c r="AC48" s="667"/>
      <c r="AD48" s="667"/>
      <c r="AE48" s="667"/>
      <c r="AF48" s="667"/>
      <c r="AG48" s="667"/>
      <c r="AH48" s="667"/>
      <c r="AI48" s="667"/>
      <c r="AJ48" s="667"/>
      <c r="AK48" s="667"/>
      <c r="AL48" s="667"/>
      <c r="AM48" s="667"/>
      <c r="AN48" s="667"/>
      <c r="AO48" s="667"/>
      <c r="AP48" s="667"/>
      <c r="AQ48" s="667"/>
      <c r="AR48" s="667"/>
      <c r="AS48" s="667"/>
      <c r="AT48" s="667"/>
      <c r="AU48" s="667"/>
      <c r="AV48" s="667"/>
      <c r="AW48" s="667"/>
      <c r="AX48" s="667"/>
    </row>
    <row r="49" spans="1:50" s="619" customFormat="1" ht="15" customHeight="1">
      <c r="A49" s="617"/>
      <c r="B49" s="680"/>
      <c r="C49" s="618"/>
      <c r="D49" s="1081"/>
      <c r="E49" s="1082" t="str">
        <f>Translate!$E$151</f>
        <v>Interest withholding tax</v>
      </c>
      <c r="F49" s="649">
        <f>INDEX(K49:AX49,$F$13)</f>
        <v>0.1</v>
      </c>
      <c r="G49" s="620" t="s">
        <v>29</v>
      </c>
      <c r="H49" s="620" t="str">
        <f>Translate!$E$297</f>
        <v>paid when interest is paid</v>
      </c>
      <c r="I49" s="1083"/>
      <c r="J49" s="1083"/>
      <c r="K49" s="666">
        <v>0.1</v>
      </c>
      <c r="L49" s="666">
        <v>0.1</v>
      </c>
      <c r="M49" s="666">
        <v>0.1</v>
      </c>
      <c r="N49" s="666">
        <v>0.1</v>
      </c>
      <c r="O49" s="666">
        <v>0.1</v>
      </c>
      <c r="P49" s="666"/>
      <c r="Q49" s="666"/>
      <c r="R49" s="666"/>
      <c r="S49" s="666"/>
      <c r="T49" s="666"/>
      <c r="U49" s="666"/>
      <c r="V49" s="666"/>
      <c r="W49" s="666"/>
      <c r="X49" s="666"/>
      <c r="Y49" s="666"/>
      <c r="Z49" s="666"/>
      <c r="AA49" s="666"/>
      <c r="AB49" s="666"/>
      <c r="AC49" s="666"/>
      <c r="AD49" s="666"/>
      <c r="AE49" s="666"/>
      <c r="AF49" s="666"/>
      <c r="AG49" s="666"/>
      <c r="AH49" s="666"/>
      <c r="AI49" s="666"/>
      <c r="AJ49" s="666"/>
      <c r="AK49" s="666"/>
      <c r="AL49" s="666"/>
      <c r="AM49" s="666"/>
      <c r="AN49" s="666"/>
      <c r="AO49" s="666"/>
      <c r="AP49" s="666"/>
      <c r="AQ49" s="666"/>
      <c r="AR49" s="666"/>
      <c r="AS49" s="666"/>
      <c r="AT49" s="666"/>
      <c r="AU49" s="666"/>
      <c r="AV49" s="666"/>
      <c r="AW49" s="666"/>
      <c r="AX49" s="666"/>
    </row>
    <row r="50" spans="1:50" ht="15" customHeight="1">
      <c r="A50" s="325"/>
      <c r="B50" s="676" t="str">
        <f>Translate!$E$47</f>
        <v>State participation: government equity in mining company</v>
      </c>
      <c r="C50" s="342"/>
      <c r="D50" s="1071"/>
      <c r="E50" s="1044"/>
      <c r="F50" s="1077"/>
      <c r="G50" s="1049"/>
      <c r="H50" s="1049"/>
      <c r="I50" s="1049"/>
      <c r="J50" s="1049"/>
      <c r="K50" s="1006"/>
      <c r="L50" s="1006"/>
      <c r="M50" s="1006"/>
      <c r="N50" s="1006"/>
      <c r="O50" s="1006"/>
      <c r="P50" s="1006"/>
      <c r="Q50" s="1006"/>
      <c r="R50" s="1006"/>
      <c r="S50" s="1006"/>
      <c r="T50" s="1006"/>
      <c r="U50" s="1006"/>
      <c r="V50" s="1006"/>
      <c r="W50" s="1006"/>
      <c r="X50" s="1006"/>
      <c r="Y50" s="1006"/>
      <c r="Z50" s="1006"/>
      <c r="AA50" s="1006"/>
      <c r="AB50" s="1006"/>
      <c r="AC50" s="1006"/>
      <c r="AD50" s="1006"/>
      <c r="AE50" s="1006"/>
      <c r="AF50" s="1006"/>
      <c r="AG50" s="1006"/>
      <c r="AH50" s="1006"/>
      <c r="AI50" s="1006"/>
      <c r="AJ50" s="1006"/>
      <c r="AK50" s="1006"/>
      <c r="AL50" s="1006"/>
      <c r="AM50" s="1006"/>
      <c r="AN50" s="1006"/>
      <c r="AO50" s="1006"/>
      <c r="AP50" s="1006"/>
      <c r="AQ50" s="1006"/>
      <c r="AR50" s="1006"/>
      <c r="AS50" s="1006"/>
      <c r="AT50" s="1006"/>
      <c r="AU50" s="1006"/>
      <c r="AV50" s="1006"/>
      <c r="AW50" s="1006"/>
      <c r="AX50" s="1006"/>
    </row>
    <row r="51" spans="1:50" s="632" customFormat="1" ht="15" customHeight="1">
      <c r="A51" s="630"/>
      <c r="B51" s="684"/>
      <c r="C51" s="631"/>
      <c r="D51" s="1089"/>
      <c r="E51" s="1089" t="str">
        <f>Translate!$E$152</f>
        <v>State participation</v>
      </c>
      <c r="F51" s="650">
        <f t="shared" ref="F51:F56" si="1">INDEX(K51:AX51,$F$13)</f>
        <v>0</v>
      </c>
      <c r="G51" s="633" t="s">
        <v>29</v>
      </c>
      <c r="H51" s="633" t="str">
        <f>Translate!$E$298</f>
        <v>% share in mining company</v>
      </c>
      <c r="I51" s="1089"/>
      <c r="J51" s="1089"/>
      <c r="K51" s="667"/>
      <c r="L51" s="667"/>
      <c r="M51" s="667"/>
      <c r="N51" s="667">
        <v>0.1</v>
      </c>
      <c r="O51" s="667"/>
      <c r="P51" s="667"/>
      <c r="Q51" s="667"/>
      <c r="R51" s="667"/>
      <c r="S51" s="667"/>
      <c r="T51" s="667"/>
      <c r="U51" s="667"/>
      <c r="V51" s="667"/>
      <c r="W51" s="667"/>
      <c r="X51" s="667"/>
      <c r="Y51" s="667"/>
      <c r="Z51" s="667"/>
      <c r="AA51" s="667"/>
      <c r="AB51" s="667"/>
      <c r="AC51" s="667"/>
      <c r="AD51" s="667"/>
      <c r="AE51" s="667"/>
      <c r="AF51" s="667"/>
      <c r="AG51" s="667"/>
      <c r="AH51" s="667"/>
      <c r="AI51" s="667"/>
      <c r="AJ51" s="667"/>
      <c r="AK51" s="667"/>
      <c r="AL51" s="667"/>
      <c r="AM51" s="667"/>
      <c r="AN51" s="667"/>
      <c r="AO51" s="667"/>
      <c r="AP51" s="667"/>
      <c r="AQ51" s="667"/>
      <c r="AR51" s="667"/>
      <c r="AS51" s="667"/>
      <c r="AT51" s="667"/>
      <c r="AU51" s="667"/>
      <c r="AV51" s="667"/>
      <c r="AW51" s="667"/>
      <c r="AX51" s="667"/>
    </row>
    <row r="52" spans="1:50" ht="15" customHeight="1">
      <c r="A52" s="347"/>
      <c r="B52" s="676"/>
      <c r="C52" s="342"/>
      <c r="D52" s="1071"/>
      <c r="E52" s="1044" t="str">
        <f>Translate!$E$153</f>
        <v>State participation meets share of equity contributions and mining company loan</v>
      </c>
      <c r="F52" s="398">
        <f t="shared" si="1"/>
        <v>0</v>
      </c>
      <c r="G52" s="346" t="str">
        <f>Translate!$E$351</f>
        <v>Option</v>
      </c>
      <c r="H52" s="346" t="str">
        <f>Translate!$E$299</f>
        <v>no entry means state does not pay equity contributions</v>
      </c>
      <c r="I52" s="861" cm="1">
        <f t="array" ref="I52">MAX(0,IFERROR(MIN( 0, IF(K52:AX52&lt;&gt;"",MATCH(K52:AX52,Inputs!$F$81:$F$82,0),0) ),1))</f>
        <v>0</v>
      </c>
      <c r="J52" s="1024"/>
      <c r="K52" s="492"/>
      <c r="L52" s="492"/>
      <c r="M52" s="492"/>
      <c r="N52" s="492" t="s">
        <v>46</v>
      </c>
      <c r="O52" s="492"/>
      <c r="P52" s="492"/>
      <c r="Q52" s="492"/>
      <c r="R52" s="492"/>
      <c r="S52" s="492"/>
      <c r="T52" s="492"/>
      <c r="U52" s="492"/>
      <c r="V52" s="492"/>
      <c r="W52" s="492"/>
      <c r="X52" s="492"/>
      <c r="Y52" s="492"/>
      <c r="Z52" s="492"/>
      <c r="AA52" s="492"/>
      <c r="AB52" s="492"/>
      <c r="AC52" s="492"/>
      <c r="AD52" s="492"/>
      <c r="AE52" s="492"/>
      <c r="AF52" s="492"/>
      <c r="AG52" s="492"/>
      <c r="AH52" s="492"/>
      <c r="AI52" s="492"/>
      <c r="AJ52" s="492"/>
      <c r="AK52" s="492"/>
      <c r="AL52" s="492"/>
      <c r="AM52" s="492"/>
      <c r="AN52" s="492"/>
      <c r="AO52" s="492"/>
      <c r="AP52" s="492"/>
      <c r="AQ52" s="492"/>
      <c r="AR52" s="492"/>
      <c r="AS52" s="492"/>
      <c r="AT52" s="492"/>
      <c r="AU52" s="492"/>
      <c r="AV52" s="492"/>
      <c r="AW52" s="492"/>
      <c r="AX52" s="492"/>
    </row>
    <row r="53" spans="1:50" ht="15" customHeight="1">
      <c r="A53" s="347"/>
      <c r="B53" s="676"/>
      <c r="C53" s="342"/>
      <c r="D53" s="1071"/>
      <c r="E53" s="1044" t="str">
        <f>Translate!$E$154</f>
        <v>Carried interest: State participation equity and share of loan met by parent company</v>
      </c>
      <c r="F53" s="652">
        <f t="shared" si="1"/>
        <v>0</v>
      </c>
      <c r="G53" s="346" t="s">
        <v>29</v>
      </c>
      <c r="H53" s="346"/>
      <c r="I53" s="1024"/>
      <c r="J53" s="1024"/>
      <c r="K53" s="666"/>
      <c r="L53" s="666"/>
      <c r="M53" s="666"/>
      <c r="N53" s="666">
        <v>1</v>
      </c>
      <c r="O53" s="666"/>
      <c r="P53" s="492"/>
      <c r="Q53" s="492"/>
      <c r="R53" s="492"/>
      <c r="S53" s="492"/>
      <c r="T53" s="492"/>
      <c r="U53" s="492"/>
      <c r="V53" s="492"/>
      <c r="W53" s="492"/>
      <c r="X53" s="492"/>
      <c r="Y53" s="492"/>
      <c r="Z53" s="492"/>
      <c r="AA53" s="492"/>
      <c r="AB53" s="492"/>
      <c r="AC53" s="492"/>
      <c r="AD53" s="492"/>
      <c r="AE53" s="492"/>
      <c r="AF53" s="492"/>
      <c r="AG53" s="492"/>
      <c r="AH53" s="492"/>
      <c r="AI53" s="492"/>
      <c r="AJ53" s="492"/>
      <c r="AK53" s="492"/>
      <c r="AL53" s="492"/>
      <c r="AM53" s="492"/>
      <c r="AN53" s="492"/>
      <c r="AO53" s="492"/>
      <c r="AP53" s="492"/>
      <c r="AQ53" s="492"/>
      <c r="AR53" s="492"/>
      <c r="AS53" s="492"/>
      <c r="AT53" s="492"/>
      <c r="AU53" s="492"/>
      <c r="AV53" s="492"/>
      <c r="AW53" s="492"/>
      <c r="AX53" s="492"/>
    </row>
    <row r="54" spans="1:50" ht="15" customHeight="1">
      <c r="A54" s="347"/>
      <c r="B54" s="676"/>
      <c r="C54" s="342"/>
      <c r="D54" s="1071"/>
      <c r="E54" s="1044" t="str">
        <f>Translate!$E$155</f>
        <v>Carried interest: Financing by parent company till production year</v>
      </c>
      <c r="F54" s="398">
        <f t="shared" si="1"/>
        <v>0</v>
      </c>
      <c r="G54" s="346" t="str">
        <f xml:space="preserve"> Translate!E$360</f>
        <v>Production year</v>
      </c>
      <c r="H54" s="346" t="str">
        <f>Translate!$E$301</f>
        <v>financing till end of specified production year. 0 means end of year before production starts</v>
      </c>
      <c r="I54" s="1024"/>
      <c r="J54" s="1024"/>
      <c r="K54" s="551"/>
      <c r="L54" s="551"/>
      <c r="M54" s="551"/>
      <c r="N54" s="551">
        <v>3</v>
      </c>
      <c r="O54" s="551"/>
      <c r="P54" s="551"/>
      <c r="Q54" s="551"/>
      <c r="R54" s="551"/>
      <c r="S54" s="551"/>
      <c r="T54" s="551"/>
      <c r="U54" s="551"/>
      <c r="V54" s="551"/>
      <c r="W54" s="551"/>
      <c r="X54" s="551"/>
      <c r="Y54" s="492"/>
      <c r="Z54" s="492"/>
      <c r="AA54" s="492"/>
      <c r="AB54" s="492"/>
      <c r="AC54" s="492"/>
      <c r="AD54" s="492"/>
      <c r="AE54" s="492"/>
      <c r="AF54" s="492"/>
      <c r="AG54" s="492"/>
      <c r="AH54" s="492"/>
      <c r="AI54" s="492"/>
      <c r="AJ54" s="492"/>
      <c r="AK54" s="492"/>
      <c r="AL54" s="492"/>
      <c r="AM54" s="492"/>
      <c r="AN54" s="492"/>
      <c r="AO54" s="492"/>
      <c r="AP54" s="492"/>
      <c r="AQ54" s="492"/>
      <c r="AR54" s="492"/>
      <c r="AS54" s="492"/>
      <c r="AT54" s="492"/>
      <c r="AU54" s="492"/>
      <c r="AV54" s="492"/>
      <c r="AW54" s="492"/>
      <c r="AX54" s="492"/>
    </row>
    <row r="55" spans="1:50" s="621" customFormat="1" ht="15" customHeight="1">
      <c r="A55" s="637"/>
      <c r="B55" s="680"/>
      <c r="C55" s="618"/>
      <c r="D55" s="1081"/>
      <c r="E55" s="1083" t="str">
        <f>Translate!$E$157</f>
        <v>Carried interest: Proportion state participation cashflows used to repay equity carry</v>
      </c>
      <c r="F55" s="654">
        <f>INDEX(K55:AX55,$F$13)</f>
        <v>0</v>
      </c>
      <c r="G55" s="620" t="s">
        <v>29</v>
      </c>
      <c r="H55" s="620"/>
      <c r="I55" s="1090"/>
      <c r="J55" s="1090"/>
      <c r="K55" s="666"/>
      <c r="L55" s="666"/>
      <c r="M55" s="666"/>
      <c r="N55" s="666">
        <v>1</v>
      </c>
      <c r="O55" s="666"/>
      <c r="P55" s="666"/>
      <c r="Q55" s="666"/>
      <c r="R55" s="666"/>
      <c r="S55" s="666"/>
      <c r="T55" s="666"/>
      <c r="U55" s="666"/>
      <c r="V55" s="666"/>
      <c r="W55" s="666"/>
      <c r="X55" s="666"/>
      <c r="Y55" s="636"/>
      <c r="Z55" s="636"/>
      <c r="AA55" s="636"/>
      <c r="AB55" s="636"/>
      <c r="AC55" s="636"/>
      <c r="AD55" s="636"/>
      <c r="AE55" s="636"/>
      <c r="AF55" s="636"/>
      <c r="AG55" s="636"/>
      <c r="AH55" s="636"/>
      <c r="AI55" s="636"/>
      <c r="AJ55" s="636"/>
      <c r="AK55" s="636"/>
      <c r="AL55" s="636"/>
      <c r="AM55" s="636"/>
      <c r="AN55" s="636"/>
      <c r="AO55" s="636"/>
      <c r="AP55" s="636"/>
      <c r="AQ55" s="636"/>
      <c r="AR55" s="636"/>
      <c r="AS55" s="636"/>
      <c r="AT55" s="636"/>
      <c r="AU55" s="636"/>
      <c r="AV55" s="636"/>
      <c r="AW55" s="636"/>
      <c r="AX55" s="636"/>
    </row>
    <row r="56" spans="1:50" s="611" customFormat="1" ht="15" customHeight="1">
      <c r="A56" s="634"/>
      <c r="B56" s="685"/>
      <c r="C56" s="610"/>
      <c r="D56" s="1091"/>
      <c r="E56" s="1092" t="str">
        <f>Translate!$E$156</f>
        <v>Carried interest: Interest rate margin above LIBOR</v>
      </c>
      <c r="F56" s="653">
        <f t="shared" si="1"/>
        <v>0</v>
      </c>
      <c r="G56" s="612" t="s">
        <v>29</v>
      </c>
      <c r="H56" s="612"/>
      <c r="I56" s="1093"/>
      <c r="J56" s="1093"/>
      <c r="K56" s="669"/>
      <c r="L56" s="669"/>
      <c r="M56" s="669"/>
      <c r="N56" s="669">
        <v>0.05</v>
      </c>
      <c r="O56" s="669"/>
      <c r="P56" s="669"/>
      <c r="Q56" s="669"/>
      <c r="R56" s="669"/>
      <c r="S56" s="669"/>
      <c r="T56" s="669"/>
      <c r="U56" s="669"/>
      <c r="V56" s="669"/>
      <c r="W56" s="669"/>
      <c r="X56" s="669"/>
      <c r="Y56" s="635"/>
      <c r="Z56" s="635"/>
      <c r="AA56" s="635"/>
      <c r="AB56" s="635"/>
      <c r="AC56" s="635"/>
      <c r="AD56" s="635"/>
      <c r="AE56" s="635"/>
      <c r="AF56" s="635"/>
      <c r="AG56" s="635"/>
      <c r="AH56" s="635"/>
      <c r="AI56" s="635"/>
      <c r="AJ56" s="635"/>
      <c r="AK56" s="635"/>
      <c r="AL56" s="635"/>
      <c r="AM56" s="635"/>
      <c r="AN56" s="635"/>
      <c r="AO56" s="635"/>
      <c r="AP56" s="635"/>
      <c r="AQ56" s="635"/>
      <c r="AR56" s="635"/>
      <c r="AS56" s="635"/>
      <c r="AT56" s="635"/>
      <c r="AU56" s="635"/>
      <c r="AV56" s="635"/>
      <c r="AW56" s="635"/>
      <c r="AX56" s="635"/>
    </row>
    <row r="57" spans="1:50" ht="15" customHeight="1">
      <c r="A57" s="325"/>
      <c r="B57" s="676" t="str">
        <f>Translate!$E$48</f>
        <v>Mining company financing assumptions</v>
      </c>
      <c r="C57" s="342"/>
      <c r="D57" s="1071"/>
      <c r="E57" s="1041"/>
      <c r="F57" s="655"/>
      <c r="G57" s="1058"/>
      <c r="H57" s="1058"/>
      <c r="I57" s="1058"/>
      <c r="J57" s="1058"/>
      <c r="K57" s="1094"/>
      <c r="L57" s="1094"/>
      <c r="M57" s="1094"/>
      <c r="N57" s="1094"/>
      <c r="O57" s="1094"/>
      <c r="P57" s="1094"/>
      <c r="Q57" s="1094"/>
      <c r="R57" s="1094"/>
      <c r="S57" s="1094"/>
      <c r="T57" s="1094"/>
      <c r="U57" s="1094"/>
      <c r="V57" s="1094"/>
      <c r="W57" s="1094"/>
      <c r="X57" s="1094"/>
      <c r="Y57" s="1094"/>
      <c r="Z57" s="1094"/>
      <c r="AA57" s="1094"/>
      <c r="AB57" s="1094"/>
      <c r="AC57" s="1094"/>
      <c r="AD57" s="1094"/>
      <c r="AE57" s="1094"/>
      <c r="AF57" s="1094"/>
      <c r="AG57" s="1094"/>
      <c r="AH57" s="1094"/>
      <c r="AI57" s="1094"/>
      <c r="AJ57" s="1094"/>
      <c r="AK57" s="1094"/>
      <c r="AL57" s="1094"/>
      <c r="AM57" s="1094"/>
      <c r="AN57" s="1094"/>
      <c r="AO57" s="1094"/>
      <c r="AP57" s="1094"/>
      <c r="AQ57" s="1094"/>
      <c r="AR57" s="1094"/>
      <c r="AS57" s="1094"/>
      <c r="AT57" s="1094"/>
      <c r="AU57" s="1094"/>
      <c r="AV57" s="1094"/>
      <c r="AW57" s="1094"/>
      <c r="AX57" s="1094"/>
    </row>
    <row r="58" spans="1:50" s="632" customFormat="1" ht="15" customHeight="1">
      <c r="A58" s="630"/>
      <c r="B58" s="684"/>
      <c r="C58" s="631"/>
      <c r="D58" s="1089"/>
      <c r="E58" s="1089" t="str">
        <f>Translate!$E$158</f>
        <v>Proportion development costs borrowed</v>
      </c>
      <c r="F58" s="650">
        <f>INDEX(K58:AX58,$F$13)</f>
        <v>0.7</v>
      </c>
      <c r="G58" s="633" t="s">
        <v>29</v>
      </c>
      <c r="H58" s="633"/>
      <c r="I58" s="1089"/>
      <c r="J58" s="1089"/>
      <c r="K58" s="667">
        <v>0.7</v>
      </c>
      <c r="L58" s="667">
        <v>0.7</v>
      </c>
      <c r="M58" s="667">
        <v>0.7</v>
      </c>
      <c r="N58" s="667">
        <v>0.7</v>
      </c>
      <c r="O58" s="667"/>
      <c r="P58" s="667"/>
      <c r="Q58" s="667"/>
      <c r="R58" s="667"/>
      <c r="S58" s="667"/>
      <c r="T58" s="667"/>
      <c r="U58" s="667"/>
      <c r="V58" s="667"/>
      <c r="W58" s="667"/>
      <c r="X58" s="667"/>
      <c r="Y58" s="667"/>
      <c r="Z58" s="667"/>
      <c r="AA58" s="667"/>
      <c r="AB58" s="667"/>
      <c r="AC58" s="667"/>
      <c r="AD58" s="667"/>
      <c r="AE58" s="667"/>
      <c r="AF58" s="667"/>
      <c r="AG58" s="667"/>
      <c r="AH58" s="667"/>
      <c r="AI58" s="667"/>
      <c r="AJ58" s="667"/>
      <c r="AK58" s="667"/>
      <c r="AL58" s="667"/>
      <c r="AM58" s="667"/>
      <c r="AN58" s="667"/>
      <c r="AO58" s="667"/>
      <c r="AP58" s="667"/>
      <c r="AQ58" s="667"/>
      <c r="AR58" s="667"/>
      <c r="AS58" s="667"/>
      <c r="AT58" s="667"/>
      <c r="AU58" s="667"/>
      <c r="AV58" s="667"/>
      <c r="AW58" s="667"/>
      <c r="AX58" s="667"/>
    </row>
    <row r="59" spans="1:50" ht="15" customHeight="1">
      <c r="A59" s="325"/>
      <c r="B59" s="676"/>
      <c r="C59" s="342"/>
      <c r="D59" s="1071"/>
      <c r="E59" s="1044" t="str">
        <f>Translate!$E$159</f>
        <v>Repayment period (yrs after financing period) (max)</v>
      </c>
      <c r="F59" s="398">
        <f>INDEX(K59:AX59,$F$13)</f>
        <v>5</v>
      </c>
      <c r="G59" s="346" t="str">
        <f xml:space="preserve"> Translate!E$358</f>
        <v>Years</v>
      </c>
      <c r="H59" s="346"/>
      <c r="I59" s="346"/>
      <c r="J59" s="346"/>
      <c r="K59" s="494">
        <v>5</v>
      </c>
      <c r="L59" s="494">
        <v>5</v>
      </c>
      <c r="M59" s="494">
        <v>5</v>
      </c>
      <c r="N59" s="494">
        <v>5</v>
      </c>
      <c r="O59" s="494"/>
      <c r="P59" s="494"/>
      <c r="Q59" s="494"/>
      <c r="R59" s="494"/>
      <c r="S59" s="494"/>
      <c r="T59" s="494"/>
      <c r="U59" s="494"/>
      <c r="V59" s="494"/>
      <c r="W59" s="494"/>
      <c r="X59" s="494"/>
      <c r="Y59" s="494"/>
      <c r="Z59" s="494"/>
      <c r="AA59" s="494"/>
      <c r="AB59" s="494"/>
      <c r="AC59" s="494"/>
      <c r="AD59" s="494"/>
      <c r="AE59" s="494"/>
      <c r="AF59" s="494"/>
      <c r="AG59" s="494"/>
      <c r="AH59" s="494"/>
      <c r="AI59" s="494"/>
      <c r="AJ59" s="494"/>
      <c r="AK59" s="494"/>
      <c r="AL59" s="494"/>
      <c r="AM59" s="494"/>
      <c r="AN59" s="494"/>
      <c r="AO59" s="494"/>
      <c r="AP59" s="494"/>
      <c r="AQ59" s="494"/>
      <c r="AR59" s="494"/>
      <c r="AS59" s="494"/>
      <c r="AT59" s="494"/>
      <c r="AU59" s="494"/>
      <c r="AV59" s="494"/>
      <c r="AW59" s="494"/>
      <c r="AX59" s="494"/>
    </row>
    <row r="60" spans="1:50" ht="15" customHeight="1">
      <c r="A60" s="348"/>
      <c r="B60" s="676"/>
      <c r="C60" s="342"/>
      <c r="D60" s="1071"/>
      <c r="E60" s="1024" t="str">
        <f>Translate!$E$160</f>
        <v>Loan real interest rate (margin over LIBOR)</v>
      </c>
      <c r="F60" s="647">
        <f>INDEX(K60:AX60,$F$13)</f>
        <v>0.05</v>
      </c>
      <c r="G60" s="1059" t="s">
        <v>29</v>
      </c>
      <c r="H60" s="1059"/>
      <c r="I60" s="1059"/>
      <c r="J60" s="1059"/>
      <c r="K60" s="803">
        <v>0.05</v>
      </c>
      <c r="L60" s="803">
        <v>0.05</v>
      </c>
      <c r="M60" s="803">
        <v>0.05</v>
      </c>
      <c r="N60" s="803">
        <v>0.05</v>
      </c>
      <c r="O60" s="803"/>
      <c r="P60" s="803"/>
      <c r="Q60" s="803"/>
      <c r="R60" s="803"/>
      <c r="S60" s="803"/>
      <c r="T60" s="803"/>
      <c r="U60" s="803"/>
      <c r="V60" s="803"/>
      <c r="W60" s="803"/>
      <c r="X60" s="803"/>
      <c r="Y60" s="803"/>
      <c r="Z60" s="803"/>
      <c r="AA60" s="803"/>
      <c r="AB60" s="803"/>
      <c r="AC60" s="803"/>
      <c r="AD60" s="803"/>
      <c r="AE60" s="803"/>
      <c r="AF60" s="803"/>
      <c r="AG60" s="803"/>
      <c r="AH60" s="803"/>
      <c r="AI60" s="803"/>
      <c r="AJ60" s="803"/>
      <c r="AK60" s="803"/>
      <c r="AL60" s="803"/>
      <c r="AM60" s="803"/>
      <c r="AN60" s="803"/>
      <c r="AO60" s="803"/>
      <c r="AP60" s="803"/>
      <c r="AQ60" s="803"/>
      <c r="AR60" s="803"/>
      <c r="AS60" s="803"/>
      <c r="AT60" s="803"/>
      <c r="AU60" s="803"/>
      <c r="AV60" s="803"/>
      <c r="AW60" s="803"/>
      <c r="AX60" s="803"/>
    </row>
    <row r="61" spans="1:50" s="7" customFormat="1" ht="15" customHeight="1">
      <c r="A61" s="804"/>
      <c r="B61" s="805" t="str">
        <f>Translate!$E$50</f>
        <v>VAT</v>
      </c>
      <c r="C61" s="806"/>
      <c r="D61" s="807"/>
      <c r="E61" s="808"/>
      <c r="F61" s="809"/>
      <c r="G61" s="810"/>
      <c r="H61" s="810"/>
      <c r="I61" s="810"/>
      <c r="J61" s="810"/>
      <c r="K61" s="811"/>
      <c r="L61" s="811"/>
      <c r="M61" s="811"/>
      <c r="N61" s="811"/>
      <c r="O61" s="811"/>
      <c r="P61" s="811"/>
      <c r="Q61" s="811"/>
      <c r="R61" s="811"/>
      <c r="S61" s="811"/>
      <c r="T61" s="811"/>
      <c r="U61" s="811"/>
      <c r="V61" s="811"/>
      <c r="W61" s="811"/>
      <c r="X61" s="811"/>
      <c r="Y61" s="811"/>
      <c r="Z61" s="811"/>
      <c r="AA61" s="811"/>
      <c r="AB61" s="811"/>
      <c r="AC61" s="811"/>
      <c r="AD61" s="811"/>
      <c r="AE61" s="811"/>
      <c r="AF61" s="811"/>
      <c r="AG61" s="811"/>
      <c r="AH61" s="811"/>
      <c r="AI61" s="811"/>
      <c r="AJ61" s="811"/>
      <c r="AK61" s="811"/>
      <c r="AL61" s="811"/>
      <c r="AM61" s="811"/>
      <c r="AN61" s="811"/>
      <c r="AO61" s="811"/>
      <c r="AP61" s="811"/>
      <c r="AQ61" s="811"/>
      <c r="AR61" s="811"/>
      <c r="AS61" s="811"/>
      <c r="AT61" s="811"/>
      <c r="AU61" s="811"/>
      <c r="AV61" s="811"/>
      <c r="AW61" s="811"/>
      <c r="AX61" s="811"/>
    </row>
    <row r="62" spans="1:50" s="4" customFormat="1" ht="15" customHeight="1">
      <c r="A62" s="98"/>
      <c r="B62" s="812"/>
      <c r="C62" s="813"/>
      <c r="D62" s="44"/>
      <c r="E62" s="45" t="str">
        <f>Translate!$E$161</f>
        <v>VAT Rate</v>
      </c>
      <c r="F62" s="722">
        <f>INDEX(K62:AX62,$F$13)</f>
        <v>0</v>
      </c>
      <c r="G62" s="46" t="s">
        <v>29</v>
      </c>
      <c r="H62" s="46"/>
      <c r="I62" s="46"/>
      <c r="J62" s="46"/>
      <c r="K62" s="814"/>
      <c r="L62" s="814"/>
      <c r="M62" s="814"/>
      <c r="N62" s="814"/>
      <c r="O62" s="814"/>
      <c r="P62" s="814"/>
      <c r="Q62" s="814"/>
      <c r="R62" s="814"/>
      <c r="S62" s="814"/>
      <c r="T62" s="814"/>
      <c r="U62" s="814"/>
      <c r="V62" s="814"/>
      <c r="W62" s="814"/>
      <c r="X62" s="814"/>
      <c r="Y62" s="814"/>
      <c r="Z62" s="814"/>
      <c r="AA62" s="814"/>
      <c r="AB62" s="814"/>
      <c r="AC62" s="814"/>
      <c r="AD62" s="814"/>
      <c r="AE62" s="814"/>
      <c r="AF62" s="814"/>
      <c r="AG62" s="814"/>
      <c r="AH62" s="814"/>
      <c r="AI62" s="814"/>
      <c r="AJ62" s="814"/>
      <c r="AK62" s="814"/>
      <c r="AL62" s="814"/>
      <c r="AM62" s="814"/>
      <c r="AN62" s="814"/>
      <c r="AO62" s="814"/>
      <c r="AP62" s="814"/>
      <c r="AQ62" s="814"/>
      <c r="AR62" s="814"/>
      <c r="AS62" s="814"/>
      <c r="AT62" s="814"/>
      <c r="AU62" s="814"/>
      <c r="AV62" s="814"/>
      <c r="AW62" s="814"/>
      <c r="AX62" s="814"/>
    </row>
    <row r="63" spans="1:50" s="4" customFormat="1" ht="15" customHeight="1">
      <c r="A63" s="98"/>
      <c r="B63" s="812"/>
      <c r="C63" s="813"/>
      <c r="D63" s="44"/>
      <c r="E63" s="45" t="str">
        <f>Translate!$E$162</f>
        <v>% Exploration &amp; capex subject to VAT</v>
      </c>
      <c r="F63" s="728">
        <f>INDEX(K63:AX63,$F$13)</f>
        <v>0</v>
      </c>
      <c r="G63" s="46" t="s">
        <v>29</v>
      </c>
      <c r="H63" s="46"/>
      <c r="I63" s="46"/>
      <c r="J63" s="46"/>
      <c r="K63" s="730"/>
      <c r="L63" s="730"/>
      <c r="M63" s="730"/>
      <c r="N63" s="730"/>
      <c r="O63" s="730"/>
      <c r="P63" s="730"/>
      <c r="Q63" s="730"/>
      <c r="R63" s="730"/>
      <c r="S63" s="730"/>
      <c r="T63" s="730"/>
      <c r="U63" s="730"/>
      <c r="V63" s="730"/>
      <c r="W63" s="730"/>
      <c r="X63" s="730"/>
      <c r="Y63" s="730"/>
      <c r="Z63" s="730"/>
      <c r="AA63" s="730"/>
      <c r="AB63" s="730"/>
      <c r="AC63" s="730"/>
      <c r="AD63" s="730"/>
      <c r="AE63" s="730"/>
      <c r="AF63" s="730"/>
      <c r="AG63" s="730"/>
      <c r="AH63" s="730"/>
      <c r="AI63" s="730"/>
      <c r="AJ63" s="730"/>
      <c r="AK63" s="730"/>
      <c r="AL63" s="730"/>
      <c r="AM63" s="730"/>
      <c r="AN63" s="730"/>
      <c r="AO63" s="730"/>
      <c r="AP63" s="730"/>
      <c r="AQ63" s="730"/>
      <c r="AR63" s="730"/>
      <c r="AS63" s="730"/>
      <c r="AT63" s="730"/>
      <c r="AU63" s="730"/>
      <c r="AV63" s="730"/>
      <c r="AW63" s="730"/>
      <c r="AX63" s="730"/>
    </row>
    <row r="64" spans="1:50" s="4" customFormat="1" ht="15" customHeight="1">
      <c r="A64" s="98"/>
      <c r="B64" s="812"/>
      <c r="C64" s="813"/>
      <c r="D64" s="44"/>
      <c r="E64" s="45" t="str">
        <f>Translate!$E$163</f>
        <v>% opex subject to VAT</v>
      </c>
      <c r="F64" s="728">
        <f>INDEX(K64:AX64,$F$13)</f>
        <v>0</v>
      </c>
      <c r="G64" s="46" t="s">
        <v>29</v>
      </c>
      <c r="H64" s="46"/>
      <c r="I64" s="46"/>
      <c r="J64" s="46"/>
      <c r="K64" s="730"/>
      <c r="L64" s="730"/>
      <c r="M64" s="730"/>
      <c r="N64" s="730"/>
      <c r="O64" s="730"/>
      <c r="P64" s="730"/>
      <c r="Q64" s="730"/>
      <c r="R64" s="730"/>
      <c r="S64" s="730"/>
      <c r="T64" s="730"/>
      <c r="U64" s="730"/>
      <c r="V64" s="730"/>
      <c r="W64" s="730"/>
      <c r="X64" s="730"/>
      <c r="Y64" s="730"/>
      <c r="Z64" s="730"/>
      <c r="AA64" s="730"/>
      <c r="AB64" s="730"/>
      <c r="AC64" s="730"/>
      <c r="AD64" s="730"/>
      <c r="AE64" s="730"/>
      <c r="AF64" s="730"/>
      <c r="AG64" s="730"/>
      <c r="AH64" s="730"/>
      <c r="AI64" s="730"/>
      <c r="AJ64" s="730"/>
      <c r="AK64" s="730"/>
      <c r="AL64" s="730"/>
      <c r="AM64" s="730"/>
      <c r="AN64" s="730"/>
      <c r="AO64" s="730"/>
      <c r="AP64" s="730"/>
      <c r="AQ64" s="730"/>
      <c r="AR64" s="730"/>
      <c r="AS64" s="730"/>
      <c r="AT64" s="730"/>
      <c r="AU64" s="730"/>
      <c r="AV64" s="730"/>
      <c r="AW64" s="730"/>
      <c r="AX64" s="730"/>
    </row>
    <row r="65" spans="1:50" s="4" customFormat="1" ht="15" customHeight="1">
      <c r="A65" s="98"/>
      <c r="B65" s="812"/>
      <c r="C65" s="813"/>
      <c r="D65" s="44"/>
      <c r="E65" s="45" t="str">
        <f>Translate!$E$164</f>
        <v>VAT refund delay</v>
      </c>
      <c r="F65" s="157">
        <f>INDEX(K65:AX65,$F$13)</f>
        <v>0</v>
      </c>
      <c r="G65" s="306" t="str">
        <f xml:space="preserve"> Translate!E$362</f>
        <v>Months</v>
      </c>
      <c r="H65" s="46"/>
      <c r="I65" s="46"/>
      <c r="J65" s="46"/>
      <c r="K65" s="723"/>
      <c r="L65" s="723"/>
      <c r="M65" s="723"/>
      <c r="N65" s="723"/>
      <c r="O65" s="723"/>
      <c r="P65" s="723"/>
      <c r="Q65" s="723"/>
      <c r="R65" s="723"/>
      <c r="S65" s="723"/>
      <c r="T65" s="723"/>
      <c r="U65" s="723"/>
      <c r="V65" s="723"/>
      <c r="W65" s="723"/>
      <c r="X65" s="723"/>
      <c r="Y65" s="723"/>
      <c r="Z65" s="723"/>
      <c r="AA65" s="723"/>
      <c r="AB65" s="723"/>
      <c r="AC65" s="723"/>
      <c r="AD65" s="723"/>
      <c r="AE65" s="723"/>
      <c r="AF65" s="723"/>
      <c r="AG65" s="723"/>
      <c r="AH65" s="723"/>
      <c r="AI65" s="723"/>
      <c r="AJ65" s="723"/>
      <c r="AK65" s="723"/>
      <c r="AL65" s="723"/>
      <c r="AM65" s="723"/>
      <c r="AN65" s="723"/>
      <c r="AO65" s="723"/>
      <c r="AP65" s="723"/>
      <c r="AQ65" s="723"/>
      <c r="AR65" s="723"/>
      <c r="AS65" s="723"/>
      <c r="AT65" s="723"/>
      <c r="AU65" s="723"/>
      <c r="AV65" s="723"/>
      <c r="AW65" s="723"/>
      <c r="AX65" s="723"/>
    </row>
    <row r="66" spans="1:50" s="303" customFormat="1" ht="15" customHeight="1">
      <c r="A66" s="306"/>
      <c r="B66" s="815"/>
      <c r="C66" s="816"/>
      <c r="D66" s="306"/>
      <c r="E66" s="303" t="str">
        <f>Translate!$E$165</f>
        <v>VAT applicable from</v>
      </c>
      <c r="F66" s="817">
        <f>INDEX(K66:AX66,$F$13)</f>
        <v>0</v>
      </c>
      <c r="G66" s="304" t="str">
        <f xml:space="preserve"> Translate!E$363</f>
        <v>selected</v>
      </c>
      <c r="H66" s="306"/>
      <c r="I66" s="861" cm="1">
        <f t="array" ref="I66">MAX(0,IFERROR(MIN( 0, IF(K66:AX66&lt;&gt;"",MATCH(K66:AX66,$F$542:$F$544,0),0) ),1))</f>
        <v>0</v>
      </c>
      <c r="J66" s="306"/>
      <c r="K66" s="818"/>
      <c r="L66" s="818"/>
      <c r="M66" s="818"/>
      <c r="N66" s="818"/>
      <c r="O66" s="818"/>
      <c r="P66" s="818"/>
      <c r="Q66" s="818"/>
      <c r="R66" s="818"/>
      <c r="S66" s="818"/>
      <c r="T66" s="818"/>
      <c r="U66" s="818"/>
      <c r="V66" s="818"/>
      <c r="W66" s="818"/>
      <c r="X66" s="818"/>
      <c r="Y66" s="818"/>
      <c r="Z66" s="818"/>
      <c r="AA66" s="818"/>
      <c r="AB66" s="818"/>
      <c r="AC66" s="818"/>
      <c r="AD66" s="818"/>
      <c r="AE66" s="818"/>
      <c r="AF66" s="818"/>
      <c r="AG66" s="818"/>
      <c r="AH66" s="818"/>
      <c r="AI66" s="818"/>
      <c r="AJ66" s="818"/>
      <c r="AK66" s="818"/>
      <c r="AL66" s="818"/>
      <c r="AM66" s="818"/>
      <c r="AN66" s="818"/>
      <c r="AO66" s="818"/>
      <c r="AP66" s="818"/>
      <c r="AQ66" s="818"/>
      <c r="AR66" s="818"/>
      <c r="AS66" s="818"/>
      <c r="AT66" s="818"/>
      <c r="AU66" s="818"/>
      <c r="AV66" s="818"/>
      <c r="AW66" s="818"/>
      <c r="AX66" s="818"/>
    </row>
    <row r="67" spans="1:50" ht="15" customHeight="1">
      <c r="A67" s="348"/>
      <c r="B67" s="676"/>
      <c r="C67" s="342"/>
      <c r="D67" s="1071"/>
      <c r="E67" s="1024"/>
      <c r="F67" s="345"/>
      <c r="G67" s="1059"/>
      <c r="H67" s="1059"/>
      <c r="I67" s="1059"/>
      <c r="J67" s="1059"/>
      <c r="K67" s="495"/>
      <c r="L67" s="495"/>
      <c r="M67" s="495"/>
      <c r="N67" s="495"/>
      <c r="O67" s="495"/>
      <c r="P67" s="495"/>
      <c r="Q67" s="495"/>
      <c r="R67" s="495"/>
      <c r="S67" s="495"/>
      <c r="T67" s="495"/>
      <c r="U67" s="495"/>
      <c r="V67" s="495"/>
      <c r="W67" s="495"/>
      <c r="X67" s="495"/>
      <c r="Y67" s="495"/>
      <c r="Z67" s="495"/>
      <c r="AA67" s="495"/>
      <c r="AB67" s="495"/>
      <c r="AC67" s="495"/>
      <c r="AD67" s="495"/>
      <c r="AE67" s="495"/>
      <c r="AF67" s="495"/>
      <c r="AG67" s="495"/>
      <c r="AH67" s="495"/>
      <c r="AI67" s="495"/>
      <c r="AJ67" s="495"/>
      <c r="AK67" s="495"/>
      <c r="AL67" s="495"/>
      <c r="AM67" s="495"/>
      <c r="AN67" s="495"/>
      <c r="AO67" s="495"/>
      <c r="AP67" s="495"/>
      <c r="AQ67" s="495"/>
      <c r="AR67" s="495"/>
      <c r="AS67" s="495"/>
      <c r="AT67" s="495"/>
      <c r="AU67" s="495"/>
      <c r="AV67" s="495"/>
      <c r="AW67" s="495"/>
      <c r="AX67" s="495"/>
    </row>
    <row r="68" spans="1:50" ht="15" customHeight="1">
      <c r="A68" s="1067" t="str">
        <f>Translate!$E$22</f>
        <v>Bottom of fiscal regime parameters</v>
      </c>
      <c r="B68" s="675"/>
      <c r="C68" s="340"/>
      <c r="D68" s="1067"/>
      <c r="E68" s="1067"/>
      <c r="F68" s="1095"/>
      <c r="G68" s="1096"/>
      <c r="H68" s="1067"/>
      <c r="I68" s="1067"/>
      <c r="J68" s="1067"/>
      <c r="K68" s="1095"/>
      <c r="L68" s="1095"/>
      <c r="M68" s="1095"/>
      <c r="N68" s="1095"/>
      <c r="O68" s="1095"/>
      <c r="P68" s="1095"/>
      <c r="Q68" s="1095"/>
      <c r="R68" s="1095"/>
      <c r="S68" s="1067"/>
      <c r="T68" s="1095"/>
      <c r="U68" s="1095"/>
      <c r="V68" s="1095"/>
      <c r="W68" s="1095"/>
      <c r="X68" s="1095"/>
      <c r="Y68" s="1067"/>
      <c r="Z68" s="1067"/>
      <c r="AA68" s="1067"/>
      <c r="AB68" s="1067"/>
      <c r="AC68" s="1067"/>
      <c r="AD68" s="1067"/>
      <c r="AE68" s="1067"/>
      <c r="AF68" s="1067"/>
      <c r="AG68" s="1067"/>
      <c r="AH68" s="1067"/>
      <c r="AI68" s="1067"/>
      <c r="AJ68" s="1067"/>
      <c r="AK68" s="1067"/>
      <c r="AL68" s="1067"/>
      <c r="AM68" s="1067"/>
      <c r="AN68" s="1067"/>
      <c r="AO68" s="1067"/>
      <c r="AP68" s="1067"/>
      <c r="AQ68" s="1067"/>
      <c r="AR68" s="1067"/>
      <c r="AS68" s="1067"/>
      <c r="AT68" s="1067"/>
      <c r="AU68" s="1067"/>
      <c r="AV68" s="1067"/>
      <c r="AW68" s="1067"/>
      <c r="AX68" s="1067"/>
    </row>
    <row r="69" spans="1:50" ht="15" customHeight="1">
      <c r="A69" s="347"/>
      <c r="B69" s="643"/>
      <c r="C69" s="333"/>
      <c r="D69" s="1057"/>
      <c r="E69" s="349"/>
      <c r="F69" s="350"/>
      <c r="G69" s="1058"/>
      <c r="H69" s="1058"/>
      <c r="I69" s="1048"/>
      <c r="J69" s="1059"/>
      <c r="K69" s="1059"/>
      <c r="L69" s="1059"/>
      <c r="M69" s="1059"/>
      <c r="N69" s="1059"/>
      <c r="O69" s="1059"/>
      <c r="P69" s="1059"/>
      <c r="Q69" s="1059"/>
      <c r="R69" s="1059"/>
      <c r="S69" s="1059"/>
      <c r="T69" s="1059"/>
      <c r="U69" s="1059"/>
      <c r="V69" s="1059"/>
      <c r="W69" s="1059"/>
      <c r="X69" s="1059"/>
      <c r="Y69" s="1059"/>
      <c r="Z69" s="1059"/>
      <c r="AA69" s="1059"/>
      <c r="AB69" s="1059"/>
      <c r="AC69" s="1059"/>
      <c r="AD69" s="1059"/>
      <c r="AE69" s="1059"/>
      <c r="AF69" s="1059"/>
      <c r="AG69" s="1059"/>
      <c r="AH69" s="1059"/>
      <c r="AI69" s="1059"/>
      <c r="AJ69" s="1059"/>
      <c r="AK69" s="1059"/>
      <c r="AL69" s="1059"/>
      <c r="AM69" s="1059"/>
      <c r="AN69" s="1059"/>
      <c r="AO69" s="1059"/>
      <c r="AP69" s="1059"/>
      <c r="AQ69" s="1059"/>
      <c r="AR69" s="1059"/>
      <c r="AS69" s="1059"/>
      <c r="AT69" s="1059"/>
      <c r="AU69" s="1059"/>
      <c r="AV69" s="1059"/>
      <c r="AW69" s="1059"/>
      <c r="AX69" s="1059"/>
    </row>
    <row r="70" spans="1:50" ht="15" customHeight="1">
      <c r="A70" s="351" t="str">
        <f>Translate!$E$23</f>
        <v>Decommissioning fund</v>
      </c>
      <c r="B70" s="686"/>
      <c r="C70" s="352"/>
      <c r="D70" s="353"/>
      <c r="E70" s="3"/>
      <c r="F70" s="351"/>
      <c r="G70" s="351"/>
      <c r="H70" s="351"/>
      <c r="I70" s="351"/>
      <c r="J70" s="351"/>
      <c r="K70" s="351"/>
      <c r="L70" s="351"/>
      <c r="M70" s="351"/>
      <c r="N70" s="351"/>
      <c r="O70" s="351"/>
      <c r="P70" s="351"/>
      <c r="Q70" s="351"/>
      <c r="R70" s="351"/>
      <c r="S70" s="351"/>
      <c r="T70" s="351"/>
      <c r="U70" s="351"/>
      <c r="V70" s="351"/>
      <c r="W70" s="351"/>
      <c r="X70" s="351"/>
      <c r="Y70" s="351"/>
      <c r="Z70" s="351"/>
      <c r="AA70" s="351"/>
      <c r="AB70" s="351"/>
      <c r="AC70" s="351"/>
      <c r="AD70" s="351"/>
      <c r="AE70" s="351"/>
      <c r="AF70" s="351"/>
      <c r="AG70" s="351"/>
      <c r="AH70" s="351"/>
      <c r="AI70" s="351"/>
      <c r="AJ70" s="351"/>
      <c r="AK70" s="351"/>
      <c r="AL70" s="351"/>
      <c r="AM70" s="351"/>
      <c r="AN70" s="351"/>
      <c r="AO70" s="351"/>
      <c r="AP70" s="351"/>
      <c r="AQ70" s="351"/>
      <c r="AR70" s="351"/>
      <c r="AS70" s="351"/>
      <c r="AT70" s="351"/>
      <c r="AU70" s="351"/>
      <c r="AV70" s="351"/>
      <c r="AW70" s="351"/>
      <c r="AX70" s="351"/>
    </row>
    <row r="71" spans="1:50" ht="15" customHeight="1">
      <c r="A71" s="354"/>
      <c r="B71" s="674"/>
      <c r="C71" s="355"/>
      <c r="D71" s="356"/>
      <c r="E71" s="357"/>
      <c r="F71" s="354"/>
      <c r="G71" s="354"/>
      <c r="H71" s="354"/>
      <c r="I71" s="354"/>
      <c r="J71" s="354"/>
      <c r="K71" s="354"/>
      <c r="L71" s="354"/>
      <c r="M71" s="354"/>
      <c r="N71" s="354"/>
      <c r="O71" s="354"/>
      <c r="P71" s="354"/>
      <c r="Q71" s="354"/>
      <c r="R71" s="354"/>
      <c r="S71" s="354"/>
      <c r="T71" s="354"/>
      <c r="U71" s="354"/>
      <c r="V71" s="354"/>
      <c r="W71" s="354"/>
      <c r="X71" s="354"/>
      <c r="Y71" s="354"/>
      <c r="Z71" s="354"/>
      <c r="AA71" s="354"/>
      <c r="AB71" s="354"/>
      <c r="AC71" s="354"/>
      <c r="AD71" s="354"/>
      <c r="AE71" s="354"/>
      <c r="AF71" s="354"/>
      <c r="AG71" s="354"/>
      <c r="AH71" s="354"/>
      <c r="AI71" s="354"/>
      <c r="AJ71" s="354"/>
      <c r="AK71" s="354"/>
      <c r="AL71" s="354"/>
      <c r="AM71" s="354"/>
      <c r="AN71" s="354"/>
      <c r="AO71" s="354"/>
      <c r="AP71" s="354"/>
      <c r="AQ71" s="354"/>
      <c r="AR71" s="354"/>
      <c r="AS71" s="354"/>
      <c r="AT71" s="354"/>
      <c r="AU71" s="354"/>
      <c r="AV71" s="354"/>
      <c r="AW71" s="354"/>
      <c r="AX71" s="354"/>
    </row>
    <row r="72" spans="1:50" s="260" customFormat="1" ht="15" customHeight="1">
      <c r="A72" s="358"/>
      <c r="B72" s="674" t="str">
        <f>Translate!$E$51</f>
        <v>Determine start of contributions</v>
      </c>
      <c r="C72" s="360"/>
      <c r="D72" s="361"/>
      <c r="E72" s="22"/>
      <c r="F72" s="358"/>
      <c r="G72" s="358"/>
      <c r="H72" s="358"/>
      <c r="I72" s="358"/>
      <c r="J72" s="358"/>
      <c r="K72" s="358"/>
      <c r="L72" s="358"/>
      <c r="M72" s="358"/>
      <c r="N72" s="358"/>
      <c r="O72" s="358"/>
      <c r="P72" s="358"/>
      <c r="Q72" s="358"/>
      <c r="R72" s="358"/>
      <c r="S72" s="358"/>
      <c r="T72" s="358"/>
      <c r="U72" s="358"/>
      <c r="V72" s="358"/>
      <c r="W72" s="358"/>
      <c r="X72" s="358"/>
      <c r="Y72" s="358"/>
      <c r="Z72" s="358"/>
      <c r="AA72" s="358"/>
      <c r="AB72" s="358"/>
      <c r="AC72" s="358"/>
      <c r="AD72" s="358"/>
      <c r="AE72" s="358"/>
      <c r="AF72" s="358"/>
      <c r="AG72" s="358"/>
      <c r="AH72" s="358"/>
      <c r="AI72" s="358"/>
      <c r="AJ72" s="358"/>
      <c r="AK72" s="358"/>
      <c r="AL72" s="358"/>
      <c r="AM72" s="358"/>
      <c r="AN72" s="358"/>
      <c r="AO72" s="358"/>
      <c r="AP72" s="358"/>
      <c r="AQ72" s="358"/>
      <c r="AR72" s="358"/>
      <c r="AS72" s="358"/>
      <c r="AT72" s="358"/>
      <c r="AU72" s="358"/>
      <c r="AV72" s="358"/>
      <c r="AW72" s="358"/>
      <c r="AX72" s="358"/>
    </row>
    <row r="73" spans="1:50" s="221" customFormat="1" ht="15" customHeight="1">
      <c r="A73" s="362"/>
      <c r="B73" s="643"/>
      <c r="C73" s="363"/>
      <c r="D73" s="364"/>
      <c r="E73" s="219" t="str">
        <f ca="1" xml:space="preserve"> ProjectCashflows!E$143</f>
        <v>Gold sales, after ELT</v>
      </c>
      <c r="F73" s="219">
        <f xml:space="preserve"> ProjectCashflows!F$143</f>
        <v>0</v>
      </c>
      <c r="G73" s="219" t="str">
        <f ca="1" xml:space="preserve"> ProjectCashflows!G$143</f>
        <v>000 ounce</v>
      </c>
      <c r="H73" s="219">
        <f xml:space="preserve"> ProjectCashflows!H$143</f>
        <v>0</v>
      </c>
      <c r="I73" s="219">
        <f ca="1" xml:space="preserve"> ProjectCashflows!I$143</f>
        <v>2000</v>
      </c>
      <c r="J73" s="219">
        <f xml:space="preserve"> ProjectCashflows!J$143</f>
        <v>0</v>
      </c>
      <c r="K73" s="219">
        <f ca="1" xml:space="preserve"> ProjectCashflows!K$143</f>
        <v>0</v>
      </c>
      <c r="L73" s="219">
        <f ca="1" xml:space="preserve"> ProjectCashflows!L$143</f>
        <v>0</v>
      </c>
      <c r="M73" s="219">
        <f ca="1" xml:space="preserve"> ProjectCashflows!M$143</f>
        <v>0</v>
      </c>
      <c r="N73" s="219">
        <f ca="1" xml:space="preserve"> ProjectCashflows!N$143</f>
        <v>0</v>
      </c>
      <c r="O73" s="219">
        <f ca="1" xml:space="preserve"> ProjectCashflows!O$143</f>
        <v>10</v>
      </c>
      <c r="P73" s="219">
        <f ca="1" xml:space="preserve"> ProjectCashflows!P$143</f>
        <v>75</v>
      </c>
      <c r="Q73" s="219">
        <f ca="1" xml:space="preserve"> ProjectCashflows!Q$143</f>
        <v>150</v>
      </c>
      <c r="R73" s="219">
        <f ca="1" xml:space="preserve"> ProjectCashflows!R$143</f>
        <v>150</v>
      </c>
      <c r="S73" s="219">
        <f ca="1" xml:space="preserve"> ProjectCashflows!S$143</f>
        <v>150</v>
      </c>
      <c r="T73" s="219">
        <f ca="1" xml:space="preserve"> ProjectCashflows!T$143</f>
        <v>150</v>
      </c>
      <c r="U73" s="219">
        <f ca="1" xml:space="preserve"> ProjectCashflows!U$143</f>
        <v>150</v>
      </c>
      <c r="V73" s="219">
        <f ca="1" xml:space="preserve"> ProjectCashflows!V$143</f>
        <v>150</v>
      </c>
      <c r="W73" s="219">
        <f ca="1" xml:space="preserve"> ProjectCashflows!W$143</f>
        <v>150</v>
      </c>
      <c r="X73" s="219">
        <f ca="1" xml:space="preserve"> ProjectCashflows!X$143</f>
        <v>150</v>
      </c>
      <c r="Y73" s="219">
        <f ca="1" xml:space="preserve"> ProjectCashflows!Y$143</f>
        <v>150</v>
      </c>
      <c r="Z73" s="219">
        <f ca="1" xml:space="preserve"> ProjectCashflows!Z$143</f>
        <v>150</v>
      </c>
      <c r="AA73" s="219">
        <f ca="1" xml:space="preserve"> ProjectCashflows!AA$143</f>
        <v>125</v>
      </c>
      <c r="AB73" s="219">
        <f ca="1" xml:space="preserve"> ProjectCashflows!AB$143</f>
        <v>100</v>
      </c>
      <c r="AC73" s="219">
        <f ca="1" xml:space="preserve"> ProjectCashflows!AC$143</f>
        <v>75</v>
      </c>
      <c r="AD73" s="219">
        <f ca="1" xml:space="preserve"> ProjectCashflows!AD$143</f>
        <v>65</v>
      </c>
      <c r="AE73" s="219">
        <f ca="1" xml:space="preserve"> ProjectCashflows!AE$143</f>
        <v>50</v>
      </c>
      <c r="AF73" s="219">
        <f ca="1" xml:space="preserve"> ProjectCashflows!AF$143</f>
        <v>0</v>
      </c>
      <c r="AG73" s="219">
        <f ca="1" xml:space="preserve"> ProjectCashflows!AG$143</f>
        <v>0</v>
      </c>
      <c r="AH73" s="219">
        <f ca="1" xml:space="preserve"> ProjectCashflows!AH$143</f>
        <v>0</v>
      </c>
      <c r="AI73" s="219">
        <f ca="1" xml:space="preserve"> ProjectCashflows!AI$143</f>
        <v>0</v>
      </c>
      <c r="AJ73" s="219">
        <f ca="1" xml:space="preserve"> ProjectCashflows!AJ$143</f>
        <v>0</v>
      </c>
      <c r="AK73" s="219">
        <f ca="1" xml:space="preserve"> ProjectCashflows!AK$143</f>
        <v>0</v>
      </c>
      <c r="AL73" s="219">
        <f ca="1" xml:space="preserve"> ProjectCashflows!AL$143</f>
        <v>0</v>
      </c>
      <c r="AM73" s="219">
        <f ca="1" xml:space="preserve"> ProjectCashflows!AM$143</f>
        <v>0</v>
      </c>
      <c r="AN73" s="219">
        <f ca="1" xml:space="preserve"> ProjectCashflows!AN$143</f>
        <v>0</v>
      </c>
      <c r="AO73" s="219">
        <f ca="1" xml:space="preserve"> ProjectCashflows!AO$143</f>
        <v>0</v>
      </c>
      <c r="AP73" s="219">
        <f ca="1" xml:space="preserve"> ProjectCashflows!AP$143</f>
        <v>0</v>
      </c>
      <c r="AQ73" s="219">
        <f ca="1" xml:space="preserve"> ProjectCashflows!AQ$143</f>
        <v>0</v>
      </c>
      <c r="AR73" s="219">
        <f ca="1" xml:space="preserve"> ProjectCashflows!AR$143</f>
        <v>0</v>
      </c>
      <c r="AS73" s="219">
        <f ca="1" xml:space="preserve"> ProjectCashflows!AS$143</f>
        <v>0</v>
      </c>
      <c r="AT73" s="219">
        <f ca="1" xml:space="preserve"> ProjectCashflows!AT$143</f>
        <v>0</v>
      </c>
      <c r="AU73" s="219">
        <f ca="1" xml:space="preserve"> ProjectCashflows!AU$143</f>
        <v>0</v>
      </c>
      <c r="AV73" s="219">
        <f ca="1" xml:space="preserve"> ProjectCashflows!AV$143</f>
        <v>0</v>
      </c>
      <c r="AW73" s="219">
        <f ca="1" xml:space="preserve"> ProjectCashflows!AW$143</f>
        <v>0</v>
      </c>
      <c r="AX73" s="219">
        <f ca="1" xml:space="preserve"> ProjectCashflows!AX$143</f>
        <v>0</v>
      </c>
    </row>
    <row r="74" spans="1:50" ht="15" customHeight="1">
      <c r="A74" s="325"/>
      <c r="B74" s="643"/>
      <c r="C74" s="333"/>
      <c r="D74" s="1097"/>
      <c r="E74" s="1036" t="str">
        <f ca="1" xml:space="preserve">  E73 &amp; ", " &amp; Translate!$E$19</f>
        <v>Gold sales, after ELT, Total</v>
      </c>
      <c r="F74" s="1049">
        <f ca="1" xml:space="preserve"> SUM(K73:AX73)</f>
        <v>2000</v>
      </c>
      <c r="G74" s="1049" t="str">
        <f ca="1" xml:space="preserve"> G73</f>
        <v>000 ounce</v>
      </c>
      <c r="H74" s="1049"/>
      <c r="I74" s="1049"/>
      <c r="J74" s="1049"/>
      <c r="K74" s="1049"/>
      <c r="L74" s="1049"/>
      <c r="M74" s="1049"/>
      <c r="N74" s="1049"/>
      <c r="O74" s="1049"/>
      <c r="P74" s="1049"/>
      <c r="Q74" s="1049"/>
      <c r="R74" s="1049"/>
      <c r="S74" s="1049"/>
      <c r="T74" s="1049"/>
      <c r="U74" s="1049"/>
      <c r="V74" s="1049"/>
      <c r="W74" s="1049"/>
      <c r="X74" s="1049"/>
      <c r="Y74" s="1049"/>
      <c r="Z74" s="1049"/>
      <c r="AA74" s="1049"/>
      <c r="AB74" s="1049"/>
      <c r="AC74" s="1049"/>
      <c r="AD74" s="1049"/>
      <c r="AE74" s="1049"/>
      <c r="AF74" s="1049"/>
      <c r="AG74" s="1049"/>
      <c r="AH74" s="1049"/>
      <c r="AI74" s="1049"/>
      <c r="AJ74" s="1049"/>
      <c r="AK74" s="1049"/>
      <c r="AL74" s="1049"/>
      <c r="AM74" s="1049"/>
      <c r="AN74" s="1049"/>
      <c r="AO74" s="1049"/>
      <c r="AP74" s="1049"/>
      <c r="AQ74" s="1049"/>
      <c r="AR74" s="1049"/>
      <c r="AS74" s="1049"/>
      <c r="AT74" s="1049"/>
      <c r="AU74" s="1049"/>
      <c r="AV74" s="1049"/>
      <c r="AW74" s="1049"/>
      <c r="AX74" s="1049"/>
    </row>
    <row r="75" spans="1:50" ht="15" customHeight="1">
      <c r="A75" s="325"/>
      <c r="B75" s="643"/>
      <c r="C75" s="333"/>
      <c r="D75" s="1097"/>
      <c r="E75" s="1036" t="str">
        <f>Translate!$E$166</f>
        <v>Proportion reserves produced</v>
      </c>
      <c r="F75" s="332"/>
      <c r="G75" s="1049" t="s">
        <v>29</v>
      </c>
      <c r="H75" s="1049"/>
      <c r="I75" s="1097"/>
      <c r="J75" s="1049"/>
      <c r="K75" s="1098">
        <f ca="1" xml:space="preserve"> SUM($J73:K73) / $F74</f>
        <v>0</v>
      </c>
      <c r="L75" s="1098">
        <f ca="1" xml:space="preserve"> SUM($J73:L73) / $F74</f>
        <v>0</v>
      </c>
      <c r="M75" s="1098">
        <f ca="1" xml:space="preserve"> SUM($J73:M73) / $F74</f>
        <v>0</v>
      </c>
      <c r="N75" s="1098">
        <f ca="1" xml:space="preserve"> SUM($J73:N73) / $F74</f>
        <v>0</v>
      </c>
      <c r="O75" s="1098">
        <f ca="1" xml:space="preserve"> SUM($J73:O73) / $F74</f>
        <v>5.0000000000000001E-3</v>
      </c>
      <c r="P75" s="1098">
        <f ca="1" xml:space="preserve"> SUM($J73:P73) / $F74</f>
        <v>4.2500000000000003E-2</v>
      </c>
      <c r="Q75" s="1098">
        <f ca="1" xml:space="preserve"> SUM($J73:Q73) / $F74</f>
        <v>0.11749999999999999</v>
      </c>
      <c r="R75" s="1098">
        <f ca="1" xml:space="preserve"> SUM($J73:R73) / $F74</f>
        <v>0.1925</v>
      </c>
      <c r="S75" s="1098">
        <f ca="1" xml:space="preserve"> SUM($J73:S73) / $F74</f>
        <v>0.26750000000000002</v>
      </c>
      <c r="T75" s="1098">
        <f ca="1" xml:space="preserve"> SUM($J73:T73) / $F74</f>
        <v>0.34250000000000003</v>
      </c>
      <c r="U75" s="1098">
        <f ca="1" xml:space="preserve"> SUM($J73:U73) / $F74</f>
        <v>0.41749999999999998</v>
      </c>
      <c r="V75" s="1098">
        <f ca="1" xml:space="preserve"> SUM($J73:V73) / $F74</f>
        <v>0.49249999999999999</v>
      </c>
      <c r="W75" s="1098">
        <f ca="1" xml:space="preserve"> SUM($J73:W73) / $F74</f>
        <v>0.5675</v>
      </c>
      <c r="X75" s="1098">
        <f ca="1" xml:space="preserve"> SUM($J73:X73) / $F74</f>
        <v>0.64249999999999996</v>
      </c>
      <c r="Y75" s="1098">
        <f ca="1" xml:space="preserve"> SUM($J73:Y73) / $F74</f>
        <v>0.71750000000000003</v>
      </c>
      <c r="Z75" s="1098">
        <f ca="1" xml:space="preserve"> SUM($J73:Z73) / $F74</f>
        <v>0.79249999999999998</v>
      </c>
      <c r="AA75" s="1098">
        <f ca="1" xml:space="preserve"> SUM($J73:AA73) / $F74</f>
        <v>0.85499999999999998</v>
      </c>
      <c r="AB75" s="1098">
        <f ca="1" xml:space="preserve"> SUM($J73:AB73) / $F74</f>
        <v>0.90500000000000003</v>
      </c>
      <c r="AC75" s="1098">
        <f ca="1" xml:space="preserve"> SUM($J73:AC73) / $F74</f>
        <v>0.9425</v>
      </c>
      <c r="AD75" s="1098">
        <f ca="1" xml:space="preserve"> SUM($J73:AD73) / $F74</f>
        <v>0.97499999999999998</v>
      </c>
      <c r="AE75" s="1098">
        <f ca="1" xml:space="preserve"> SUM($J73:AE73) / $F74</f>
        <v>1</v>
      </c>
      <c r="AF75" s="1098">
        <f ca="1" xml:space="preserve"> SUM($J73:AF73) / $F74</f>
        <v>1</v>
      </c>
      <c r="AG75" s="1098">
        <f ca="1" xml:space="preserve"> SUM($J73:AG73) / $F74</f>
        <v>1</v>
      </c>
      <c r="AH75" s="1098">
        <f ca="1" xml:space="preserve"> SUM($J73:AH73) / $F74</f>
        <v>1</v>
      </c>
      <c r="AI75" s="1098">
        <f ca="1" xml:space="preserve"> SUM($J73:AI73) / $F74</f>
        <v>1</v>
      </c>
      <c r="AJ75" s="1098">
        <f ca="1" xml:space="preserve"> SUM($J73:AJ73) / $F74</f>
        <v>1</v>
      </c>
      <c r="AK75" s="1098">
        <f ca="1" xml:space="preserve"> SUM($J73:AK73) / $F74</f>
        <v>1</v>
      </c>
      <c r="AL75" s="1098">
        <f ca="1" xml:space="preserve"> SUM($J73:AL73) / $F74</f>
        <v>1</v>
      </c>
      <c r="AM75" s="1098">
        <f ca="1" xml:space="preserve"> SUM($J73:AM73) / $F74</f>
        <v>1</v>
      </c>
      <c r="AN75" s="1098">
        <f ca="1" xml:space="preserve"> SUM($J73:AN73) / $F74</f>
        <v>1</v>
      </c>
      <c r="AO75" s="1098">
        <f ca="1" xml:space="preserve"> SUM($J73:AO73) / $F74</f>
        <v>1</v>
      </c>
      <c r="AP75" s="1098">
        <f ca="1" xml:space="preserve"> SUM($J73:AP73) / $F74</f>
        <v>1</v>
      </c>
      <c r="AQ75" s="1098">
        <f ca="1" xml:space="preserve"> SUM($J73:AQ73) / $F74</f>
        <v>1</v>
      </c>
      <c r="AR75" s="1098">
        <f ca="1" xml:space="preserve"> SUM($J73:AR73) / $F74</f>
        <v>1</v>
      </c>
      <c r="AS75" s="1098">
        <f ca="1" xml:space="preserve"> SUM($J73:AS73) / $F74</f>
        <v>1</v>
      </c>
      <c r="AT75" s="1098">
        <f ca="1" xml:space="preserve"> SUM($J73:AT73) / $F74</f>
        <v>1</v>
      </c>
      <c r="AU75" s="1098">
        <f ca="1" xml:space="preserve"> SUM($J73:AU73) / $F74</f>
        <v>1</v>
      </c>
      <c r="AV75" s="1098">
        <f ca="1" xml:space="preserve"> SUM($J73:AV73) / $F74</f>
        <v>1</v>
      </c>
      <c r="AW75" s="1098">
        <f ca="1" xml:space="preserve"> SUM($J73:AW73) / $F74</f>
        <v>1</v>
      </c>
      <c r="AX75" s="1098">
        <f ca="1" xml:space="preserve"> SUM($J73:AX73) / $F74</f>
        <v>1</v>
      </c>
    </row>
    <row r="76" spans="1:50" ht="15" customHeight="1">
      <c r="A76" s="325"/>
      <c r="B76" s="643"/>
      <c r="C76" s="333"/>
      <c r="D76" s="1097"/>
      <c r="E76" s="1036"/>
      <c r="F76" s="332"/>
      <c r="G76" s="1049"/>
      <c r="H76" s="1049"/>
      <c r="I76" s="1041"/>
      <c r="J76" s="1049"/>
      <c r="K76" s="1049"/>
      <c r="L76" s="1049"/>
      <c r="M76" s="1049"/>
      <c r="N76" s="1049"/>
      <c r="O76" s="1049"/>
      <c r="P76" s="1049"/>
      <c r="Q76" s="1049"/>
      <c r="R76" s="1049"/>
      <c r="S76" s="1049"/>
      <c r="T76" s="1049"/>
      <c r="U76" s="1049"/>
      <c r="V76" s="1049"/>
      <c r="W76" s="1049"/>
      <c r="X76" s="1049"/>
      <c r="Y76" s="1049"/>
      <c r="Z76" s="1049"/>
      <c r="AA76" s="1049"/>
      <c r="AB76" s="1049"/>
      <c r="AC76" s="1049"/>
      <c r="AD76" s="1049"/>
      <c r="AE76" s="1049"/>
      <c r="AF76" s="1049"/>
      <c r="AG76" s="1049"/>
      <c r="AH76" s="1049"/>
      <c r="AI76" s="1049"/>
      <c r="AJ76" s="1049"/>
      <c r="AK76" s="1049"/>
      <c r="AL76" s="1049"/>
      <c r="AM76" s="1049"/>
      <c r="AN76" s="1049"/>
      <c r="AO76" s="1049"/>
      <c r="AP76" s="1049"/>
      <c r="AQ76" s="1049"/>
      <c r="AR76" s="1049"/>
      <c r="AS76" s="1049"/>
      <c r="AT76" s="1049"/>
      <c r="AU76" s="1049"/>
      <c r="AV76" s="1049"/>
      <c r="AW76" s="1049"/>
      <c r="AX76" s="1049"/>
    </row>
    <row r="77" spans="1:50" s="221" customFormat="1" ht="15" customHeight="1">
      <c r="A77" s="362"/>
      <c r="B77" s="643"/>
      <c r="C77" s="363"/>
      <c r="D77" s="365"/>
      <c r="E77" s="366" t="str">
        <f xml:space="preserve"> ProjectCashflows!E$242</f>
        <v>Decommissioning costs, after ELT</v>
      </c>
      <c r="F77" s="366">
        <f xml:space="preserve"> ProjectCashflows!F$242</f>
        <v>0</v>
      </c>
      <c r="G77" s="366" t="str">
        <f xml:space="preserve"> ProjectCashflows!G$242</f>
        <v>US$ mn</v>
      </c>
      <c r="H77" s="366">
        <f xml:space="preserve"> ProjectCashflows!H$242</f>
        <v>0</v>
      </c>
      <c r="I77" s="366">
        <f ca="1" xml:space="preserve"> ProjectCashflows!I$242</f>
        <v>30.313326877958442</v>
      </c>
      <c r="J77" s="366">
        <f xml:space="preserve"> ProjectCashflows!J$242</f>
        <v>0</v>
      </c>
      <c r="K77" s="366">
        <f ca="1" xml:space="preserve"> ProjectCashflows!K$242</f>
        <v>0</v>
      </c>
      <c r="L77" s="366">
        <f ca="1" xml:space="preserve"> ProjectCashflows!L$242</f>
        <v>0</v>
      </c>
      <c r="M77" s="366">
        <f ca="1" xml:space="preserve"> ProjectCashflows!M$242</f>
        <v>0</v>
      </c>
      <c r="N77" s="366">
        <f ca="1" xml:space="preserve"> ProjectCashflows!N$242</f>
        <v>0</v>
      </c>
      <c r="O77" s="366">
        <f ca="1" xml:space="preserve"> ProjectCashflows!O$242</f>
        <v>0</v>
      </c>
      <c r="P77" s="366">
        <f ca="1" xml:space="preserve"> ProjectCashflows!P$242</f>
        <v>0</v>
      </c>
      <c r="Q77" s="366">
        <f ca="1" xml:space="preserve"> ProjectCashflows!Q$242</f>
        <v>0</v>
      </c>
      <c r="R77" s="366">
        <f ca="1" xml:space="preserve"> ProjectCashflows!R$242</f>
        <v>0</v>
      </c>
      <c r="S77" s="366">
        <f ca="1" xml:space="preserve"> ProjectCashflows!S$242</f>
        <v>0</v>
      </c>
      <c r="T77" s="366">
        <f ca="1" xml:space="preserve"> ProjectCashflows!T$242</f>
        <v>0</v>
      </c>
      <c r="U77" s="366">
        <f ca="1" xml:space="preserve"> ProjectCashflows!U$242</f>
        <v>0</v>
      </c>
      <c r="V77" s="366">
        <f ca="1" xml:space="preserve"> ProjectCashflows!V$242</f>
        <v>0</v>
      </c>
      <c r="W77" s="366">
        <f ca="1" xml:space="preserve"> ProjectCashflows!W$242</f>
        <v>0</v>
      </c>
      <c r="X77" s="366">
        <f ca="1" xml:space="preserve"> ProjectCashflows!X$242</f>
        <v>0</v>
      </c>
      <c r="Y77" s="366">
        <f ca="1" xml:space="preserve"> ProjectCashflows!Y$242</f>
        <v>0</v>
      </c>
      <c r="Z77" s="366">
        <f ca="1" xml:space="preserve"> ProjectCashflows!Z$242</f>
        <v>0</v>
      </c>
      <c r="AA77" s="366">
        <f ca="1" xml:space="preserve"> ProjectCashflows!AA$242</f>
        <v>0</v>
      </c>
      <c r="AB77" s="366">
        <f ca="1" xml:space="preserve"> ProjectCashflows!AB$242</f>
        <v>0</v>
      </c>
      <c r="AC77" s="366">
        <f ca="1" xml:space="preserve"> ProjectCashflows!AC$242</f>
        <v>0</v>
      </c>
      <c r="AD77" s="366">
        <f ca="1" xml:space="preserve"> ProjectCashflows!AD$242</f>
        <v>0</v>
      </c>
      <c r="AE77" s="366">
        <f ca="1" xml:space="preserve"> ProjectCashflows!AE$242</f>
        <v>0</v>
      </c>
      <c r="AF77" s="366">
        <f ca="1" xml:space="preserve"> ProjectCashflows!AF$242</f>
        <v>30.313326877958442</v>
      </c>
      <c r="AG77" s="366">
        <f ca="1" xml:space="preserve"> ProjectCashflows!AG$242</f>
        <v>0</v>
      </c>
      <c r="AH77" s="366">
        <f ca="1" xml:space="preserve"> ProjectCashflows!AH$242</f>
        <v>0</v>
      </c>
      <c r="AI77" s="366">
        <f ca="1" xml:space="preserve"> ProjectCashflows!AI$242</f>
        <v>0</v>
      </c>
      <c r="AJ77" s="366">
        <f ca="1" xml:space="preserve"> ProjectCashflows!AJ$242</f>
        <v>0</v>
      </c>
      <c r="AK77" s="366">
        <f ca="1" xml:space="preserve"> ProjectCashflows!AK$242</f>
        <v>0</v>
      </c>
      <c r="AL77" s="366">
        <f ca="1" xml:space="preserve"> ProjectCashflows!AL$242</f>
        <v>0</v>
      </c>
      <c r="AM77" s="366">
        <f ca="1" xml:space="preserve"> ProjectCashflows!AM$242</f>
        <v>0</v>
      </c>
      <c r="AN77" s="366">
        <f ca="1" xml:space="preserve"> ProjectCashflows!AN$242</f>
        <v>0</v>
      </c>
      <c r="AO77" s="366">
        <f ca="1" xml:space="preserve"> ProjectCashflows!AO$242</f>
        <v>0</v>
      </c>
      <c r="AP77" s="366">
        <f ca="1" xml:space="preserve"> ProjectCashflows!AP$242</f>
        <v>0</v>
      </c>
      <c r="AQ77" s="366">
        <f ca="1" xml:space="preserve"> ProjectCashflows!AQ$242</f>
        <v>0</v>
      </c>
      <c r="AR77" s="366">
        <f ca="1" xml:space="preserve"> ProjectCashflows!AR$242</f>
        <v>0</v>
      </c>
      <c r="AS77" s="366">
        <f ca="1" xml:space="preserve"> ProjectCashflows!AS$242</f>
        <v>0</v>
      </c>
      <c r="AT77" s="366">
        <f ca="1" xml:space="preserve"> ProjectCashflows!AT$242</f>
        <v>0</v>
      </c>
      <c r="AU77" s="366">
        <f ca="1" xml:space="preserve"> ProjectCashflows!AU$242</f>
        <v>0</v>
      </c>
      <c r="AV77" s="366">
        <f ca="1" xml:space="preserve"> ProjectCashflows!AV$242</f>
        <v>0</v>
      </c>
      <c r="AW77" s="366">
        <f ca="1" xml:space="preserve"> ProjectCashflows!AW$242</f>
        <v>0</v>
      </c>
      <c r="AX77" s="366">
        <f ca="1" xml:space="preserve"> ProjectCashflows!AX$242</f>
        <v>0</v>
      </c>
    </row>
    <row r="78" spans="1:50" ht="15" customHeight="1">
      <c r="A78" s="325"/>
      <c r="B78" s="643"/>
      <c r="C78" s="333"/>
      <c r="D78" s="1097"/>
      <c r="E78" s="1036" t="str">
        <f xml:space="preserve"> E77 &amp; ", " &amp; Translate!$E$19</f>
        <v>Decommissioning costs, after ELT, Total</v>
      </c>
      <c r="F78" s="1049">
        <f ca="1" xml:space="preserve"> SUM(K77:AX77)</f>
        <v>30.313326877958442</v>
      </c>
      <c r="G78" s="1049" t="str">
        <f xml:space="preserve"> G77</f>
        <v>US$ mn</v>
      </c>
      <c r="H78" s="1049"/>
      <c r="I78" s="1097"/>
      <c r="J78" s="1049"/>
      <c r="K78" s="1049"/>
      <c r="L78" s="1049"/>
      <c r="M78" s="1049"/>
      <c r="N78" s="1049"/>
      <c r="O78" s="1049"/>
      <c r="P78" s="1049"/>
      <c r="Q78" s="1049"/>
      <c r="R78" s="1049"/>
      <c r="S78" s="1049"/>
      <c r="T78" s="1049"/>
      <c r="U78" s="1049"/>
      <c r="V78" s="1049"/>
      <c r="W78" s="1049"/>
      <c r="X78" s="1049"/>
      <c r="Y78" s="1049"/>
      <c r="Z78" s="1049"/>
      <c r="AA78" s="1049"/>
      <c r="AB78" s="1049"/>
      <c r="AC78" s="1049"/>
      <c r="AD78" s="1049"/>
      <c r="AE78" s="1049"/>
      <c r="AF78" s="1049"/>
      <c r="AG78" s="1049"/>
      <c r="AH78" s="1049"/>
      <c r="AI78" s="1049"/>
      <c r="AJ78" s="1049"/>
      <c r="AK78" s="1049"/>
      <c r="AL78" s="1049"/>
      <c r="AM78" s="1049"/>
      <c r="AN78" s="1049"/>
      <c r="AO78" s="1049"/>
      <c r="AP78" s="1049"/>
      <c r="AQ78" s="1049"/>
      <c r="AR78" s="1049"/>
      <c r="AS78" s="1049"/>
      <c r="AT78" s="1049"/>
      <c r="AU78" s="1049"/>
      <c r="AV78" s="1049"/>
      <c r="AW78" s="1049"/>
      <c r="AX78" s="1049"/>
    </row>
    <row r="79" spans="1:50" ht="15" customHeight="1">
      <c r="A79" s="325"/>
      <c r="B79" s="643"/>
      <c r="C79" s="333"/>
      <c r="D79" s="1097"/>
      <c r="E79" s="1036"/>
      <c r="F79" s="332"/>
      <c r="G79" s="1049"/>
      <c r="H79" s="1049"/>
      <c r="I79" s="1041"/>
      <c r="J79" s="1049"/>
      <c r="K79" s="1049"/>
      <c r="L79" s="1049"/>
      <c r="M79" s="1049"/>
      <c r="N79" s="1049"/>
      <c r="O79" s="1049"/>
      <c r="P79" s="1049"/>
      <c r="Q79" s="1049"/>
      <c r="R79" s="1049"/>
      <c r="S79" s="1049"/>
      <c r="T79" s="1049"/>
      <c r="U79" s="1049"/>
      <c r="V79" s="1049"/>
      <c r="W79" s="1049"/>
      <c r="X79" s="1049"/>
      <c r="Y79" s="1049"/>
      <c r="Z79" s="1049"/>
      <c r="AA79" s="1049"/>
      <c r="AB79" s="1049"/>
      <c r="AC79" s="1049"/>
      <c r="AD79" s="1049"/>
      <c r="AE79" s="1049"/>
      <c r="AF79" s="1049"/>
      <c r="AG79" s="1049"/>
      <c r="AH79" s="1049"/>
      <c r="AI79" s="1049"/>
      <c r="AJ79" s="1049"/>
      <c r="AK79" s="1049"/>
      <c r="AL79" s="1049"/>
      <c r="AM79" s="1049"/>
      <c r="AN79" s="1049"/>
      <c r="AO79" s="1049"/>
      <c r="AP79" s="1049"/>
      <c r="AQ79" s="1049"/>
      <c r="AR79" s="1049"/>
      <c r="AS79" s="1049"/>
      <c r="AT79" s="1049"/>
      <c r="AU79" s="1049"/>
      <c r="AV79" s="1049"/>
      <c r="AW79" s="1049"/>
      <c r="AX79" s="1049"/>
    </row>
    <row r="80" spans="1:50" ht="15" customHeight="1">
      <c r="A80" s="325"/>
      <c r="B80" s="643"/>
      <c r="C80" s="333"/>
      <c r="D80" s="1097"/>
      <c r="E80" s="367" t="str">
        <f xml:space="preserve"> FiscalModel!E$37</f>
        <v>Commencement of decommissioning provision</v>
      </c>
      <c r="F80" s="368">
        <f xml:space="preserve"> FiscalModel!F$37</f>
        <v>0.6</v>
      </c>
      <c r="G80" s="368" t="str">
        <f xml:space="preserve"> FiscalModel!G$37</f>
        <v>% depletion</v>
      </c>
      <c r="H80" s="1049"/>
      <c r="I80" s="1097"/>
      <c r="J80" s="1054"/>
      <c r="K80" s="1054"/>
      <c r="L80" s="1054"/>
      <c r="M80" s="1054"/>
      <c r="N80" s="1054"/>
      <c r="O80" s="1054"/>
      <c r="P80" s="1054"/>
      <c r="Q80" s="1054"/>
      <c r="R80" s="1054"/>
      <c r="S80" s="1054"/>
      <c r="T80" s="1054"/>
      <c r="U80" s="1054"/>
      <c r="V80" s="1054"/>
      <c r="W80" s="1054"/>
      <c r="X80" s="1054"/>
      <c r="Y80" s="1054"/>
      <c r="Z80" s="1054"/>
      <c r="AA80" s="1054"/>
      <c r="AB80" s="1054"/>
      <c r="AC80" s="1054"/>
      <c r="AD80" s="1054"/>
      <c r="AE80" s="1054"/>
      <c r="AF80" s="1054"/>
      <c r="AG80" s="1054"/>
      <c r="AH80" s="1054"/>
      <c r="AI80" s="1054"/>
      <c r="AJ80" s="1054"/>
      <c r="AK80" s="1054"/>
      <c r="AL80" s="1054"/>
      <c r="AM80" s="1054"/>
      <c r="AN80" s="1054"/>
      <c r="AO80" s="1054"/>
      <c r="AP80" s="1054"/>
      <c r="AQ80" s="1054"/>
      <c r="AR80" s="1054"/>
      <c r="AS80" s="1054"/>
      <c r="AT80" s="1054"/>
      <c r="AU80" s="1054"/>
      <c r="AV80" s="1054"/>
      <c r="AW80" s="1054"/>
      <c r="AX80" s="1054"/>
    </row>
    <row r="81" spans="1:50" s="221" customFormat="1" ht="15" customHeight="1">
      <c r="A81" s="369"/>
      <c r="B81" s="643"/>
      <c r="C81" s="363"/>
      <c r="D81" s="364"/>
      <c r="E81" s="219" t="str">
        <f xml:space="preserve"> ProjectCashflows!E$192</f>
        <v>Production years after ELT</v>
      </c>
      <c r="F81" s="219">
        <f xml:space="preserve"> ProjectCashflows!F$192</f>
        <v>0</v>
      </c>
      <c r="G81" s="219" t="str">
        <f xml:space="preserve"> ProjectCashflows!G$192</f>
        <v>Flag</v>
      </c>
      <c r="H81" s="219">
        <f xml:space="preserve"> ProjectCashflows!H$192</f>
        <v>0</v>
      </c>
      <c r="I81" s="219">
        <f ca="1" xml:space="preserve"> ProjectCashflows!I$192</f>
        <v>17</v>
      </c>
      <c r="J81" s="219">
        <f xml:space="preserve"> ProjectCashflows!J$192</f>
        <v>0</v>
      </c>
      <c r="K81" s="219">
        <f ca="1" xml:space="preserve"> ProjectCashflows!K$192</f>
        <v>0</v>
      </c>
      <c r="L81" s="219">
        <f ca="1" xml:space="preserve"> ProjectCashflows!L$192</f>
        <v>0</v>
      </c>
      <c r="M81" s="219">
        <f ca="1" xml:space="preserve"> ProjectCashflows!M$192</f>
        <v>0</v>
      </c>
      <c r="N81" s="219">
        <f ca="1" xml:space="preserve"> ProjectCashflows!N$192</f>
        <v>0</v>
      </c>
      <c r="O81" s="219">
        <f ca="1" xml:space="preserve"> ProjectCashflows!O$192</f>
        <v>1</v>
      </c>
      <c r="P81" s="219">
        <f ca="1" xml:space="preserve"> ProjectCashflows!P$192</f>
        <v>1</v>
      </c>
      <c r="Q81" s="219">
        <f ca="1" xml:space="preserve"> ProjectCashflows!Q$192</f>
        <v>1</v>
      </c>
      <c r="R81" s="219">
        <f ca="1" xml:space="preserve"> ProjectCashflows!R$192</f>
        <v>1</v>
      </c>
      <c r="S81" s="219">
        <f ca="1" xml:space="preserve"> ProjectCashflows!S$192</f>
        <v>1</v>
      </c>
      <c r="T81" s="219">
        <f ca="1" xml:space="preserve"> ProjectCashflows!T$192</f>
        <v>1</v>
      </c>
      <c r="U81" s="219">
        <f ca="1" xml:space="preserve"> ProjectCashflows!U$192</f>
        <v>1</v>
      </c>
      <c r="V81" s="219">
        <f ca="1" xml:space="preserve"> ProjectCashflows!V$192</f>
        <v>1</v>
      </c>
      <c r="W81" s="219">
        <f ca="1" xml:space="preserve"> ProjectCashflows!W$192</f>
        <v>1</v>
      </c>
      <c r="X81" s="219">
        <f ca="1" xml:space="preserve"> ProjectCashflows!X$192</f>
        <v>1</v>
      </c>
      <c r="Y81" s="219">
        <f ca="1" xml:space="preserve"> ProjectCashflows!Y$192</f>
        <v>1</v>
      </c>
      <c r="Z81" s="219">
        <f ca="1" xml:space="preserve"> ProjectCashflows!Z$192</f>
        <v>1</v>
      </c>
      <c r="AA81" s="219">
        <f ca="1" xml:space="preserve"> ProjectCashflows!AA$192</f>
        <v>1</v>
      </c>
      <c r="AB81" s="219">
        <f ca="1" xml:space="preserve"> ProjectCashflows!AB$192</f>
        <v>1</v>
      </c>
      <c r="AC81" s="219">
        <f ca="1" xml:space="preserve"> ProjectCashflows!AC$192</f>
        <v>1</v>
      </c>
      <c r="AD81" s="219">
        <f ca="1" xml:space="preserve"> ProjectCashflows!AD$192</f>
        <v>1</v>
      </c>
      <c r="AE81" s="219">
        <f ca="1" xml:space="preserve"> ProjectCashflows!AE$192</f>
        <v>1</v>
      </c>
      <c r="AF81" s="219">
        <f ca="1" xml:space="preserve"> ProjectCashflows!AF$192</f>
        <v>0</v>
      </c>
      <c r="AG81" s="219">
        <f ca="1" xml:space="preserve"> ProjectCashflows!AG$192</f>
        <v>0</v>
      </c>
      <c r="AH81" s="219">
        <f ca="1" xml:space="preserve"> ProjectCashflows!AH$192</f>
        <v>0</v>
      </c>
      <c r="AI81" s="219">
        <f ca="1" xml:space="preserve"> ProjectCashflows!AI$192</f>
        <v>0</v>
      </c>
      <c r="AJ81" s="219">
        <f ca="1" xml:space="preserve"> ProjectCashflows!AJ$192</f>
        <v>0</v>
      </c>
      <c r="AK81" s="219">
        <f ca="1" xml:space="preserve"> ProjectCashflows!AK$192</f>
        <v>0</v>
      </c>
      <c r="AL81" s="219">
        <f ca="1" xml:space="preserve"> ProjectCashflows!AL$192</f>
        <v>0</v>
      </c>
      <c r="AM81" s="219">
        <f ca="1" xml:space="preserve"> ProjectCashflows!AM$192</f>
        <v>0</v>
      </c>
      <c r="AN81" s="219">
        <f ca="1" xml:space="preserve"> ProjectCashflows!AN$192</f>
        <v>0</v>
      </c>
      <c r="AO81" s="219">
        <f ca="1" xml:space="preserve"> ProjectCashflows!AO$192</f>
        <v>0</v>
      </c>
      <c r="AP81" s="219">
        <f ca="1" xml:space="preserve"> ProjectCashflows!AP$192</f>
        <v>0</v>
      </c>
      <c r="AQ81" s="219">
        <f ca="1" xml:space="preserve"> ProjectCashflows!AQ$192</f>
        <v>0</v>
      </c>
      <c r="AR81" s="219">
        <f ca="1" xml:space="preserve"> ProjectCashflows!AR$192</f>
        <v>0</v>
      </c>
      <c r="AS81" s="219">
        <f ca="1" xml:space="preserve"> ProjectCashflows!AS$192</f>
        <v>0</v>
      </c>
      <c r="AT81" s="219">
        <f ca="1" xml:space="preserve"> ProjectCashflows!AT$192</f>
        <v>0</v>
      </c>
      <c r="AU81" s="219">
        <f ca="1" xml:space="preserve"> ProjectCashflows!AU$192</f>
        <v>0</v>
      </c>
      <c r="AV81" s="219">
        <f ca="1" xml:space="preserve"> ProjectCashflows!AV$192</f>
        <v>0</v>
      </c>
      <c r="AW81" s="219">
        <f ca="1" xml:space="preserve"> ProjectCashflows!AW$192</f>
        <v>0</v>
      </c>
      <c r="AX81" s="219">
        <f ca="1" xml:space="preserve"> ProjectCashflows!AX$192</f>
        <v>0</v>
      </c>
    </row>
    <row r="82" spans="1:50" ht="15" customHeight="1">
      <c r="A82" s="1054"/>
      <c r="B82" s="643"/>
      <c r="C82" s="333"/>
      <c r="D82" s="1077"/>
      <c r="E82" s="1036" t="str">
        <f>Translate!$E$167</f>
        <v>Decommissioning period</v>
      </c>
      <c r="F82" s="1049"/>
      <c r="G82" s="1049" t="str">
        <f>Translate!$E$586</f>
        <v>Flag</v>
      </c>
      <c r="H82" s="1049"/>
      <c r="I82" s="1049">
        <f ca="1" xml:space="preserve"> SUM(K82:AX82)</f>
        <v>8</v>
      </c>
      <c r="J82" s="1054"/>
      <c r="K82" s="1049">
        <f ca="1" xml:space="preserve"> AND( K75 &gt;= $F80, K81 = 1) * 1 * (SUM(L77:$AX77) &gt; 0)</f>
        <v>0</v>
      </c>
      <c r="L82" s="1049">
        <f ca="1" xml:space="preserve"> AND( L75 &gt;= $F80, L81 = 1) * 1 * (SUM(M77:$AX77) &gt; 0)</f>
        <v>0</v>
      </c>
      <c r="M82" s="1049">
        <f ca="1" xml:space="preserve"> AND( M75 &gt;= $F80, M81 = 1) * 1 * (SUM(N77:$AX77) &gt; 0)</f>
        <v>0</v>
      </c>
      <c r="N82" s="1049">
        <f ca="1" xml:space="preserve"> AND( N75 &gt;= $F80, N81 = 1) * 1 * (SUM(O77:$AX77) &gt; 0)</f>
        <v>0</v>
      </c>
      <c r="O82" s="1049">
        <f ca="1" xml:space="preserve"> AND( O75 &gt;= $F80, O81 = 1) * 1 * (SUM(P77:$AX77) &gt; 0)</f>
        <v>0</v>
      </c>
      <c r="P82" s="1049">
        <f ca="1" xml:space="preserve"> AND( P75 &gt;= $F80, P81 = 1) * 1 * (SUM(Q77:$AX77) &gt; 0)</f>
        <v>0</v>
      </c>
      <c r="Q82" s="1049">
        <f ca="1" xml:space="preserve"> AND( Q75 &gt;= $F80, Q81 = 1) * 1 * (SUM(R77:$AX77) &gt; 0)</f>
        <v>0</v>
      </c>
      <c r="R82" s="1049">
        <f ca="1" xml:space="preserve"> AND( R75 &gt;= $F80, R81 = 1) * 1 * (SUM(S77:$AX77) &gt; 0)</f>
        <v>0</v>
      </c>
      <c r="S82" s="1049">
        <f ca="1" xml:space="preserve"> AND( S75 &gt;= $F80, S81 = 1) * 1 * (SUM(T77:$AX77) &gt; 0)</f>
        <v>0</v>
      </c>
      <c r="T82" s="1049">
        <f ca="1" xml:space="preserve"> AND( T75 &gt;= $F80, T81 = 1) * 1 * (SUM(U77:$AX77) &gt; 0)</f>
        <v>0</v>
      </c>
      <c r="U82" s="1049">
        <f ca="1" xml:space="preserve"> AND( U75 &gt;= $F80, U81 = 1) * 1 * (SUM(V77:$AX77) &gt; 0)</f>
        <v>0</v>
      </c>
      <c r="V82" s="1049">
        <f ca="1" xml:space="preserve"> AND( V75 &gt;= $F80, V81 = 1) * 1 * (SUM(W77:$AX77) &gt; 0)</f>
        <v>0</v>
      </c>
      <c r="W82" s="1049">
        <f ca="1" xml:space="preserve"> AND( W75 &gt;= $F80, W81 = 1) * 1 * (SUM(X77:$AX77) &gt; 0)</f>
        <v>0</v>
      </c>
      <c r="X82" s="1049">
        <f ca="1" xml:space="preserve"> AND( X75 &gt;= $F80, X81 = 1) * 1 * (SUM(Y77:$AX77) &gt; 0)</f>
        <v>1</v>
      </c>
      <c r="Y82" s="1049">
        <f ca="1" xml:space="preserve"> AND( Y75 &gt;= $F80, Y81 = 1) * 1 * (SUM(Z77:$AX77) &gt; 0)</f>
        <v>1</v>
      </c>
      <c r="Z82" s="1049">
        <f ca="1" xml:space="preserve"> AND( Z75 &gt;= $F80, Z81 = 1) * 1 * (SUM(AA77:$AX77) &gt; 0)</f>
        <v>1</v>
      </c>
      <c r="AA82" s="1049">
        <f ca="1" xml:space="preserve"> AND( AA75 &gt;= $F80, AA81 = 1) * 1 * (SUM(AB77:$AX77) &gt; 0)</f>
        <v>1</v>
      </c>
      <c r="AB82" s="1049">
        <f ca="1" xml:space="preserve"> AND( AB75 &gt;= $F80, AB81 = 1) * 1 * (SUM(AC77:$AX77) &gt; 0)</f>
        <v>1</v>
      </c>
      <c r="AC82" s="1049">
        <f ca="1" xml:space="preserve"> AND( AC75 &gt;= $F80, AC81 = 1) * 1 * (SUM(AD77:$AX77) &gt; 0)</f>
        <v>1</v>
      </c>
      <c r="AD82" s="1049">
        <f ca="1" xml:space="preserve"> AND( AD75 &gt;= $F80, AD81 = 1) * 1 * (SUM(AE77:$AX77) &gt; 0)</f>
        <v>1</v>
      </c>
      <c r="AE82" s="1049">
        <f ca="1" xml:space="preserve"> AND( AE75 &gt;= $F80, AE81 = 1) * 1 * (SUM(AF77:$AX77) &gt; 0)</f>
        <v>1</v>
      </c>
      <c r="AF82" s="1049">
        <f ca="1" xml:space="preserve"> AND( AF75 &gt;= $F80, AF81 = 1) * 1 * (SUM(AG77:$AX77) &gt; 0)</f>
        <v>0</v>
      </c>
      <c r="AG82" s="1049">
        <f ca="1" xml:space="preserve"> AND( AG75 &gt;= $F80, AG81 = 1) * 1 * (SUM(AH77:$AX77) &gt; 0)</f>
        <v>0</v>
      </c>
      <c r="AH82" s="1049">
        <f ca="1" xml:space="preserve"> AND( AH75 &gt;= $F80, AH81 = 1) * 1 * (SUM(AI77:$AX77) &gt; 0)</f>
        <v>0</v>
      </c>
      <c r="AI82" s="1049">
        <f ca="1" xml:space="preserve"> AND( AI75 &gt;= $F80, AI81 = 1) * 1 * (SUM(AJ77:$AX77) &gt; 0)</f>
        <v>0</v>
      </c>
      <c r="AJ82" s="1049">
        <f ca="1" xml:space="preserve"> AND( AJ75 &gt;= $F80, AJ81 = 1) * 1 * (SUM(AK77:$AX77) &gt; 0)</f>
        <v>0</v>
      </c>
      <c r="AK82" s="1049">
        <f ca="1" xml:space="preserve"> AND( AK75 &gt;= $F80, AK81 = 1) * 1 * (SUM(AL77:$AX77) &gt; 0)</f>
        <v>0</v>
      </c>
      <c r="AL82" s="1049">
        <f ca="1" xml:space="preserve"> AND( AL75 &gt;= $F80, AL81 = 1) * 1 * (SUM(AM77:$AX77) &gt; 0)</f>
        <v>0</v>
      </c>
      <c r="AM82" s="1049">
        <f ca="1" xml:space="preserve"> AND( AM75 &gt;= $F80, AM81 = 1) * 1 * (SUM(AN77:$AX77) &gt; 0)</f>
        <v>0</v>
      </c>
      <c r="AN82" s="1049">
        <f ca="1" xml:space="preserve"> AND( AN75 &gt;= $F80, AN81 = 1) * 1 * (SUM(AO77:$AX77) &gt; 0)</f>
        <v>0</v>
      </c>
      <c r="AO82" s="1049">
        <f ca="1" xml:space="preserve"> AND( AO75 &gt;= $F80, AO81 = 1) * 1 * (SUM(AP77:$AX77) &gt; 0)</f>
        <v>0</v>
      </c>
      <c r="AP82" s="1049">
        <f ca="1" xml:space="preserve"> AND( AP75 &gt;= $F80, AP81 = 1) * 1 * (SUM(AQ77:$AX77) &gt; 0)</f>
        <v>0</v>
      </c>
      <c r="AQ82" s="1049">
        <f ca="1" xml:space="preserve"> AND( AQ75 &gt;= $F80, AQ81 = 1) * 1 * (SUM(AR77:$AX77) &gt; 0)</f>
        <v>0</v>
      </c>
      <c r="AR82" s="1049">
        <f ca="1" xml:space="preserve"> AND( AR75 &gt;= $F80, AR81 = 1) * 1 * (SUM(AS77:$AX77) &gt; 0)</f>
        <v>0</v>
      </c>
      <c r="AS82" s="1049">
        <f ca="1" xml:space="preserve"> AND( AS75 &gt;= $F80, AS81 = 1) * 1 * (SUM(AT77:$AX77) &gt; 0)</f>
        <v>0</v>
      </c>
      <c r="AT82" s="1049">
        <f ca="1" xml:space="preserve"> AND( AT75 &gt;= $F80, AT81 = 1) * 1 * (SUM(AU77:$AX77) &gt; 0)</f>
        <v>0</v>
      </c>
      <c r="AU82" s="1049">
        <f ca="1" xml:space="preserve"> AND( AU75 &gt;= $F80, AU81 = 1) * 1 * (SUM(AV77:$AX77) &gt; 0)</f>
        <v>0</v>
      </c>
      <c r="AV82" s="1049">
        <f ca="1" xml:space="preserve"> AND( AV75 &gt;= $F80, AV81 = 1) * 1 * (SUM(AW77:$AX77) &gt; 0)</f>
        <v>0</v>
      </c>
      <c r="AW82" s="1049">
        <f ca="1" xml:space="preserve"> AND( AW75 &gt;= $F80, AW81 = 1) * 1 * (SUM(AX77:$AX77) &gt; 0)</f>
        <v>0</v>
      </c>
      <c r="AX82" s="1049">
        <f ca="1" xml:space="preserve"> AND( AX75 &gt;= $F80, AX81 = 1) * 1 * (SUM($AX77:AY77) &gt; 0)</f>
        <v>0</v>
      </c>
    </row>
    <row r="83" spans="1:50" ht="15" customHeight="1">
      <c r="A83" s="1054"/>
      <c r="B83" s="643"/>
      <c r="C83" s="333"/>
      <c r="D83" s="1077"/>
      <c r="E83" s="1036"/>
      <c r="F83" s="1049"/>
      <c r="G83" s="1049"/>
      <c r="H83" s="1049"/>
      <c r="I83" s="1049"/>
      <c r="J83" s="1054"/>
      <c r="K83" s="1049"/>
      <c r="L83" s="1049"/>
      <c r="M83" s="1049"/>
      <c r="N83" s="1049"/>
      <c r="O83" s="1049"/>
      <c r="P83" s="1049"/>
      <c r="Q83" s="1049"/>
      <c r="R83" s="1049"/>
      <c r="S83" s="1049"/>
      <c r="T83" s="1049"/>
      <c r="U83" s="1049"/>
      <c r="V83" s="1049"/>
      <c r="W83" s="1049"/>
      <c r="X83" s="1049"/>
      <c r="Y83" s="1049"/>
      <c r="Z83" s="1049"/>
      <c r="AA83" s="1049"/>
      <c r="AB83" s="1049"/>
      <c r="AC83" s="1049"/>
      <c r="AD83" s="1049"/>
      <c r="AE83" s="1049"/>
      <c r="AF83" s="1049"/>
      <c r="AG83" s="1049"/>
      <c r="AH83" s="1049"/>
      <c r="AI83" s="1049"/>
      <c r="AJ83" s="1049"/>
      <c r="AK83" s="1049"/>
      <c r="AL83" s="1049"/>
      <c r="AM83" s="1049"/>
      <c r="AN83" s="1049"/>
      <c r="AO83" s="1049"/>
      <c r="AP83" s="1049"/>
      <c r="AQ83" s="1049"/>
      <c r="AR83" s="1049"/>
      <c r="AS83" s="1049"/>
      <c r="AT83" s="1049"/>
      <c r="AU83" s="1049"/>
      <c r="AV83" s="1049"/>
      <c r="AW83" s="1049"/>
      <c r="AX83" s="1049"/>
    </row>
    <row r="84" spans="1:50" ht="15" customHeight="1">
      <c r="A84" s="1054"/>
      <c r="B84" s="643"/>
      <c r="C84" s="333"/>
      <c r="D84" s="1077"/>
      <c r="E84" s="1036" t="str">
        <f xml:space="preserve"> E82 &amp; ": CUM"</f>
        <v>Decommissioning period: CUM</v>
      </c>
      <c r="F84" s="1049"/>
      <c r="G84" s="1049" t="str">
        <f xml:space="preserve"> Translate!E$358</f>
        <v>Years</v>
      </c>
      <c r="H84" s="1049"/>
      <c r="I84" s="1049"/>
      <c r="J84" s="1054"/>
      <c r="K84" s="1054">
        <f t="shared" ref="K84:AX84" ca="1" si="2" xml:space="preserve"> J84 + K82</f>
        <v>0</v>
      </c>
      <c r="L84" s="1054">
        <f t="shared" ca="1" si="2"/>
        <v>0</v>
      </c>
      <c r="M84" s="1054">
        <f t="shared" ca="1" si="2"/>
        <v>0</v>
      </c>
      <c r="N84" s="1054">
        <f t="shared" ca="1" si="2"/>
        <v>0</v>
      </c>
      <c r="O84" s="1054">
        <f t="shared" ca="1" si="2"/>
        <v>0</v>
      </c>
      <c r="P84" s="1054">
        <f t="shared" ca="1" si="2"/>
        <v>0</v>
      </c>
      <c r="Q84" s="1054">
        <f t="shared" ca="1" si="2"/>
        <v>0</v>
      </c>
      <c r="R84" s="1054">
        <f t="shared" ca="1" si="2"/>
        <v>0</v>
      </c>
      <c r="S84" s="1054">
        <f t="shared" ca="1" si="2"/>
        <v>0</v>
      </c>
      <c r="T84" s="1054">
        <f t="shared" ca="1" si="2"/>
        <v>0</v>
      </c>
      <c r="U84" s="1054">
        <f t="shared" ca="1" si="2"/>
        <v>0</v>
      </c>
      <c r="V84" s="1054">
        <f t="shared" ca="1" si="2"/>
        <v>0</v>
      </c>
      <c r="W84" s="1054">
        <f t="shared" ca="1" si="2"/>
        <v>0</v>
      </c>
      <c r="X84" s="1054">
        <f t="shared" ca="1" si="2"/>
        <v>1</v>
      </c>
      <c r="Y84" s="1054">
        <f t="shared" ca="1" si="2"/>
        <v>2</v>
      </c>
      <c r="Z84" s="1054">
        <f t="shared" ca="1" si="2"/>
        <v>3</v>
      </c>
      <c r="AA84" s="1054">
        <f t="shared" ca="1" si="2"/>
        <v>4</v>
      </c>
      <c r="AB84" s="1054">
        <f t="shared" ca="1" si="2"/>
        <v>5</v>
      </c>
      <c r="AC84" s="1054">
        <f t="shared" ca="1" si="2"/>
        <v>6</v>
      </c>
      <c r="AD84" s="1054">
        <f t="shared" ca="1" si="2"/>
        <v>7</v>
      </c>
      <c r="AE84" s="1054">
        <f t="shared" ca="1" si="2"/>
        <v>8</v>
      </c>
      <c r="AF84" s="1054">
        <f t="shared" ca="1" si="2"/>
        <v>8</v>
      </c>
      <c r="AG84" s="1054">
        <f t="shared" ca="1" si="2"/>
        <v>8</v>
      </c>
      <c r="AH84" s="1054">
        <f t="shared" ca="1" si="2"/>
        <v>8</v>
      </c>
      <c r="AI84" s="1054">
        <f t="shared" ca="1" si="2"/>
        <v>8</v>
      </c>
      <c r="AJ84" s="1054">
        <f t="shared" ca="1" si="2"/>
        <v>8</v>
      </c>
      <c r="AK84" s="1054">
        <f t="shared" ca="1" si="2"/>
        <v>8</v>
      </c>
      <c r="AL84" s="1054">
        <f t="shared" ca="1" si="2"/>
        <v>8</v>
      </c>
      <c r="AM84" s="1054">
        <f t="shared" ca="1" si="2"/>
        <v>8</v>
      </c>
      <c r="AN84" s="1054">
        <f t="shared" ca="1" si="2"/>
        <v>8</v>
      </c>
      <c r="AO84" s="1054">
        <f t="shared" ca="1" si="2"/>
        <v>8</v>
      </c>
      <c r="AP84" s="1054">
        <f t="shared" ca="1" si="2"/>
        <v>8</v>
      </c>
      <c r="AQ84" s="1054">
        <f t="shared" ca="1" si="2"/>
        <v>8</v>
      </c>
      <c r="AR84" s="1054">
        <f t="shared" ca="1" si="2"/>
        <v>8</v>
      </c>
      <c r="AS84" s="1054">
        <f t="shared" ca="1" si="2"/>
        <v>8</v>
      </c>
      <c r="AT84" s="1054">
        <f t="shared" ca="1" si="2"/>
        <v>8</v>
      </c>
      <c r="AU84" s="1054">
        <f t="shared" ca="1" si="2"/>
        <v>8</v>
      </c>
      <c r="AV84" s="1054">
        <f t="shared" ca="1" si="2"/>
        <v>8</v>
      </c>
      <c r="AW84" s="1054">
        <f t="shared" ca="1" si="2"/>
        <v>8</v>
      </c>
      <c r="AX84" s="1054">
        <f t="shared" ca="1" si="2"/>
        <v>8</v>
      </c>
    </row>
    <row r="85" spans="1:50" ht="15" customHeight="1">
      <c r="A85" s="1054"/>
      <c r="B85" s="643"/>
      <c r="C85" s="333"/>
      <c r="D85" s="1077"/>
      <c r="E85" s="1036" t="str">
        <f>Translate!$E$168</f>
        <v>Number of decommissioning periods</v>
      </c>
      <c r="F85" s="1049">
        <f ca="1" xml:space="preserve"> SUM(K82:AX82)</f>
        <v>8</v>
      </c>
      <c r="G85" s="1049" t="str">
        <f xml:space="preserve"> Translate!E$358</f>
        <v>Years</v>
      </c>
      <c r="H85" s="1049"/>
      <c r="I85" s="1049"/>
      <c r="J85" s="1054"/>
      <c r="K85" s="1054"/>
      <c r="L85" s="1054"/>
      <c r="M85" s="1054"/>
      <c r="N85" s="1054"/>
      <c r="O85" s="1054"/>
      <c r="P85" s="1054"/>
      <c r="Q85" s="1054"/>
      <c r="R85" s="1054"/>
      <c r="S85" s="1054"/>
      <c r="T85" s="1054"/>
      <c r="U85" s="1054"/>
      <c r="V85" s="1054"/>
      <c r="W85" s="1054"/>
      <c r="X85" s="1054"/>
      <c r="Y85" s="1054"/>
      <c r="Z85" s="1054"/>
      <c r="AA85" s="1054"/>
      <c r="AB85" s="1054"/>
      <c r="AC85" s="1054"/>
      <c r="AD85" s="1054"/>
      <c r="AE85" s="1054"/>
      <c r="AF85" s="1054"/>
      <c r="AG85" s="1054"/>
      <c r="AH85" s="1054"/>
      <c r="AI85" s="1054"/>
      <c r="AJ85" s="1054"/>
      <c r="AK85" s="1054"/>
      <c r="AL85" s="1054"/>
      <c r="AM85" s="1054"/>
      <c r="AN85" s="1054"/>
      <c r="AO85" s="1054"/>
      <c r="AP85" s="1054"/>
      <c r="AQ85" s="1054"/>
      <c r="AR85" s="1054"/>
      <c r="AS85" s="1054"/>
      <c r="AT85" s="1054"/>
      <c r="AU85" s="1054"/>
      <c r="AV85" s="1054"/>
      <c r="AW85" s="1054"/>
      <c r="AX85" s="1054"/>
    </row>
    <row r="86" spans="1:50" ht="15" customHeight="1">
      <c r="A86" s="1054"/>
      <c r="B86" s="643"/>
      <c r="C86" s="333"/>
      <c r="D86" s="1077"/>
      <c r="E86" s="1036"/>
      <c r="F86" s="1049"/>
      <c r="G86" s="1049"/>
      <c r="H86" s="1049"/>
      <c r="I86" s="1049"/>
      <c r="J86" s="1054"/>
      <c r="K86" s="1054"/>
      <c r="L86" s="1054"/>
      <c r="M86" s="1054"/>
      <c r="N86" s="1054"/>
      <c r="O86" s="1054"/>
      <c r="P86" s="1054"/>
      <c r="Q86" s="1054"/>
      <c r="R86" s="1054"/>
      <c r="S86" s="1054"/>
      <c r="T86" s="1054"/>
      <c r="U86" s="1054"/>
      <c r="V86" s="1054"/>
      <c r="W86" s="1054"/>
      <c r="X86" s="1054"/>
      <c r="Y86" s="1054"/>
      <c r="Z86" s="1054"/>
      <c r="AA86" s="1054"/>
      <c r="AB86" s="1054"/>
      <c r="AC86" s="1054"/>
      <c r="AD86" s="1054"/>
      <c r="AE86" s="1054"/>
      <c r="AF86" s="1054"/>
      <c r="AG86" s="1054"/>
      <c r="AH86" s="1054"/>
      <c r="AI86" s="1054"/>
      <c r="AJ86" s="1054"/>
      <c r="AK86" s="1054"/>
      <c r="AL86" s="1054"/>
      <c r="AM86" s="1054"/>
      <c r="AN86" s="1054"/>
      <c r="AO86" s="1054"/>
      <c r="AP86" s="1054"/>
      <c r="AQ86" s="1054"/>
      <c r="AR86" s="1054"/>
      <c r="AS86" s="1054"/>
      <c r="AT86" s="1054"/>
      <c r="AU86" s="1054"/>
      <c r="AV86" s="1054"/>
      <c r="AW86" s="1054"/>
      <c r="AX86" s="1054"/>
    </row>
    <row r="87" spans="1:50" ht="15" customHeight="1">
      <c r="A87" s="1054"/>
      <c r="B87" s="643" t="str">
        <f>Translate!$E$52</f>
        <v>Decommissioning provision required</v>
      </c>
      <c r="C87" s="333"/>
      <c r="D87" s="1077"/>
      <c r="E87" s="1036"/>
      <c r="F87" s="1049"/>
      <c r="G87" s="1049"/>
      <c r="H87" s="1049"/>
      <c r="I87" s="1049"/>
      <c r="J87" s="1054"/>
      <c r="K87" s="1054"/>
      <c r="L87" s="1054"/>
      <c r="M87" s="1054"/>
      <c r="N87" s="1054"/>
      <c r="O87" s="1054"/>
      <c r="P87" s="1054"/>
      <c r="Q87" s="1054"/>
      <c r="R87" s="1054"/>
      <c r="S87" s="1054"/>
      <c r="T87" s="1054"/>
      <c r="U87" s="1054"/>
      <c r="V87" s="1054"/>
      <c r="W87" s="1054"/>
      <c r="X87" s="1054"/>
      <c r="Y87" s="1054"/>
      <c r="Z87" s="1054"/>
      <c r="AA87" s="1054"/>
      <c r="AB87" s="1054"/>
      <c r="AC87" s="1054"/>
      <c r="AD87" s="1054"/>
      <c r="AE87" s="1054"/>
      <c r="AF87" s="1054"/>
      <c r="AG87" s="1054"/>
      <c r="AH87" s="1054"/>
      <c r="AI87" s="1054"/>
      <c r="AJ87" s="1054"/>
      <c r="AK87" s="1054"/>
      <c r="AL87" s="1054"/>
      <c r="AM87" s="1054"/>
      <c r="AN87" s="1054"/>
      <c r="AO87" s="1054"/>
      <c r="AP87" s="1054"/>
      <c r="AQ87" s="1054"/>
      <c r="AR87" s="1054"/>
      <c r="AS87" s="1054"/>
      <c r="AT87" s="1054"/>
      <c r="AU87" s="1054"/>
      <c r="AV87" s="1054"/>
      <c r="AW87" s="1054"/>
      <c r="AX87" s="1054"/>
    </row>
    <row r="88" spans="1:50" ht="15" customHeight="1">
      <c r="A88" s="325"/>
      <c r="B88" s="643"/>
      <c r="C88" s="333"/>
      <c r="D88" s="1097"/>
      <c r="E88" s="219" t="str">
        <f xml:space="preserve"> Inputs!E$47</f>
        <v>LIBOR: nominal</v>
      </c>
      <c r="F88" s="370">
        <f xml:space="preserve"> Inputs!F$47</f>
        <v>2.0000000000000018E-2</v>
      </c>
      <c r="G88" s="371" t="str">
        <f xml:space="preserve"> Inputs!G$47</f>
        <v>%</v>
      </c>
      <c r="H88" s="1049"/>
      <c r="I88" s="1097"/>
      <c r="J88" s="1054"/>
      <c r="K88" s="1054"/>
      <c r="L88" s="1054"/>
      <c r="M88" s="1054"/>
      <c r="N88" s="1054"/>
      <c r="O88" s="1054"/>
      <c r="P88" s="1054"/>
      <c r="Q88" s="1054"/>
      <c r="R88" s="1054"/>
      <c r="S88" s="1054"/>
      <c r="T88" s="1054"/>
      <c r="U88" s="1054"/>
      <c r="V88" s="1054"/>
      <c r="W88" s="1054"/>
      <c r="X88" s="1054"/>
      <c r="Y88" s="1054"/>
      <c r="Z88" s="1054"/>
      <c r="AA88" s="1054"/>
      <c r="AB88" s="1054"/>
      <c r="AC88" s="1054"/>
      <c r="AD88" s="1054"/>
      <c r="AE88" s="1054"/>
      <c r="AF88" s="1054"/>
      <c r="AG88" s="1054"/>
      <c r="AH88" s="1054"/>
      <c r="AI88" s="1054"/>
      <c r="AJ88" s="1054"/>
      <c r="AK88" s="1054"/>
      <c r="AL88" s="1054"/>
      <c r="AM88" s="1054"/>
      <c r="AN88" s="1054"/>
      <c r="AO88" s="1054"/>
      <c r="AP88" s="1054"/>
      <c r="AQ88" s="1054"/>
      <c r="AR88" s="1054"/>
      <c r="AS88" s="1054"/>
      <c r="AT88" s="1054"/>
      <c r="AU88" s="1054"/>
      <c r="AV88" s="1054"/>
      <c r="AW88" s="1054"/>
      <c r="AX88" s="1054"/>
    </row>
    <row r="89" spans="1:50" ht="15" customHeight="1">
      <c r="A89" s="325"/>
      <c r="B89" s="643"/>
      <c r="C89" s="333"/>
      <c r="D89" s="1097"/>
      <c r="E89" s="260" t="str">
        <f>Translate!$E$169</f>
        <v>Decommissioning provision required (annuity basis)</v>
      </c>
      <c r="F89" s="193"/>
      <c r="G89" s="194" t="str">
        <f xml:space="preserve"> Translate!E$10</f>
        <v>US$ mn</v>
      </c>
      <c r="H89" s="1049"/>
      <c r="I89" s="1097"/>
      <c r="J89" s="1054"/>
      <c r="K89" s="1054">
        <f t="shared" ref="K89:AX89" ca="1" si="3" xml:space="preserve"> IF( K77 &gt; 0, PMT($F88, K84, 0, K77, 0) * -1, 0)</f>
        <v>0</v>
      </c>
      <c r="L89" s="1054">
        <f t="shared" ca="1" si="3"/>
        <v>0</v>
      </c>
      <c r="M89" s="1054">
        <f t="shared" ca="1" si="3"/>
        <v>0</v>
      </c>
      <c r="N89" s="1054">
        <f t="shared" ca="1" si="3"/>
        <v>0</v>
      </c>
      <c r="O89" s="1054">
        <f t="shared" ca="1" si="3"/>
        <v>0</v>
      </c>
      <c r="P89" s="1054">
        <f t="shared" ca="1" si="3"/>
        <v>0</v>
      </c>
      <c r="Q89" s="1054">
        <f t="shared" ca="1" si="3"/>
        <v>0</v>
      </c>
      <c r="R89" s="1054">
        <f t="shared" ca="1" si="3"/>
        <v>0</v>
      </c>
      <c r="S89" s="1054">
        <f t="shared" ca="1" si="3"/>
        <v>0</v>
      </c>
      <c r="T89" s="1054">
        <f t="shared" ca="1" si="3"/>
        <v>0</v>
      </c>
      <c r="U89" s="1054">
        <f t="shared" ca="1" si="3"/>
        <v>0</v>
      </c>
      <c r="V89" s="1054">
        <f t="shared" ca="1" si="3"/>
        <v>0</v>
      </c>
      <c r="W89" s="1054">
        <f t="shared" ca="1" si="3"/>
        <v>0</v>
      </c>
      <c r="X89" s="1054">
        <f t="shared" ca="1" si="3"/>
        <v>0</v>
      </c>
      <c r="Y89" s="1054">
        <f t="shared" ca="1" si="3"/>
        <v>0</v>
      </c>
      <c r="Z89" s="1054">
        <f t="shared" ca="1" si="3"/>
        <v>0</v>
      </c>
      <c r="AA89" s="1054">
        <f t="shared" ca="1" si="3"/>
        <v>0</v>
      </c>
      <c r="AB89" s="1054">
        <f t="shared" ca="1" si="3"/>
        <v>0</v>
      </c>
      <c r="AC89" s="1054">
        <f t="shared" ca="1" si="3"/>
        <v>0</v>
      </c>
      <c r="AD89" s="1054">
        <f t="shared" ca="1" si="3"/>
        <v>0</v>
      </c>
      <c r="AE89" s="1054">
        <f t="shared" ca="1" si="3"/>
        <v>0</v>
      </c>
      <c r="AF89" s="1054">
        <f t="shared" ca="1" si="3"/>
        <v>3.5317996256270274</v>
      </c>
      <c r="AG89" s="1054">
        <f t="shared" ca="1" si="3"/>
        <v>0</v>
      </c>
      <c r="AH89" s="1054">
        <f t="shared" ca="1" si="3"/>
        <v>0</v>
      </c>
      <c r="AI89" s="1054">
        <f t="shared" ca="1" si="3"/>
        <v>0</v>
      </c>
      <c r="AJ89" s="1054">
        <f t="shared" ca="1" si="3"/>
        <v>0</v>
      </c>
      <c r="AK89" s="1054">
        <f t="shared" ca="1" si="3"/>
        <v>0</v>
      </c>
      <c r="AL89" s="1054">
        <f t="shared" ca="1" si="3"/>
        <v>0</v>
      </c>
      <c r="AM89" s="1054">
        <f t="shared" ca="1" si="3"/>
        <v>0</v>
      </c>
      <c r="AN89" s="1054">
        <f t="shared" ca="1" si="3"/>
        <v>0</v>
      </c>
      <c r="AO89" s="1054">
        <f t="shared" ca="1" si="3"/>
        <v>0</v>
      </c>
      <c r="AP89" s="1054">
        <f t="shared" ca="1" si="3"/>
        <v>0</v>
      </c>
      <c r="AQ89" s="1054">
        <f t="shared" ca="1" si="3"/>
        <v>0</v>
      </c>
      <c r="AR89" s="1054">
        <f t="shared" ca="1" si="3"/>
        <v>0</v>
      </c>
      <c r="AS89" s="1054">
        <f t="shared" ca="1" si="3"/>
        <v>0</v>
      </c>
      <c r="AT89" s="1054">
        <f t="shared" ca="1" si="3"/>
        <v>0</v>
      </c>
      <c r="AU89" s="1054">
        <f t="shared" ca="1" si="3"/>
        <v>0</v>
      </c>
      <c r="AV89" s="1054">
        <f t="shared" ca="1" si="3"/>
        <v>0</v>
      </c>
      <c r="AW89" s="1054">
        <f t="shared" ca="1" si="3"/>
        <v>0</v>
      </c>
      <c r="AX89" s="1054">
        <f t="shared" ca="1" si="3"/>
        <v>0</v>
      </c>
    </row>
    <row r="90" spans="1:50" ht="15" customHeight="1">
      <c r="A90" s="325"/>
      <c r="B90" s="643"/>
      <c r="C90" s="333"/>
      <c r="D90" s="1097"/>
      <c r="E90" s="367" t="str">
        <f xml:space="preserve"> FiscalModel!E$36</f>
        <v>Decommissioning fund</v>
      </c>
      <c r="F90" s="550" t="str">
        <f xml:space="preserve"> FiscalModel!F$36</f>
        <v>yes</v>
      </c>
      <c r="G90" s="549" t="str">
        <f xml:space="preserve"> FiscalModel!G$36</f>
        <v>Switch</v>
      </c>
      <c r="H90" s="1049"/>
      <c r="I90" s="1097"/>
      <c r="J90" s="1054"/>
      <c r="K90" s="1054"/>
      <c r="L90" s="1054"/>
      <c r="M90" s="1054"/>
      <c r="N90" s="1054"/>
      <c r="O90" s="1054"/>
      <c r="P90" s="1054"/>
      <c r="Q90" s="1054"/>
      <c r="R90" s="1054"/>
      <c r="S90" s="1054"/>
      <c r="T90" s="1054"/>
      <c r="U90" s="1054"/>
      <c r="V90" s="1054"/>
      <c r="W90" s="1054"/>
      <c r="X90" s="1054"/>
      <c r="Y90" s="1054"/>
      <c r="Z90" s="1054"/>
      <c r="AA90" s="1054"/>
      <c r="AB90" s="1054"/>
      <c r="AC90" s="1054"/>
      <c r="AD90" s="1054"/>
      <c r="AE90" s="1054"/>
      <c r="AF90" s="1054"/>
      <c r="AG90" s="1054"/>
      <c r="AH90" s="1054"/>
      <c r="AI90" s="1054"/>
      <c r="AJ90" s="1054"/>
      <c r="AK90" s="1054"/>
      <c r="AL90" s="1054"/>
      <c r="AM90" s="1054"/>
      <c r="AN90" s="1054"/>
      <c r="AO90" s="1054"/>
      <c r="AP90" s="1054"/>
      <c r="AQ90" s="1054"/>
      <c r="AR90" s="1054"/>
      <c r="AS90" s="1054"/>
      <c r="AT90" s="1054"/>
      <c r="AU90" s="1054"/>
      <c r="AV90" s="1054"/>
      <c r="AW90" s="1054"/>
      <c r="AX90" s="1054"/>
    </row>
    <row r="91" spans="1:50" ht="15" customHeight="1">
      <c r="A91" s="325"/>
      <c r="B91" s="643"/>
      <c r="C91" s="333"/>
      <c r="D91" s="1097"/>
      <c r="E91" s="219" t="str">
        <f>Inputs!E$81</f>
        <v>Label: yes</v>
      </c>
      <c r="F91" s="552" t="str">
        <f>Inputs!F$81</f>
        <v>yes</v>
      </c>
      <c r="G91" s="219" t="str">
        <f>Inputs!G$81</f>
        <v>Label</v>
      </c>
      <c r="H91" s="1049"/>
      <c r="I91" s="1097"/>
      <c r="J91" s="1054"/>
      <c r="K91" s="1054"/>
      <c r="L91" s="1054"/>
      <c r="M91" s="1054"/>
      <c r="N91" s="1054"/>
      <c r="O91" s="1054"/>
      <c r="P91" s="1054"/>
      <c r="Q91" s="1054"/>
      <c r="R91" s="1054"/>
      <c r="S91" s="1054"/>
      <c r="T91" s="1054"/>
      <c r="U91" s="1054"/>
      <c r="V91" s="1054"/>
      <c r="W91" s="1054"/>
      <c r="X91" s="1054"/>
      <c r="Y91" s="1054"/>
      <c r="Z91" s="1054"/>
      <c r="AA91" s="1054"/>
      <c r="AB91" s="1054"/>
      <c r="AC91" s="1054"/>
      <c r="AD91" s="1054"/>
      <c r="AE91" s="1054"/>
      <c r="AF91" s="1054"/>
      <c r="AG91" s="1054"/>
      <c r="AH91" s="1054"/>
      <c r="AI91" s="1054"/>
      <c r="AJ91" s="1054"/>
      <c r="AK91" s="1054"/>
      <c r="AL91" s="1054"/>
      <c r="AM91" s="1054"/>
      <c r="AN91" s="1054"/>
      <c r="AO91" s="1054"/>
      <c r="AP91" s="1054"/>
      <c r="AQ91" s="1054"/>
      <c r="AR91" s="1054"/>
      <c r="AS91" s="1054"/>
      <c r="AT91" s="1054"/>
      <c r="AU91" s="1054"/>
      <c r="AV91" s="1054"/>
      <c r="AW91" s="1054"/>
      <c r="AX91" s="1054"/>
    </row>
    <row r="92" spans="1:50" ht="15" customHeight="1">
      <c r="A92" s="325"/>
      <c r="B92" s="643"/>
      <c r="C92" s="333"/>
      <c r="D92" s="1097"/>
      <c r="E92" s="260" t="str">
        <f>Translate!$E$170</f>
        <v>Decommissioning provision for future costs (end of period)</v>
      </c>
      <c r="F92" s="193"/>
      <c r="G92" s="194" t="str">
        <f xml:space="preserve"> Translate!E$10</f>
        <v>US$ mn</v>
      </c>
      <c r="H92" s="1049"/>
      <c r="I92" s="1097">
        <f ca="1" xml:space="preserve"> SUM(K92:AX92)</f>
        <v>28.254397005016219</v>
      </c>
      <c r="J92" s="1054"/>
      <c r="K92" s="1054">
        <f ca="1" xml:space="preserve"> SUM(K89:$AX89) * K82 * ($F90 = $F91)</f>
        <v>0</v>
      </c>
      <c r="L92" s="1054">
        <f ca="1" xml:space="preserve"> SUM(L89:$AX89) * L82 * ($F90 = $F91)</f>
        <v>0</v>
      </c>
      <c r="M92" s="1054">
        <f ca="1" xml:space="preserve"> SUM(M89:$AX89) * M82 * ($F90 = $F91)</f>
        <v>0</v>
      </c>
      <c r="N92" s="1054">
        <f ca="1" xml:space="preserve"> SUM(N89:$AX89) * N82 * ($F90 = $F91)</f>
        <v>0</v>
      </c>
      <c r="O92" s="1054">
        <f ca="1" xml:space="preserve"> SUM(O89:$AX89) * O82 * ($F90 = $F91)</f>
        <v>0</v>
      </c>
      <c r="P92" s="1054">
        <f ca="1" xml:space="preserve"> SUM(P89:$AX89) * P82 * ($F90 = $F91)</f>
        <v>0</v>
      </c>
      <c r="Q92" s="1054">
        <f ca="1" xml:space="preserve"> SUM(Q89:$AX89) * Q82 * ($F90 = $F91)</f>
        <v>0</v>
      </c>
      <c r="R92" s="1054">
        <f ca="1" xml:space="preserve"> SUM(R89:$AX89) * R82 * ($F90 = $F91)</f>
        <v>0</v>
      </c>
      <c r="S92" s="1054">
        <f ca="1" xml:space="preserve"> SUM(S89:$AX89) * S82 * ($F90 = $F91)</f>
        <v>0</v>
      </c>
      <c r="T92" s="1054">
        <f ca="1" xml:space="preserve"> SUM(T89:$AX89) * T82 * ($F90 = $F91)</f>
        <v>0</v>
      </c>
      <c r="U92" s="1054">
        <f ca="1" xml:space="preserve"> SUM(U89:$AX89) * U82 * ($F90 = $F91)</f>
        <v>0</v>
      </c>
      <c r="V92" s="1054">
        <f ca="1" xml:space="preserve"> SUM(V89:$AX89) * V82 * ($F90 = $F91)</f>
        <v>0</v>
      </c>
      <c r="W92" s="1054">
        <f ca="1" xml:space="preserve"> SUM(W89:$AX89) * W82 * ($F90 = $F91)</f>
        <v>0</v>
      </c>
      <c r="X92" s="1054">
        <f ca="1" xml:space="preserve"> SUM(X89:$AX89) * X82 * ($F90 = $F91)</f>
        <v>3.5317996256270274</v>
      </c>
      <c r="Y92" s="1054">
        <f ca="1" xml:space="preserve"> SUM(Y89:$AX89) * Y82 * ($F90 = $F91)</f>
        <v>3.5317996256270274</v>
      </c>
      <c r="Z92" s="1054">
        <f ca="1" xml:space="preserve"> SUM(Z89:$AX89) * Z82 * ($F90 = $F91)</f>
        <v>3.5317996256270274</v>
      </c>
      <c r="AA92" s="1054">
        <f ca="1" xml:space="preserve"> SUM(AA89:$AX89) * AA82 * ($F90 = $F91)</f>
        <v>3.5317996256270274</v>
      </c>
      <c r="AB92" s="1054">
        <f ca="1" xml:space="preserve"> SUM(AB89:$AX89) * AB82 * ($F90 = $F91)</f>
        <v>3.5317996256270274</v>
      </c>
      <c r="AC92" s="1054">
        <f ca="1" xml:space="preserve"> SUM(AC89:$AX89) * AC82 * ($F90 = $F91)</f>
        <v>3.5317996256270274</v>
      </c>
      <c r="AD92" s="1054">
        <f ca="1" xml:space="preserve"> SUM(AD89:$AX89) * AD82 * ($F90 = $F91)</f>
        <v>3.5317996256270274</v>
      </c>
      <c r="AE92" s="1054">
        <f ca="1" xml:space="preserve"> SUM(AE89:$AX89) * AE82 * ($F90 = $F91)</f>
        <v>3.5317996256270274</v>
      </c>
      <c r="AF92" s="1054">
        <f ca="1" xml:space="preserve"> SUM(AF89:$AX89) * AF82 * ($F90 = $F91)</f>
        <v>0</v>
      </c>
      <c r="AG92" s="1054">
        <f ca="1" xml:space="preserve"> SUM(AG89:$AX89) * AG82 * ($F90 = $F91)</f>
        <v>0</v>
      </c>
      <c r="AH92" s="1054">
        <f ca="1" xml:space="preserve"> SUM(AH89:$AX89) * AH82 * ($F90 = $F91)</f>
        <v>0</v>
      </c>
      <c r="AI92" s="1054">
        <f ca="1" xml:space="preserve"> SUM(AI89:$AX89) * AI82 * ($F90 = $F91)</f>
        <v>0</v>
      </c>
      <c r="AJ92" s="1054">
        <f ca="1" xml:space="preserve"> SUM(AJ89:$AX89) * AJ82 * ($F90 = $F91)</f>
        <v>0</v>
      </c>
      <c r="AK92" s="1054">
        <f ca="1" xml:space="preserve"> SUM(AK89:$AX89) * AK82 * ($F90 = $F91)</f>
        <v>0</v>
      </c>
      <c r="AL92" s="1054">
        <f ca="1" xml:space="preserve"> SUM(AL89:$AX89) * AL82 * ($F90 = $F91)</f>
        <v>0</v>
      </c>
      <c r="AM92" s="1054">
        <f ca="1" xml:space="preserve"> SUM(AM89:$AX89) * AM82 * ($F90 = $F91)</f>
        <v>0</v>
      </c>
      <c r="AN92" s="1054">
        <f ca="1" xml:space="preserve"> SUM(AN89:$AX89) * AN82 * ($F90 = $F91)</f>
        <v>0</v>
      </c>
      <c r="AO92" s="1054">
        <f ca="1" xml:space="preserve"> SUM(AO89:$AX89) * AO82 * ($F90 = $F91)</f>
        <v>0</v>
      </c>
      <c r="AP92" s="1054">
        <f ca="1" xml:space="preserve"> SUM(AP89:$AX89) * AP82 * ($F90 = $F91)</f>
        <v>0</v>
      </c>
      <c r="AQ92" s="1054">
        <f ca="1" xml:space="preserve"> SUM(AQ89:$AX89) * AQ82 * ($F90 = $F91)</f>
        <v>0</v>
      </c>
      <c r="AR92" s="1054">
        <f ca="1" xml:space="preserve"> SUM(AR89:$AX89) * AR82 * ($F90 = $F91)</f>
        <v>0</v>
      </c>
      <c r="AS92" s="1054">
        <f ca="1" xml:space="preserve"> SUM(AS89:$AX89) * AS82 * ($F90 = $F91)</f>
        <v>0</v>
      </c>
      <c r="AT92" s="1054">
        <f ca="1" xml:space="preserve"> SUM(AT89:$AX89) * AT82 * ($F90 = $F91)</f>
        <v>0</v>
      </c>
      <c r="AU92" s="1054">
        <f ca="1" xml:space="preserve"> SUM(AU89:$AX89) * AU82 * ($F90 = $F91)</f>
        <v>0</v>
      </c>
      <c r="AV92" s="1054">
        <f ca="1" xml:space="preserve"> SUM(AV89:$AX89) * AV82 * ($F90 = $F91)</f>
        <v>0</v>
      </c>
      <c r="AW92" s="1054">
        <f ca="1" xml:space="preserve"> SUM(AW89:$AX89) * AW82 * ($F90 = $F91)</f>
        <v>0</v>
      </c>
      <c r="AX92" s="1054">
        <f ca="1" xml:space="preserve"> SUM(AX89:$AX89) * AX82 * ($F90 = $F91)</f>
        <v>0</v>
      </c>
    </row>
    <row r="93" spans="1:50" ht="15" customHeight="1">
      <c r="A93" s="325"/>
      <c r="B93" s="643"/>
      <c r="C93" s="333"/>
      <c r="D93" s="1097"/>
      <c r="E93" s="260"/>
      <c r="F93" s="193"/>
      <c r="G93" s="194"/>
      <c r="H93" s="1049"/>
      <c r="I93" s="1097"/>
      <c r="J93" s="1054"/>
      <c r="K93" s="1054"/>
      <c r="L93" s="1054"/>
      <c r="M93" s="1054"/>
      <c r="N93" s="1054"/>
      <c r="O93" s="1054"/>
      <c r="P93" s="1054"/>
      <c r="Q93" s="1054"/>
      <c r="R93" s="1054"/>
      <c r="S93" s="1054"/>
      <c r="T93" s="1054"/>
      <c r="U93" s="1054"/>
      <c r="V93" s="1054"/>
      <c r="W93" s="1054"/>
      <c r="X93" s="1054"/>
      <c r="Y93" s="1054"/>
      <c r="Z93" s="1054"/>
      <c r="AA93" s="1054"/>
      <c r="AB93" s="1054"/>
      <c r="AC93" s="1054"/>
      <c r="AD93" s="1054"/>
      <c r="AE93" s="1054"/>
      <c r="AF93" s="1054"/>
      <c r="AG93" s="1054"/>
      <c r="AH93" s="1054"/>
      <c r="AI93" s="1054"/>
      <c r="AJ93" s="1054"/>
      <c r="AK93" s="1054"/>
      <c r="AL93" s="1054"/>
      <c r="AM93" s="1054"/>
      <c r="AN93" s="1054"/>
      <c r="AO93" s="1054"/>
      <c r="AP93" s="1054"/>
      <c r="AQ93" s="1054"/>
      <c r="AR93" s="1054"/>
      <c r="AS93" s="1054"/>
      <c r="AT93" s="1054"/>
      <c r="AU93" s="1054"/>
      <c r="AV93" s="1054"/>
      <c r="AW93" s="1054"/>
      <c r="AX93" s="1054"/>
    </row>
    <row r="94" spans="1:50" ht="15" customHeight="1">
      <c r="A94" s="325"/>
      <c r="B94" s="643" t="str">
        <f>Translate!$E$53</f>
        <v>Decommissioning fund transactions</v>
      </c>
      <c r="C94" s="333"/>
      <c r="D94" s="1097"/>
      <c r="E94" s="260"/>
      <c r="F94" s="193"/>
      <c r="G94" s="194"/>
      <c r="H94" s="1049"/>
      <c r="I94" s="1097"/>
      <c r="J94" s="1054"/>
      <c r="K94" s="1054"/>
      <c r="L94" s="1054"/>
      <c r="M94" s="1054"/>
      <c r="N94" s="1054"/>
      <c r="O94" s="1054"/>
      <c r="P94" s="1054"/>
      <c r="Q94" s="1054"/>
      <c r="R94" s="1054"/>
      <c r="S94" s="1054"/>
      <c r="T94" s="1054"/>
      <c r="U94" s="1054"/>
      <c r="V94" s="1054"/>
      <c r="W94" s="1054"/>
      <c r="X94" s="1054"/>
      <c r="Y94" s="1054"/>
      <c r="Z94" s="1054"/>
      <c r="AA94" s="1054"/>
      <c r="AB94" s="1054"/>
      <c r="AC94" s="1054"/>
      <c r="AD94" s="1054"/>
      <c r="AE94" s="1054"/>
      <c r="AF94" s="1054"/>
      <c r="AG94" s="1054"/>
      <c r="AH94" s="1054"/>
      <c r="AI94" s="1054"/>
      <c r="AJ94" s="1054"/>
      <c r="AK94" s="1054"/>
      <c r="AL94" s="1054"/>
      <c r="AM94" s="1054"/>
      <c r="AN94" s="1054"/>
      <c r="AO94" s="1054"/>
      <c r="AP94" s="1054"/>
      <c r="AQ94" s="1054"/>
      <c r="AR94" s="1054"/>
      <c r="AS94" s="1054"/>
      <c r="AT94" s="1054"/>
      <c r="AU94" s="1054"/>
      <c r="AV94" s="1054"/>
      <c r="AW94" s="1054"/>
      <c r="AX94" s="1054"/>
    </row>
    <row r="95" spans="1:50" ht="15" customHeight="1">
      <c r="A95" s="325"/>
      <c r="B95" s="643"/>
      <c r="C95" s="333" t="str">
        <f>Translate!$E$102</f>
        <v>Withdrawals</v>
      </c>
      <c r="D95" s="1097"/>
      <c r="E95" s="260"/>
      <c r="F95" s="193"/>
      <c r="G95" s="194"/>
      <c r="H95" s="1049"/>
      <c r="I95" s="1097"/>
      <c r="J95" s="1054"/>
      <c r="K95" s="1054"/>
      <c r="L95" s="1054"/>
      <c r="M95" s="1054"/>
      <c r="N95" s="1054"/>
      <c r="O95" s="1054"/>
      <c r="P95" s="1054"/>
      <c r="Q95" s="1054"/>
      <c r="R95" s="1054"/>
      <c r="S95" s="1054"/>
      <c r="T95" s="1054"/>
      <c r="U95" s="1054"/>
      <c r="V95" s="1054"/>
      <c r="W95" s="1054"/>
      <c r="X95" s="1054"/>
      <c r="Y95" s="1054"/>
      <c r="Z95" s="1054"/>
      <c r="AA95" s="1054"/>
      <c r="AB95" s="1054"/>
      <c r="AC95" s="1054"/>
      <c r="AD95" s="1054"/>
      <c r="AE95" s="1054"/>
      <c r="AF95" s="1054"/>
      <c r="AG95" s="1054"/>
      <c r="AH95" s="1054"/>
      <c r="AI95" s="1054"/>
      <c r="AJ95" s="1054"/>
      <c r="AK95" s="1054"/>
      <c r="AL95" s="1054"/>
      <c r="AM95" s="1054"/>
      <c r="AN95" s="1054"/>
      <c r="AO95" s="1054"/>
      <c r="AP95" s="1054"/>
      <c r="AQ95" s="1054"/>
      <c r="AR95" s="1054"/>
      <c r="AS95" s="1054"/>
      <c r="AT95" s="1054"/>
      <c r="AU95" s="1054"/>
      <c r="AV95" s="1054"/>
      <c r="AW95" s="1054"/>
      <c r="AX95" s="1054"/>
    </row>
    <row r="96" spans="1:50" ht="15" customHeight="1">
      <c r="A96" s="325"/>
      <c r="B96" s="643"/>
      <c r="C96" s="333"/>
      <c r="D96" s="1097"/>
      <c r="E96" s="57" t="str">
        <f xml:space="preserve"> E$106</f>
        <v>Decommissioning fund opening balance BEG</v>
      </c>
      <c r="F96" s="57">
        <f t="shared" ref="F96:AX96" si="4" xml:space="preserve"> F$106</f>
        <v>0</v>
      </c>
      <c r="G96" s="57" t="str">
        <f t="shared" si="4"/>
        <v>US$ mn</v>
      </c>
      <c r="H96" s="57">
        <f t="shared" si="4"/>
        <v>0</v>
      </c>
      <c r="I96" s="57">
        <f t="shared" si="4"/>
        <v>0</v>
      </c>
      <c r="J96" s="57">
        <f t="shared" si="4"/>
        <v>0</v>
      </c>
      <c r="K96" s="57">
        <f t="shared" si="4"/>
        <v>0</v>
      </c>
      <c r="L96" s="57">
        <f t="shared" ca="1" si="4"/>
        <v>0</v>
      </c>
      <c r="M96" s="57">
        <f t="shared" ca="1" si="4"/>
        <v>0</v>
      </c>
      <c r="N96" s="57">
        <f t="shared" ca="1" si="4"/>
        <v>0</v>
      </c>
      <c r="O96" s="57">
        <f t="shared" ca="1" si="4"/>
        <v>0</v>
      </c>
      <c r="P96" s="57">
        <f t="shared" ca="1" si="4"/>
        <v>0</v>
      </c>
      <c r="Q96" s="57">
        <f t="shared" ca="1" si="4"/>
        <v>0</v>
      </c>
      <c r="R96" s="57">
        <f t="shared" ca="1" si="4"/>
        <v>0</v>
      </c>
      <c r="S96" s="57">
        <f t="shared" ca="1" si="4"/>
        <v>0</v>
      </c>
      <c r="T96" s="57">
        <f t="shared" ca="1" si="4"/>
        <v>0</v>
      </c>
      <c r="U96" s="57">
        <f t="shared" ca="1" si="4"/>
        <v>0</v>
      </c>
      <c r="V96" s="57">
        <f t="shared" ca="1" si="4"/>
        <v>0</v>
      </c>
      <c r="W96" s="57">
        <f t="shared" ca="1" si="4"/>
        <v>0</v>
      </c>
      <c r="X96" s="57">
        <f t="shared" ca="1" si="4"/>
        <v>0</v>
      </c>
      <c r="Y96" s="57">
        <f t="shared" ca="1" si="4"/>
        <v>3.5317996256270274</v>
      </c>
      <c r="Z96" s="57">
        <f t="shared" ca="1" si="4"/>
        <v>7.1342352437665957</v>
      </c>
      <c r="AA96" s="57">
        <f t="shared" ca="1" si="4"/>
        <v>10.808719574268956</v>
      </c>
      <c r="AB96" s="57">
        <f t="shared" ca="1" si="4"/>
        <v>14.556693591381363</v>
      </c>
      <c r="AC96" s="57">
        <f t="shared" ca="1" si="4"/>
        <v>18.379627088836017</v>
      </c>
      <c r="AD96" s="57">
        <f t="shared" ca="1" si="4"/>
        <v>22.279019256239764</v>
      </c>
      <c r="AE96" s="57">
        <f t="shared" ca="1" si="4"/>
        <v>26.256399266991586</v>
      </c>
      <c r="AF96" s="57">
        <f t="shared" ca="1" si="4"/>
        <v>30.313326877958445</v>
      </c>
      <c r="AG96" s="57">
        <f t="shared" ca="1" si="4"/>
        <v>3.5527136788005009E-15</v>
      </c>
      <c r="AH96" s="57">
        <f t="shared" ca="1" si="4"/>
        <v>3.5527136788005009E-15</v>
      </c>
      <c r="AI96" s="57">
        <f t="shared" ca="1" si="4"/>
        <v>3.5527136788005009E-15</v>
      </c>
      <c r="AJ96" s="57">
        <f t="shared" ca="1" si="4"/>
        <v>3.5527136788005009E-15</v>
      </c>
      <c r="AK96" s="57">
        <f t="shared" ca="1" si="4"/>
        <v>3.5527136788005009E-15</v>
      </c>
      <c r="AL96" s="57">
        <f t="shared" ca="1" si="4"/>
        <v>3.5527136788005009E-15</v>
      </c>
      <c r="AM96" s="57">
        <f t="shared" ca="1" si="4"/>
        <v>3.5527136788005009E-15</v>
      </c>
      <c r="AN96" s="57">
        <f t="shared" ca="1" si="4"/>
        <v>3.5527136788005009E-15</v>
      </c>
      <c r="AO96" s="57">
        <f t="shared" ca="1" si="4"/>
        <v>3.5527136788005009E-15</v>
      </c>
      <c r="AP96" s="57">
        <f t="shared" ca="1" si="4"/>
        <v>3.5527136788005009E-15</v>
      </c>
      <c r="AQ96" s="57">
        <f t="shared" ca="1" si="4"/>
        <v>3.5527136788005009E-15</v>
      </c>
      <c r="AR96" s="57">
        <f t="shared" ca="1" si="4"/>
        <v>3.5527136788005009E-15</v>
      </c>
      <c r="AS96" s="57">
        <f t="shared" ca="1" si="4"/>
        <v>3.5527136788005009E-15</v>
      </c>
      <c r="AT96" s="57">
        <f t="shared" ca="1" si="4"/>
        <v>3.5527136788005009E-15</v>
      </c>
      <c r="AU96" s="57">
        <f t="shared" ca="1" si="4"/>
        <v>3.5527136788005009E-15</v>
      </c>
      <c r="AV96" s="57">
        <f t="shared" ca="1" si="4"/>
        <v>3.5527136788005009E-15</v>
      </c>
      <c r="AW96" s="57">
        <f t="shared" ca="1" si="4"/>
        <v>3.5527136788005009E-15</v>
      </c>
      <c r="AX96" s="57">
        <f t="shared" ca="1" si="4"/>
        <v>3.5527136788005009E-15</v>
      </c>
    </row>
    <row r="97" spans="1:50" ht="15" customHeight="1">
      <c r="A97" s="325"/>
      <c r="B97" s="643"/>
      <c r="C97" s="333"/>
      <c r="D97" s="1097"/>
      <c r="E97" s="1024" t="str">
        <f>Translate!$E$171</f>
        <v>Withdrawals to meet decommissioning costs (end of period)</v>
      </c>
      <c r="F97" s="193"/>
      <c r="G97" s="194" t="str">
        <f xml:space="preserve"> G96</f>
        <v>US$ mn</v>
      </c>
      <c r="H97" s="1049"/>
      <c r="I97" s="1097">
        <f ca="1" xml:space="preserve"> SUM(K97:AX97)</f>
        <v>30.313326877958442</v>
      </c>
      <c r="J97" s="1054"/>
      <c r="K97" s="1054">
        <f t="shared" ref="K97:AX97" ca="1" si="5" xml:space="preserve"> MIN(K96, K77)</f>
        <v>0</v>
      </c>
      <c r="L97" s="1054">
        <f t="shared" ca="1" si="5"/>
        <v>0</v>
      </c>
      <c r="M97" s="1054">
        <f t="shared" ca="1" si="5"/>
        <v>0</v>
      </c>
      <c r="N97" s="1054">
        <f t="shared" ca="1" si="5"/>
        <v>0</v>
      </c>
      <c r="O97" s="1054">
        <f t="shared" ca="1" si="5"/>
        <v>0</v>
      </c>
      <c r="P97" s="1054">
        <f t="shared" ca="1" si="5"/>
        <v>0</v>
      </c>
      <c r="Q97" s="1054">
        <f t="shared" ca="1" si="5"/>
        <v>0</v>
      </c>
      <c r="R97" s="1054">
        <f t="shared" ca="1" si="5"/>
        <v>0</v>
      </c>
      <c r="S97" s="1054">
        <f t="shared" ca="1" si="5"/>
        <v>0</v>
      </c>
      <c r="T97" s="1054">
        <f t="shared" ca="1" si="5"/>
        <v>0</v>
      </c>
      <c r="U97" s="1054">
        <f t="shared" ca="1" si="5"/>
        <v>0</v>
      </c>
      <c r="V97" s="1054">
        <f t="shared" ca="1" si="5"/>
        <v>0</v>
      </c>
      <c r="W97" s="1054">
        <f t="shared" ca="1" si="5"/>
        <v>0</v>
      </c>
      <c r="X97" s="1054">
        <f t="shared" ca="1" si="5"/>
        <v>0</v>
      </c>
      <c r="Y97" s="1054">
        <f t="shared" ca="1" si="5"/>
        <v>0</v>
      </c>
      <c r="Z97" s="1054">
        <f t="shared" ca="1" si="5"/>
        <v>0</v>
      </c>
      <c r="AA97" s="1054">
        <f t="shared" ca="1" si="5"/>
        <v>0</v>
      </c>
      <c r="AB97" s="1054">
        <f t="shared" ca="1" si="5"/>
        <v>0</v>
      </c>
      <c r="AC97" s="1054">
        <f t="shared" ca="1" si="5"/>
        <v>0</v>
      </c>
      <c r="AD97" s="1054">
        <f t="shared" ca="1" si="5"/>
        <v>0</v>
      </c>
      <c r="AE97" s="1054">
        <f t="shared" ca="1" si="5"/>
        <v>0</v>
      </c>
      <c r="AF97" s="1054">
        <f t="shared" ca="1" si="5"/>
        <v>30.313326877958442</v>
      </c>
      <c r="AG97" s="1054">
        <f t="shared" ca="1" si="5"/>
        <v>0</v>
      </c>
      <c r="AH97" s="1054">
        <f t="shared" ca="1" si="5"/>
        <v>0</v>
      </c>
      <c r="AI97" s="1054">
        <f t="shared" ca="1" si="5"/>
        <v>0</v>
      </c>
      <c r="AJ97" s="1054">
        <f t="shared" ca="1" si="5"/>
        <v>0</v>
      </c>
      <c r="AK97" s="1054">
        <f t="shared" ca="1" si="5"/>
        <v>0</v>
      </c>
      <c r="AL97" s="1054">
        <f t="shared" ca="1" si="5"/>
        <v>0</v>
      </c>
      <c r="AM97" s="1054">
        <f t="shared" ca="1" si="5"/>
        <v>0</v>
      </c>
      <c r="AN97" s="1054">
        <f t="shared" ca="1" si="5"/>
        <v>0</v>
      </c>
      <c r="AO97" s="1054">
        <f t="shared" ca="1" si="5"/>
        <v>0</v>
      </c>
      <c r="AP97" s="1054">
        <f t="shared" ca="1" si="5"/>
        <v>0</v>
      </c>
      <c r="AQ97" s="1054">
        <f t="shared" ca="1" si="5"/>
        <v>0</v>
      </c>
      <c r="AR97" s="1054">
        <f t="shared" ca="1" si="5"/>
        <v>0</v>
      </c>
      <c r="AS97" s="1054">
        <f t="shared" ca="1" si="5"/>
        <v>0</v>
      </c>
      <c r="AT97" s="1054">
        <f t="shared" ca="1" si="5"/>
        <v>0</v>
      </c>
      <c r="AU97" s="1054">
        <f t="shared" ca="1" si="5"/>
        <v>0</v>
      </c>
      <c r="AV97" s="1054">
        <f t="shared" ca="1" si="5"/>
        <v>0</v>
      </c>
      <c r="AW97" s="1054">
        <f t="shared" ca="1" si="5"/>
        <v>0</v>
      </c>
      <c r="AX97" s="1054">
        <f t="shared" ca="1" si="5"/>
        <v>0</v>
      </c>
    </row>
    <row r="98" spans="1:50" ht="15" customHeight="1">
      <c r="A98" s="325"/>
      <c r="B98" s="643"/>
      <c r="C98" s="333"/>
      <c r="D98" s="1097"/>
      <c r="E98" s="260"/>
      <c r="F98" s="193"/>
      <c r="G98" s="194"/>
      <c r="H98" s="1049"/>
      <c r="I98" s="1097"/>
      <c r="J98" s="1054"/>
      <c r="K98" s="1054"/>
      <c r="L98" s="1054"/>
      <c r="M98" s="1054"/>
      <c r="N98" s="1054"/>
      <c r="O98" s="1054"/>
      <c r="P98" s="1054"/>
      <c r="Q98" s="1054"/>
      <c r="R98" s="1054"/>
      <c r="S98" s="1054"/>
      <c r="T98" s="1054"/>
      <c r="U98" s="1054"/>
      <c r="V98" s="1054"/>
      <c r="W98" s="1054"/>
      <c r="X98" s="1054"/>
      <c r="Y98" s="1054"/>
      <c r="Z98" s="1054"/>
      <c r="AA98" s="1054"/>
      <c r="AB98" s="1054"/>
      <c r="AC98" s="1054"/>
      <c r="AD98" s="1054"/>
      <c r="AE98" s="1054"/>
      <c r="AF98" s="1054"/>
      <c r="AG98" s="1054"/>
      <c r="AH98" s="1054"/>
      <c r="AI98" s="1054"/>
      <c r="AJ98" s="1054"/>
      <c r="AK98" s="1054"/>
      <c r="AL98" s="1054"/>
      <c r="AM98" s="1054"/>
      <c r="AN98" s="1054"/>
      <c r="AO98" s="1054"/>
      <c r="AP98" s="1054"/>
      <c r="AQ98" s="1054"/>
      <c r="AR98" s="1054"/>
      <c r="AS98" s="1054"/>
      <c r="AT98" s="1054"/>
      <c r="AU98" s="1054"/>
      <c r="AV98" s="1054"/>
      <c r="AW98" s="1054"/>
      <c r="AX98" s="1054"/>
    </row>
    <row r="99" spans="1:50" ht="15" customHeight="1">
      <c r="A99" s="325"/>
      <c r="B99" s="643"/>
      <c r="C99" s="333" t="str">
        <f>Translate!$E$103</f>
        <v>Interest earned on fund</v>
      </c>
      <c r="D99" s="1097"/>
      <c r="E99" s="260"/>
      <c r="F99" s="193"/>
      <c r="G99" s="194"/>
      <c r="H99" s="1049"/>
      <c r="I99" s="1097"/>
      <c r="J99" s="1054"/>
      <c r="K99" s="1054"/>
      <c r="L99" s="1054"/>
      <c r="M99" s="1054"/>
      <c r="N99" s="1054"/>
      <c r="O99" s="1054"/>
      <c r="P99" s="1054"/>
      <c r="Q99" s="1054"/>
      <c r="R99" s="1054"/>
      <c r="S99" s="1054"/>
      <c r="T99" s="1054"/>
      <c r="U99" s="1054"/>
      <c r="V99" s="1054"/>
      <c r="W99" s="1054"/>
      <c r="X99" s="1054"/>
      <c r="Y99" s="1054"/>
      <c r="Z99" s="1054"/>
      <c r="AA99" s="1054"/>
      <c r="AB99" s="1054"/>
      <c r="AC99" s="1054"/>
      <c r="AD99" s="1054"/>
      <c r="AE99" s="1054"/>
      <c r="AF99" s="1054"/>
      <c r="AG99" s="1054"/>
      <c r="AH99" s="1054"/>
      <c r="AI99" s="1054"/>
      <c r="AJ99" s="1054"/>
      <c r="AK99" s="1054"/>
      <c r="AL99" s="1054"/>
      <c r="AM99" s="1054"/>
      <c r="AN99" s="1054"/>
      <c r="AO99" s="1054"/>
      <c r="AP99" s="1054"/>
      <c r="AQ99" s="1054"/>
      <c r="AR99" s="1054"/>
      <c r="AS99" s="1054"/>
      <c r="AT99" s="1054"/>
      <c r="AU99" s="1054"/>
      <c r="AV99" s="1054"/>
      <c r="AW99" s="1054"/>
      <c r="AX99" s="1054"/>
    </row>
    <row r="100" spans="1:50" ht="15" customHeight="1">
      <c r="A100" s="325"/>
      <c r="B100" s="643"/>
      <c r="C100" s="333"/>
      <c r="D100" s="1097"/>
      <c r="E100" s="57" t="str">
        <f xml:space="preserve"> E$106</f>
        <v>Decommissioning fund opening balance BEG</v>
      </c>
      <c r="F100" s="57">
        <f t="shared" ref="F100:AX100" si="6" xml:space="preserve"> F$106</f>
        <v>0</v>
      </c>
      <c r="G100" s="57" t="str">
        <f t="shared" si="6"/>
        <v>US$ mn</v>
      </c>
      <c r="H100" s="57">
        <f t="shared" si="6"/>
        <v>0</v>
      </c>
      <c r="I100" s="57">
        <f t="shared" si="6"/>
        <v>0</v>
      </c>
      <c r="J100" s="57">
        <f t="shared" si="6"/>
        <v>0</v>
      </c>
      <c r="K100" s="57">
        <f t="shared" si="6"/>
        <v>0</v>
      </c>
      <c r="L100" s="57">
        <f t="shared" ca="1" si="6"/>
        <v>0</v>
      </c>
      <c r="M100" s="57">
        <f t="shared" ca="1" si="6"/>
        <v>0</v>
      </c>
      <c r="N100" s="57">
        <f t="shared" ca="1" si="6"/>
        <v>0</v>
      </c>
      <c r="O100" s="57">
        <f t="shared" ca="1" si="6"/>
        <v>0</v>
      </c>
      <c r="P100" s="57">
        <f t="shared" ca="1" si="6"/>
        <v>0</v>
      </c>
      <c r="Q100" s="57">
        <f t="shared" ca="1" si="6"/>
        <v>0</v>
      </c>
      <c r="R100" s="57">
        <f t="shared" ca="1" si="6"/>
        <v>0</v>
      </c>
      <c r="S100" s="57">
        <f t="shared" ca="1" si="6"/>
        <v>0</v>
      </c>
      <c r="T100" s="57">
        <f t="shared" ca="1" si="6"/>
        <v>0</v>
      </c>
      <c r="U100" s="57">
        <f t="shared" ca="1" si="6"/>
        <v>0</v>
      </c>
      <c r="V100" s="57">
        <f t="shared" ca="1" si="6"/>
        <v>0</v>
      </c>
      <c r="W100" s="57">
        <f t="shared" ca="1" si="6"/>
        <v>0</v>
      </c>
      <c r="X100" s="57">
        <f t="shared" ca="1" si="6"/>
        <v>0</v>
      </c>
      <c r="Y100" s="57">
        <f t="shared" ca="1" si="6"/>
        <v>3.5317996256270274</v>
      </c>
      <c r="Z100" s="57">
        <f t="shared" ca="1" si="6"/>
        <v>7.1342352437665957</v>
      </c>
      <c r="AA100" s="57">
        <f t="shared" ca="1" si="6"/>
        <v>10.808719574268956</v>
      </c>
      <c r="AB100" s="57">
        <f t="shared" ca="1" si="6"/>
        <v>14.556693591381363</v>
      </c>
      <c r="AC100" s="57">
        <f t="shared" ca="1" si="6"/>
        <v>18.379627088836017</v>
      </c>
      <c r="AD100" s="57">
        <f t="shared" ca="1" si="6"/>
        <v>22.279019256239764</v>
      </c>
      <c r="AE100" s="57">
        <f t="shared" ca="1" si="6"/>
        <v>26.256399266991586</v>
      </c>
      <c r="AF100" s="57">
        <f t="shared" ca="1" si="6"/>
        <v>30.313326877958445</v>
      </c>
      <c r="AG100" s="57">
        <f t="shared" ca="1" si="6"/>
        <v>3.5527136788005009E-15</v>
      </c>
      <c r="AH100" s="57">
        <f t="shared" ca="1" si="6"/>
        <v>3.5527136788005009E-15</v>
      </c>
      <c r="AI100" s="57">
        <f t="shared" ca="1" si="6"/>
        <v>3.5527136788005009E-15</v>
      </c>
      <c r="AJ100" s="57">
        <f t="shared" ca="1" si="6"/>
        <v>3.5527136788005009E-15</v>
      </c>
      <c r="AK100" s="57">
        <f t="shared" ca="1" si="6"/>
        <v>3.5527136788005009E-15</v>
      </c>
      <c r="AL100" s="57">
        <f t="shared" ca="1" si="6"/>
        <v>3.5527136788005009E-15</v>
      </c>
      <c r="AM100" s="57">
        <f t="shared" ca="1" si="6"/>
        <v>3.5527136788005009E-15</v>
      </c>
      <c r="AN100" s="57">
        <f t="shared" ca="1" si="6"/>
        <v>3.5527136788005009E-15</v>
      </c>
      <c r="AO100" s="57">
        <f t="shared" ca="1" si="6"/>
        <v>3.5527136788005009E-15</v>
      </c>
      <c r="AP100" s="57">
        <f t="shared" ca="1" si="6"/>
        <v>3.5527136788005009E-15</v>
      </c>
      <c r="AQ100" s="57">
        <f t="shared" ca="1" si="6"/>
        <v>3.5527136788005009E-15</v>
      </c>
      <c r="AR100" s="57">
        <f t="shared" ca="1" si="6"/>
        <v>3.5527136788005009E-15</v>
      </c>
      <c r="AS100" s="57">
        <f t="shared" ca="1" si="6"/>
        <v>3.5527136788005009E-15</v>
      </c>
      <c r="AT100" s="57">
        <f t="shared" ca="1" si="6"/>
        <v>3.5527136788005009E-15</v>
      </c>
      <c r="AU100" s="57">
        <f t="shared" ca="1" si="6"/>
        <v>3.5527136788005009E-15</v>
      </c>
      <c r="AV100" s="57">
        <f t="shared" ca="1" si="6"/>
        <v>3.5527136788005009E-15</v>
      </c>
      <c r="AW100" s="57">
        <f t="shared" ca="1" si="6"/>
        <v>3.5527136788005009E-15</v>
      </c>
      <c r="AX100" s="57">
        <f t="shared" ca="1" si="6"/>
        <v>3.5527136788005009E-15</v>
      </c>
    </row>
    <row r="101" spans="1:50" ht="15" customHeight="1">
      <c r="A101" s="325"/>
      <c r="B101" s="643"/>
      <c r="C101" s="333"/>
      <c r="D101" s="1097"/>
      <c r="E101" s="219" t="str">
        <f xml:space="preserve"> Inputs!E$47</f>
        <v>LIBOR: nominal</v>
      </c>
      <c r="F101" s="370">
        <f xml:space="preserve"> Inputs!F$47</f>
        <v>2.0000000000000018E-2</v>
      </c>
      <c r="G101" s="371" t="str">
        <f xml:space="preserve"> Inputs!G$47</f>
        <v>%</v>
      </c>
      <c r="H101" s="1049"/>
      <c r="I101" s="1097"/>
      <c r="J101" s="1054"/>
      <c r="K101" s="1054"/>
      <c r="L101" s="1054"/>
      <c r="M101" s="1054"/>
      <c r="N101" s="1054"/>
      <c r="O101" s="1054"/>
      <c r="P101" s="1054"/>
      <c r="Q101" s="1054"/>
      <c r="R101" s="1054"/>
      <c r="S101" s="1054"/>
      <c r="T101" s="1054"/>
      <c r="U101" s="1054"/>
      <c r="V101" s="1054"/>
      <c r="W101" s="1054"/>
      <c r="X101" s="1054"/>
      <c r="Y101" s="1054"/>
      <c r="Z101" s="1054"/>
      <c r="AA101" s="1054"/>
      <c r="AB101" s="1054"/>
      <c r="AC101" s="1054"/>
      <c r="AD101" s="1054"/>
      <c r="AE101" s="1054"/>
      <c r="AF101" s="1054"/>
      <c r="AG101" s="1054"/>
      <c r="AH101" s="1054"/>
      <c r="AI101" s="1054"/>
      <c r="AJ101" s="1054"/>
      <c r="AK101" s="1054"/>
      <c r="AL101" s="1054"/>
      <c r="AM101" s="1054"/>
      <c r="AN101" s="1054"/>
      <c r="AO101" s="1054"/>
      <c r="AP101" s="1054"/>
      <c r="AQ101" s="1054"/>
      <c r="AR101" s="1054"/>
      <c r="AS101" s="1054"/>
      <c r="AT101" s="1054"/>
      <c r="AU101" s="1054"/>
      <c r="AV101" s="1054"/>
      <c r="AW101" s="1054"/>
      <c r="AX101" s="1054"/>
    </row>
    <row r="102" spans="1:50" ht="15" customHeight="1">
      <c r="A102" s="325"/>
      <c r="B102" s="643"/>
      <c r="C102" s="333"/>
      <c r="D102" s="1097"/>
      <c r="E102" s="260" t="str">
        <f xml:space="preserve"> E$82</f>
        <v>Decommissioning period</v>
      </c>
      <c r="F102" s="260">
        <f t="shared" ref="F102:AX102" si="7" xml:space="preserve"> F$82</f>
        <v>0</v>
      </c>
      <c r="G102" s="260" t="str">
        <f t="shared" si="7"/>
        <v>Flag</v>
      </c>
      <c r="H102" s="260">
        <f t="shared" si="7"/>
        <v>0</v>
      </c>
      <c r="I102" s="260">
        <f t="shared" ca="1" si="7"/>
        <v>8</v>
      </c>
      <c r="J102" s="260">
        <f t="shared" si="7"/>
        <v>0</v>
      </c>
      <c r="K102" s="260">
        <f t="shared" ca="1" si="7"/>
        <v>0</v>
      </c>
      <c r="L102" s="260">
        <f t="shared" ca="1" si="7"/>
        <v>0</v>
      </c>
      <c r="M102" s="260">
        <f t="shared" ca="1" si="7"/>
        <v>0</v>
      </c>
      <c r="N102" s="260">
        <f t="shared" ca="1" si="7"/>
        <v>0</v>
      </c>
      <c r="O102" s="260">
        <f t="shared" ca="1" si="7"/>
        <v>0</v>
      </c>
      <c r="P102" s="260">
        <f t="shared" ca="1" si="7"/>
        <v>0</v>
      </c>
      <c r="Q102" s="260">
        <f t="shared" ca="1" si="7"/>
        <v>0</v>
      </c>
      <c r="R102" s="260">
        <f t="shared" ca="1" si="7"/>
        <v>0</v>
      </c>
      <c r="S102" s="260">
        <f t="shared" ca="1" si="7"/>
        <v>0</v>
      </c>
      <c r="T102" s="260">
        <f t="shared" ca="1" si="7"/>
        <v>0</v>
      </c>
      <c r="U102" s="260">
        <f t="shared" ca="1" si="7"/>
        <v>0</v>
      </c>
      <c r="V102" s="260">
        <f t="shared" ca="1" si="7"/>
        <v>0</v>
      </c>
      <c r="W102" s="260">
        <f t="shared" ca="1" si="7"/>
        <v>0</v>
      </c>
      <c r="X102" s="260">
        <f t="shared" ca="1" si="7"/>
        <v>1</v>
      </c>
      <c r="Y102" s="260">
        <f t="shared" ca="1" si="7"/>
        <v>1</v>
      </c>
      <c r="Z102" s="260">
        <f t="shared" ca="1" si="7"/>
        <v>1</v>
      </c>
      <c r="AA102" s="260">
        <f t="shared" ca="1" si="7"/>
        <v>1</v>
      </c>
      <c r="AB102" s="260">
        <f t="shared" ca="1" si="7"/>
        <v>1</v>
      </c>
      <c r="AC102" s="260">
        <f t="shared" ca="1" si="7"/>
        <v>1</v>
      </c>
      <c r="AD102" s="260">
        <f t="shared" ca="1" si="7"/>
        <v>1</v>
      </c>
      <c r="AE102" s="260">
        <f t="shared" ca="1" si="7"/>
        <v>1</v>
      </c>
      <c r="AF102" s="260">
        <f t="shared" ca="1" si="7"/>
        <v>0</v>
      </c>
      <c r="AG102" s="260">
        <f t="shared" ca="1" si="7"/>
        <v>0</v>
      </c>
      <c r="AH102" s="260">
        <f t="shared" ca="1" si="7"/>
        <v>0</v>
      </c>
      <c r="AI102" s="260">
        <f t="shared" ca="1" si="7"/>
        <v>0</v>
      </c>
      <c r="AJ102" s="260">
        <f t="shared" ca="1" si="7"/>
        <v>0</v>
      </c>
      <c r="AK102" s="260">
        <f t="shared" ca="1" si="7"/>
        <v>0</v>
      </c>
      <c r="AL102" s="260">
        <f t="shared" ca="1" si="7"/>
        <v>0</v>
      </c>
      <c r="AM102" s="260">
        <f t="shared" ca="1" si="7"/>
        <v>0</v>
      </c>
      <c r="AN102" s="260">
        <f t="shared" ca="1" si="7"/>
        <v>0</v>
      </c>
      <c r="AO102" s="260">
        <f t="shared" ca="1" si="7"/>
        <v>0</v>
      </c>
      <c r="AP102" s="260">
        <f t="shared" ca="1" si="7"/>
        <v>0</v>
      </c>
      <c r="AQ102" s="260">
        <f t="shared" ca="1" si="7"/>
        <v>0</v>
      </c>
      <c r="AR102" s="260">
        <f t="shared" ca="1" si="7"/>
        <v>0</v>
      </c>
      <c r="AS102" s="260">
        <f t="shared" ca="1" si="7"/>
        <v>0</v>
      </c>
      <c r="AT102" s="260">
        <f t="shared" ca="1" si="7"/>
        <v>0</v>
      </c>
      <c r="AU102" s="260">
        <f t="shared" ca="1" si="7"/>
        <v>0</v>
      </c>
      <c r="AV102" s="260">
        <f t="shared" ca="1" si="7"/>
        <v>0</v>
      </c>
      <c r="AW102" s="260">
        <f t="shared" ca="1" si="7"/>
        <v>0</v>
      </c>
      <c r="AX102" s="260">
        <f t="shared" ca="1" si="7"/>
        <v>0</v>
      </c>
    </row>
    <row r="103" spans="1:50" ht="15" customHeight="1">
      <c r="A103" s="325"/>
      <c r="B103" s="643"/>
      <c r="C103" s="333"/>
      <c r="D103" s="1097"/>
      <c r="E103" s="1024" t="str">
        <f>Translate!$E$172</f>
        <v>Interest</v>
      </c>
      <c r="F103" s="260"/>
      <c r="G103" s="260" t="str">
        <f xml:space="preserve"> Translate!E$10</f>
        <v>US$ mn</v>
      </c>
      <c r="H103" s="260"/>
      <c r="I103" s="260">
        <f ca="1" xml:space="preserve"> SUM(K103:AX103)</f>
        <v>2.0589298729422283</v>
      </c>
      <c r="J103" s="260"/>
      <c r="K103" s="260">
        <f ca="1" xml:space="preserve"> K100 * $F101 * K102</f>
        <v>0</v>
      </c>
      <c r="L103" s="260">
        <f t="shared" ref="L103:AX103" ca="1" si="8" xml:space="preserve"> L100 * $F101 * L102</f>
        <v>0</v>
      </c>
      <c r="M103" s="260">
        <f t="shared" ca="1" si="8"/>
        <v>0</v>
      </c>
      <c r="N103" s="260">
        <f t="shared" ca="1" si="8"/>
        <v>0</v>
      </c>
      <c r="O103" s="260">
        <f t="shared" ca="1" si="8"/>
        <v>0</v>
      </c>
      <c r="P103" s="260">
        <f t="shared" ca="1" si="8"/>
        <v>0</v>
      </c>
      <c r="Q103" s="260">
        <f t="shared" ca="1" si="8"/>
        <v>0</v>
      </c>
      <c r="R103" s="260">
        <f t="shared" ca="1" si="8"/>
        <v>0</v>
      </c>
      <c r="S103" s="260">
        <f t="shared" ca="1" si="8"/>
        <v>0</v>
      </c>
      <c r="T103" s="260">
        <f t="shared" ca="1" si="8"/>
        <v>0</v>
      </c>
      <c r="U103" s="260">
        <f t="shared" ca="1" si="8"/>
        <v>0</v>
      </c>
      <c r="V103" s="260">
        <f t="shared" ca="1" si="8"/>
        <v>0</v>
      </c>
      <c r="W103" s="260">
        <f t="shared" ca="1" si="8"/>
        <v>0</v>
      </c>
      <c r="X103" s="260">
        <f t="shared" ca="1" si="8"/>
        <v>0</v>
      </c>
      <c r="Y103" s="260">
        <f t="shared" ca="1" si="8"/>
        <v>7.0635992512540616E-2</v>
      </c>
      <c r="Z103" s="260">
        <f t="shared" ca="1" si="8"/>
        <v>0.14268470487533205</v>
      </c>
      <c r="AA103" s="260">
        <f t="shared" ca="1" si="8"/>
        <v>0.21617439148537931</v>
      </c>
      <c r="AB103" s="260">
        <f t="shared" ca="1" si="8"/>
        <v>0.29113387182762751</v>
      </c>
      <c r="AC103" s="260">
        <f t="shared" ca="1" si="8"/>
        <v>0.36759254177672068</v>
      </c>
      <c r="AD103" s="260">
        <f t="shared" ca="1" si="8"/>
        <v>0.44558038512479564</v>
      </c>
      <c r="AE103" s="260">
        <f t="shared" ca="1" si="8"/>
        <v>0.52512798533983218</v>
      </c>
      <c r="AF103" s="260">
        <f t="shared" ca="1" si="8"/>
        <v>0</v>
      </c>
      <c r="AG103" s="260">
        <f t="shared" ca="1" si="8"/>
        <v>0</v>
      </c>
      <c r="AH103" s="260">
        <f t="shared" ca="1" si="8"/>
        <v>0</v>
      </c>
      <c r="AI103" s="260">
        <f t="shared" ca="1" si="8"/>
        <v>0</v>
      </c>
      <c r="AJ103" s="260">
        <f t="shared" ca="1" si="8"/>
        <v>0</v>
      </c>
      <c r="AK103" s="260">
        <f t="shared" ca="1" si="8"/>
        <v>0</v>
      </c>
      <c r="AL103" s="260">
        <f t="shared" ca="1" si="8"/>
        <v>0</v>
      </c>
      <c r="AM103" s="260">
        <f t="shared" ca="1" si="8"/>
        <v>0</v>
      </c>
      <c r="AN103" s="260">
        <f t="shared" ca="1" si="8"/>
        <v>0</v>
      </c>
      <c r="AO103" s="260">
        <f t="shared" ca="1" si="8"/>
        <v>0</v>
      </c>
      <c r="AP103" s="260">
        <f t="shared" ca="1" si="8"/>
        <v>0</v>
      </c>
      <c r="AQ103" s="260">
        <f t="shared" ca="1" si="8"/>
        <v>0</v>
      </c>
      <c r="AR103" s="260">
        <f t="shared" ca="1" si="8"/>
        <v>0</v>
      </c>
      <c r="AS103" s="260">
        <f t="shared" ca="1" si="8"/>
        <v>0</v>
      </c>
      <c r="AT103" s="260">
        <f t="shared" ca="1" si="8"/>
        <v>0</v>
      </c>
      <c r="AU103" s="260">
        <f t="shared" ca="1" si="8"/>
        <v>0</v>
      </c>
      <c r="AV103" s="260">
        <f t="shared" ca="1" si="8"/>
        <v>0</v>
      </c>
      <c r="AW103" s="260">
        <f t="shared" ca="1" si="8"/>
        <v>0</v>
      </c>
      <c r="AX103" s="260">
        <f t="shared" ca="1" si="8"/>
        <v>0</v>
      </c>
    </row>
    <row r="104" spans="1:50" ht="15" customHeight="1">
      <c r="A104" s="325"/>
      <c r="B104" s="643"/>
      <c r="C104" s="333"/>
      <c r="D104" s="1097"/>
      <c r="E104" s="260"/>
      <c r="F104" s="193"/>
      <c r="G104" s="194"/>
      <c r="H104" s="1049"/>
      <c r="I104" s="1097"/>
      <c r="J104" s="1054"/>
      <c r="K104" s="1054"/>
      <c r="L104" s="1054"/>
      <c r="M104" s="1054"/>
      <c r="N104" s="1054"/>
      <c r="O104" s="1054"/>
      <c r="P104" s="1054"/>
      <c r="Q104" s="1054"/>
      <c r="R104" s="1054"/>
      <c r="S104" s="1054"/>
      <c r="T104" s="1054"/>
      <c r="U104" s="1054"/>
      <c r="V104" s="1054"/>
      <c r="W104" s="1054"/>
      <c r="X104" s="1054"/>
      <c r="Y104" s="1054"/>
      <c r="Z104" s="1054"/>
      <c r="AA104" s="1054"/>
      <c r="AB104" s="1054"/>
      <c r="AC104" s="1054"/>
      <c r="AD104" s="1054"/>
      <c r="AE104" s="1054"/>
      <c r="AF104" s="1054"/>
      <c r="AG104" s="1054"/>
      <c r="AH104" s="1054"/>
      <c r="AI104" s="1054"/>
      <c r="AJ104" s="1054"/>
      <c r="AK104" s="1054"/>
      <c r="AL104" s="1054"/>
      <c r="AM104" s="1054"/>
      <c r="AN104" s="1054"/>
      <c r="AO104" s="1054"/>
      <c r="AP104" s="1054"/>
      <c r="AQ104" s="1054"/>
      <c r="AR104" s="1054"/>
      <c r="AS104" s="1054"/>
      <c r="AT104" s="1054"/>
      <c r="AU104" s="1054"/>
      <c r="AV104" s="1054"/>
      <c r="AW104" s="1054"/>
      <c r="AX104" s="1054"/>
    </row>
    <row r="105" spans="1:50" ht="15" customHeight="1">
      <c r="A105" s="325"/>
      <c r="B105" s="643"/>
      <c r="C105" s="333" t="str">
        <f>Translate!$E$23</f>
        <v>Decommissioning fund</v>
      </c>
      <c r="D105" s="1097"/>
      <c r="E105" s="260"/>
      <c r="F105" s="193"/>
      <c r="G105" s="194"/>
      <c r="H105" s="1049"/>
      <c r="I105" s="1097"/>
      <c r="J105" s="1054"/>
      <c r="K105" s="1054"/>
      <c r="L105" s="1054"/>
      <c r="M105" s="1054"/>
      <c r="N105" s="1054"/>
      <c r="O105" s="1054"/>
      <c r="P105" s="1054"/>
      <c r="Q105" s="1054"/>
      <c r="R105" s="1054"/>
      <c r="S105" s="1054"/>
      <c r="T105" s="1054"/>
      <c r="U105" s="1054"/>
      <c r="V105" s="1054"/>
      <c r="W105" s="1054"/>
      <c r="X105" s="1054"/>
      <c r="Y105" s="1054"/>
      <c r="Z105" s="1054"/>
      <c r="AA105" s="1054"/>
      <c r="AB105" s="1054"/>
      <c r="AC105" s="1054"/>
      <c r="AD105" s="1054"/>
      <c r="AE105" s="1054"/>
      <c r="AF105" s="1054"/>
      <c r="AG105" s="1054"/>
      <c r="AH105" s="1054"/>
      <c r="AI105" s="1054"/>
      <c r="AJ105" s="1054"/>
      <c r="AK105" s="1054"/>
      <c r="AL105" s="1054"/>
      <c r="AM105" s="1054"/>
      <c r="AN105" s="1054"/>
      <c r="AO105" s="1054"/>
      <c r="AP105" s="1054"/>
      <c r="AQ105" s="1054"/>
      <c r="AR105" s="1054"/>
      <c r="AS105" s="1054"/>
      <c r="AT105" s="1054"/>
      <c r="AU105" s="1054"/>
      <c r="AV105" s="1054"/>
      <c r="AW105" s="1054"/>
      <c r="AX105" s="1054"/>
    </row>
    <row r="106" spans="1:50" ht="15" customHeight="1">
      <c r="A106" s="1099"/>
      <c r="B106" s="687"/>
      <c r="C106" s="374"/>
      <c r="D106" s="1100" t="str">
        <f>Translate!$E$605</f>
        <v>add</v>
      </c>
      <c r="E106" s="1099" t="str">
        <f>Translate!$E$173</f>
        <v>Decommissioning fund opening balance BEG</v>
      </c>
      <c r="F106" s="1099"/>
      <c r="G106" s="1099" t="str">
        <f xml:space="preserve"> Translate!E$10</f>
        <v>US$ mn</v>
      </c>
      <c r="H106" s="1099"/>
      <c r="I106" s="1099"/>
      <c r="J106" s="1101"/>
      <c r="K106" s="1101">
        <f t="shared" ref="K106:AX106" si="9" xml:space="preserve"> J110</f>
        <v>0</v>
      </c>
      <c r="L106" s="1101">
        <f t="shared" ca="1" si="9"/>
        <v>0</v>
      </c>
      <c r="M106" s="1101">
        <f t="shared" ca="1" si="9"/>
        <v>0</v>
      </c>
      <c r="N106" s="1101">
        <f t="shared" ca="1" si="9"/>
        <v>0</v>
      </c>
      <c r="O106" s="1101">
        <f t="shared" ca="1" si="9"/>
        <v>0</v>
      </c>
      <c r="P106" s="1101">
        <f t="shared" ca="1" si="9"/>
        <v>0</v>
      </c>
      <c r="Q106" s="1101">
        <f t="shared" ca="1" si="9"/>
        <v>0</v>
      </c>
      <c r="R106" s="1101">
        <f t="shared" ca="1" si="9"/>
        <v>0</v>
      </c>
      <c r="S106" s="1101">
        <f t="shared" ca="1" si="9"/>
        <v>0</v>
      </c>
      <c r="T106" s="1101">
        <f t="shared" ca="1" si="9"/>
        <v>0</v>
      </c>
      <c r="U106" s="1101">
        <f t="shared" ca="1" si="9"/>
        <v>0</v>
      </c>
      <c r="V106" s="1101">
        <f t="shared" ca="1" si="9"/>
        <v>0</v>
      </c>
      <c r="W106" s="1101">
        <f t="shared" ca="1" si="9"/>
        <v>0</v>
      </c>
      <c r="X106" s="1101">
        <f t="shared" ca="1" si="9"/>
        <v>0</v>
      </c>
      <c r="Y106" s="1101">
        <f t="shared" ca="1" si="9"/>
        <v>3.5317996256270274</v>
      </c>
      <c r="Z106" s="1101">
        <f t="shared" ca="1" si="9"/>
        <v>7.1342352437665957</v>
      </c>
      <c r="AA106" s="1101">
        <f t="shared" ca="1" si="9"/>
        <v>10.808719574268956</v>
      </c>
      <c r="AB106" s="1101">
        <f t="shared" ca="1" si="9"/>
        <v>14.556693591381363</v>
      </c>
      <c r="AC106" s="1101">
        <f t="shared" ca="1" si="9"/>
        <v>18.379627088836017</v>
      </c>
      <c r="AD106" s="1101">
        <f t="shared" ca="1" si="9"/>
        <v>22.279019256239764</v>
      </c>
      <c r="AE106" s="1101">
        <f t="shared" ca="1" si="9"/>
        <v>26.256399266991586</v>
      </c>
      <c r="AF106" s="1101">
        <f t="shared" ca="1" si="9"/>
        <v>30.313326877958445</v>
      </c>
      <c r="AG106" s="1101">
        <f t="shared" ca="1" si="9"/>
        <v>3.5527136788005009E-15</v>
      </c>
      <c r="AH106" s="1101">
        <f t="shared" ca="1" si="9"/>
        <v>3.5527136788005009E-15</v>
      </c>
      <c r="AI106" s="1101">
        <f t="shared" ca="1" si="9"/>
        <v>3.5527136788005009E-15</v>
      </c>
      <c r="AJ106" s="1101">
        <f t="shared" ca="1" si="9"/>
        <v>3.5527136788005009E-15</v>
      </c>
      <c r="AK106" s="1101">
        <f t="shared" ca="1" si="9"/>
        <v>3.5527136788005009E-15</v>
      </c>
      <c r="AL106" s="1101">
        <f t="shared" ca="1" si="9"/>
        <v>3.5527136788005009E-15</v>
      </c>
      <c r="AM106" s="1101">
        <f t="shared" ca="1" si="9"/>
        <v>3.5527136788005009E-15</v>
      </c>
      <c r="AN106" s="1101">
        <f t="shared" ca="1" si="9"/>
        <v>3.5527136788005009E-15</v>
      </c>
      <c r="AO106" s="1101">
        <f t="shared" ca="1" si="9"/>
        <v>3.5527136788005009E-15</v>
      </c>
      <c r="AP106" s="1101">
        <f t="shared" ca="1" si="9"/>
        <v>3.5527136788005009E-15</v>
      </c>
      <c r="AQ106" s="1101">
        <f t="shared" ca="1" si="9"/>
        <v>3.5527136788005009E-15</v>
      </c>
      <c r="AR106" s="1101">
        <f t="shared" ca="1" si="9"/>
        <v>3.5527136788005009E-15</v>
      </c>
      <c r="AS106" s="1101">
        <f t="shared" ca="1" si="9"/>
        <v>3.5527136788005009E-15</v>
      </c>
      <c r="AT106" s="1101">
        <f t="shared" ca="1" si="9"/>
        <v>3.5527136788005009E-15</v>
      </c>
      <c r="AU106" s="1101">
        <f t="shared" ca="1" si="9"/>
        <v>3.5527136788005009E-15</v>
      </c>
      <c r="AV106" s="1101">
        <f t="shared" ca="1" si="9"/>
        <v>3.5527136788005009E-15</v>
      </c>
      <c r="AW106" s="1101">
        <f t="shared" ca="1" si="9"/>
        <v>3.5527136788005009E-15</v>
      </c>
      <c r="AX106" s="1101">
        <f t="shared" ca="1" si="9"/>
        <v>3.5527136788005009E-15</v>
      </c>
    </row>
    <row r="107" spans="1:50" ht="15" customHeight="1">
      <c r="A107" s="18"/>
      <c r="B107" s="688"/>
      <c r="C107" s="377"/>
      <c r="D107" s="378" t="str">
        <f>Translate!$E$605</f>
        <v>add</v>
      </c>
      <c r="E107" s="1024" t="str">
        <f xml:space="preserve"> E$103</f>
        <v>Interest</v>
      </c>
      <c r="F107" s="1024">
        <f t="shared" ref="F107:AX107" si="10" xml:space="preserve"> F$103</f>
        <v>0</v>
      </c>
      <c r="G107" s="1024" t="str">
        <f t="shared" si="10"/>
        <v>US$ mn</v>
      </c>
      <c r="H107" s="1024">
        <f t="shared" si="10"/>
        <v>0</v>
      </c>
      <c r="I107" s="1024">
        <f t="shared" ca="1" si="10"/>
        <v>2.0589298729422283</v>
      </c>
      <c r="J107" s="1024">
        <f t="shared" si="10"/>
        <v>0</v>
      </c>
      <c r="K107" s="1024">
        <f t="shared" ca="1" si="10"/>
        <v>0</v>
      </c>
      <c r="L107" s="1024">
        <f t="shared" ca="1" si="10"/>
        <v>0</v>
      </c>
      <c r="M107" s="1024">
        <f t="shared" ca="1" si="10"/>
        <v>0</v>
      </c>
      <c r="N107" s="1024">
        <f t="shared" ca="1" si="10"/>
        <v>0</v>
      </c>
      <c r="O107" s="1024">
        <f t="shared" ca="1" si="10"/>
        <v>0</v>
      </c>
      <c r="P107" s="1024">
        <f t="shared" ca="1" si="10"/>
        <v>0</v>
      </c>
      <c r="Q107" s="1024">
        <f t="shared" ca="1" si="10"/>
        <v>0</v>
      </c>
      <c r="R107" s="1024">
        <f t="shared" ca="1" si="10"/>
        <v>0</v>
      </c>
      <c r="S107" s="1024">
        <f t="shared" ca="1" si="10"/>
        <v>0</v>
      </c>
      <c r="T107" s="1024">
        <f t="shared" ca="1" si="10"/>
        <v>0</v>
      </c>
      <c r="U107" s="1024">
        <f t="shared" ca="1" si="10"/>
        <v>0</v>
      </c>
      <c r="V107" s="1024">
        <f t="shared" ca="1" si="10"/>
        <v>0</v>
      </c>
      <c r="W107" s="1024">
        <f t="shared" ca="1" si="10"/>
        <v>0</v>
      </c>
      <c r="X107" s="1024">
        <f t="shared" ca="1" si="10"/>
        <v>0</v>
      </c>
      <c r="Y107" s="1024">
        <f t="shared" ca="1" si="10"/>
        <v>7.0635992512540616E-2</v>
      </c>
      <c r="Z107" s="1024">
        <f t="shared" ca="1" si="10"/>
        <v>0.14268470487533205</v>
      </c>
      <c r="AA107" s="1024">
        <f t="shared" ca="1" si="10"/>
        <v>0.21617439148537931</v>
      </c>
      <c r="AB107" s="1024">
        <f t="shared" ca="1" si="10"/>
        <v>0.29113387182762751</v>
      </c>
      <c r="AC107" s="1024">
        <f t="shared" ca="1" si="10"/>
        <v>0.36759254177672068</v>
      </c>
      <c r="AD107" s="1024">
        <f t="shared" ca="1" si="10"/>
        <v>0.44558038512479564</v>
      </c>
      <c r="AE107" s="1024">
        <f t="shared" ca="1" si="10"/>
        <v>0.52512798533983218</v>
      </c>
      <c r="AF107" s="1024">
        <f t="shared" ca="1" si="10"/>
        <v>0</v>
      </c>
      <c r="AG107" s="1024">
        <f t="shared" ca="1" si="10"/>
        <v>0</v>
      </c>
      <c r="AH107" s="1024">
        <f t="shared" ca="1" si="10"/>
        <v>0</v>
      </c>
      <c r="AI107" s="1024">
        <f t="shared" ca="1" si="10"/>
        <v>0</v>
      </c>
      <c r="AJ107" s="1024">
        <f t="shared" ca="1" si="10"/>
        <v>0</v>
      </c>
      <c r="AK107" s="1024">
        <f t="shared" ca="1" si="10"/>
        <v>0</v>
      </c>
      <c r="AL107" s="1024">
        <f t="shared" ca="1" si="10"/>
        <v>0</v>
      </c>
      <c r="AM107" s="1024">
        <f t="shared" ca="1" si="10"/>
        <v>0</v>
      </c>
      <c r="AN107" s="1024">
        <f t="shared" ca="1" si="10"/>
        <v>0</v>
      </c>
      <c r="AO107" s="1024">
        <f t="shared" ca="1" si="10"/>
        <v>0</v>
      </c>
      <c r="AP107" s="1024">
        <f t="shared" ca="1" si="10"/>
        <v>0</v>
      </c>
      <c r="AQ107" s="1024">
        <f t="shared" ca="1" si="10"/>
        <v>0</v>
      </c>
      <c r="AR107" s="1024">
        <f t="shared" ca="1" si="10"/>
        <v>0</v>
      </c>
      <c r="AS107" s="1024">
        <f t="shared" ca="1" si="10"/>
        <v>0</v>
      </c>
      <c r="AT107" s="1024">
        <f t="shared" ca="1" si="10"/>
        <v>0</v>
      </c>
      <c r="AU107" s="1024">
        <f t="shared" ca="1" si="10"/>
        <v>0</v>
      </c>
      <c r="AV107" s="1024">
        <f t="shared" ca="1" si="10"/>
        <v>0</v>
      </c>
      <c r="AW107" s="1024">
        <f t="shared" ca="1" si="10"/>
        <v>0</v>
      </c>
      <c r="AX107" s="1024">
        <f t="shared" ca="1" si="10"/>
        <v>0</v>
      </c>
    </row>
    <row r="108" spans="1:50" ht="15" customHeight="1">
      <c r="A108" s="1024"/>
      <c r="B108" s="688"/>
      <c r="C108" s="376"/>
      <c r="D108" s="1102" t="str">
        <f>Translate!$E$606</f>
        <v>less</v>
      </c>
      <c r="E108" s="1024" t="str">
        <f xml:space="preserve"> E$97</f>
        <v>Withdrawals to meet decommissioning costs (end of period)</v>
      </c>
      <c r="F108" s="1024">
        <f t="shared" ref="F108:AX108" si="11" xml:space="preserve"> F$97</f>
        <v>0</v>
      </c>
      <c r="G108" s="1024" t="str">
        <f t="shared" si="11"/>
        <v>US$ mn</v>
      </c>
      <c r="H108" s="1024">
        <f t="shared" si="11"/>
        <v>0</v>
      </c>
      <c r="I108" s="1024">
        <f t="shared" ca="1" si="11"/>
        <v>30.313326877958442</v>
      </c>
      <c r="J108" s="1024">
        <f t="shared" si="11"/>
        <v>0</v>
      </c>
      <c r="K108" s="1024">
        <f t="shared" ca="1" si="11"/>
        <v>0</v>
      </c>
      <c r="L108" s="1024">
        <f t="shared" ca="1" si="11"/>
        <v>0</v>
      </c>
      <c r="M108" s="1024">
        <f t="shared" ca="1" si="11"/>
        <v>0</v>
      </c>
      <c r="N108" s="1024">
        <f t="shared" ca="1" si="11"/>
        <v>0</v>
      </c>
      <c r="O108" s="1024">
        <f t="shared" ca="1" si="11"/>
        <v>0</v>
      </c>
      <c r="P108" s="1024">
        <f t="shared" ca="1" si="11"/>
        <v>0</v>
      </c>
      <c r="Q108" s="1024">
        <f t="shared" ca="1" si="11"/>
        <v>0</v>
      </c>
      <c r="R108" s="1024">
        <f t="shared" ca="1" si="11"/>
        <v>0</v>
      </c>
      <c r="S108" s="1024">
        <f t="shared" ca="1" si="11"/>
        <v>0</v>
      </c>
      <c r="T108" s="1024">
        <f t="shared" ca="1" si="11"/>
        <v>0</v>
      </c>
      <c r="U108" s="1024">
        <f t="shared" ca="1" si="11"/>
        <v>0</v>
      </c>
      <c r="V108" s="1024">
        <f t="shared" ca="1" si="11"/>
        <v>0</v>
      </c>
      <c r="W108" s="1024">
        <f t="shared" ca="1" si="11"/>
        <v>0</v>
      </c>
      <c r="X108" s="1024">
        <f t="shared" ca="1" si="11"/>
        <v>0</v>
      </c>
      <c r="Y108" s="1024">
        <f t="shared" ca="1" si="11"/>
        <v>0</v>
      </c>
      <c r="Z108" s="1024">
        <f t="shared" ca="1" si="11"/>
        <v>0</v>
      </c>
      <c r="AA108" s="1024">
        <f t="shared" ca="1" si="11"/>
        <v>0</v>
      </c>
      <c r="AB108" s="1024">
        <f t="shared" ca="1" si="11"/>
        <v>0</v>
      </c>
      <c r="AC108" s="1024">
        <f t="shared" ca="1" si="11"/>
        <v>0</v>
      </c>
      <c r="AD108" s="1024">
        <f t="shared" ca="1" si="11"/>
        <v>0</v>
      </c>
      <c r="AE108" s="1024">
        <f t="shared" ca="1" si="11"/>
        <v>0</v>
      </c>
      <c r="AF108" s="1024">
        <f t="shared" ca="1" si="11"/>
        <v>30.313326877958442</v>
      </c>
      <c r="AG108" s="1024">
        <f t="shared" ca="1" si="11"/>
        <v>0</v>
      </c>
      <c r="AH108" s="1024">
        <f t="shared" ca="1" si="11"/>
        <v>0</v>
      </c>
      <c r="AI108" s="1024">
        <f t="shared" ca="1" si="11"/>
        <v>0</v>
      </c>
      <c r="AJ108" s="1024">
        <f t="shared" ca="1" si="11"/>
        <v>0</v>
      </c>
      <c r="AK108" s="1024">
        <f t="shared" ca="1" si="11"/>
        <v>0</v>
      </c>
      <c r="AL108" s="1024">
        <f t="shared" ca="1" si="11"/>
        <v>0</v>
      </c>
      <c r="AM108" s="1024">
        <f t="shared" ca="1" si="11"/>
        <v>0</v>
      </c>
      <c r="AN108" s="1024">
        <f t="shared" ca="1" si="11"/>
        <v>0</v>
      </c>
      <c r="AO108" s="1024">
        <f t="shared" ca="1" si="11"/>
        <v>0</v>
      </c>
      <c r="AP108" s="1024">
        <f t="shared" ca="1" si="11"/>
        <v>0</v>
      </c>
      <c r="AQ108" s="1024">
        <f t="shared" ca="1" si="11"/>
        <v>0</v>
      </c>
      <c r="AR108" s="1024">
        <f t="shared" ca="1" si="11"/>
        <v>0</v>
      </c>
      <c r="AS108" s="1024">
        <f t="shared" ca="1" si="11"/>
        <v>0</v>
      </c>
      <c r="AT108" s="1024">
        <f t="shared" ca="1" si="11"/>
        <v>0</v>
      </c>
      <c r="AU108" s="1024">
        <f t="shared" ca="1" si="11"/>
        <v>0</v>
      </c>
      <c r="AV108" s="1024">
        <f t="shared" ca="1" si="11"/>
        <v>0</v>
      </c>
      <c r="AW108" s="1024">
        <f t="shared" ca="1" si="11"/>
        <v>0</v>
      </c>
      <c r="AX108" s="1024">
        <f t="shared" ca="1" si="11"/>
        <v>0</v>
      </c>
    </row>
    <row r="109" spans="1:50" ht="15" customHeight="1">
      <c r="A109" s="1024"/>
      <c r="B109" s="688"/>
      <c r="C109" s="376"/>
      <c r="D109" s="1102" t="str">
        <f>Translate!$E$605</f>
        <v>add</v>
      </c>
      <c r="E109" s="1024" t="str">
        <f t="shared" ref="E109:AX109" si="12" xml:space="preserve"> E$92</f>
        <v>Decommissioning provision for future costs (end of period)</v>
      </c>
      <c r="F109" s="1024">
        <f t="shared" si="12"/>
        <v>0</v>
      </c>
      <c r="G109" s="1024" t="str">
        <f t="shared" si="12"/>
        <v>US$ mn</v>
      </c>
      <c r="H109" s="1024">
        <f t="shared" si="12"/>
        <v>0</v>
      </c>
      <c r="I109" s="1024">
        <f t="shared" ca="1" si="12"/>
        <v>28.254397005016219</v>
      </c>
      <c r="J109" s="1024">
        <f t="shared" si="12"/>
        <v>0</v>
      </c>
      <c r="K109" s="1024">
        <f t="shared" ca="1" si="12"/>
        <v>0</v>
      </c>
      <c r="L109" s="1024">
        <f t="shared" ca="1" si="12"/>
        <v>0</v>
      </c>
      <c r="M109" s="1024">
        <f t="shared" ca="1" si="12"/>
        <v>0</v>
      </c>
      <c r="N109" s="1024">
        <f t="shared" ca="1" si="12"/>
        <v>0</v>
      </c>
      <c r="O109" s="1024">
        <f t="shared" ca="1" si="12"/>
        <v>0</v>
      </c>
      <c r="P109" s="1024">
        <f t="shared" ca="1" si="12"/>
        <v>0</v>
      </c>
      <c r="Q109" s="1024">
        <f t="shared" ca="1" si="12"/>
        <v>0</v>
      </c>
      <c r="R109" s="1024">
        <f t="shared" ca="1" si="12"/>
        <v>0</v>
      </c>
      <c r="S109" s="1024">
        <f t="shared" ca="1" si="12"/>
        <v>0</v>
      </c>
      <c r="T109" s="1024">
        <f t="shared" ca="1" si="12"/>
        <v>0</v>
      </c>
      <c r="U109" s="1024">
        <f t="shared" ca="1" si="12"/>
        <v>0</v>
      </c>
      <c r="V109" s="1024">
        <f t="shared" ca="1" si="12"/>
        <v>0</v>
      </c>
      <c r="W109" s="1024">
        <f t="shared" ca="1" si="12"/>
        <v>0</v>
      </c>
      <c r="X109" s="1024">
        <f t="shared" ca="1" si="12"/>
        <v>3.5317996256270274</v>
      </c>
      <c r="Y109" s="1024">
        <f t="shared" ca="1" si="12"/>
        <v>3.5317996256270274</v>
      </c>
      <c r="Z109" s="1024">
        <f t="shared" ca="1" si="12"/>
        <v>3.5317996256270274</v>
      </c>
      <c r="AA109" s="1024">
        <f t="shared" ca="1" si="12"/>
        <v>3.5317996256270274</v>
      </c>
      <c r="AB109" s="1024">
        <f t="shared" ca="1" si="12"/>
        <v>3.5317996256270274</v>
      </c>
      <c r="AC109" s="1024">
        <f t="shared" ca="1" si="12"/>
        <v>3.5317996256270274</v>
      </c>
      <c r="AD109" s="1024">
        <f t="shared" ca="1" si="12"/>
        <v>3.5317996256270274</v>
      </c>
      <c r="AE109" s="1024">
        <f t="shared" ca="1" si="12"/>
        <v>3.5317996256270274</v>
      </c>
      <c r="AF109" s="1024">
        <f t="shared" ca="1" si="12"/>
        <v>0</v>
      </c>
      <c r="AG109" s="1024">
        <f t="shared" ca="1" si="12"/>
        <v>0</v>
      </c>
      <c r="AH109" s="1024">
        <f t="shared" ca="1" si="12"/>
        <v>0</v>
      </c>
      <c r="AI109" s="1024">
        <f t="shared" ca="1" si="12"/>
        <v>0</v>
      </c>
      <c r="AJ109" s="1024">
        <f t="shared" ca="1" si="12"/>
        <v>0</v>
      </c>
      <c r="AK109" s="1024">
        <f t="shared" ca="1" si="12"/>
        <v>0</v>
      </c>
      <c r="AL109" s="1024">
        <f t="shared" ca="1" si="12"/>
        <v>0</v>
      </c>
      <c r="AM109" s="1024">
        <f t="shared" ca="1" si="12"/>
        <v>0</v>
      </c>
      <c r="AN109" s="1024">
        <f t="shared" ca="1" si="12"/>
        <v>0</v>
      </c>
      <c r="AO109" s="1024">
        <f t="shared" ca="1" si="12"/>
        <v>0</v>
      </c>
      <c r="AP109" s="1024">
        <f t="shared" ca="1" si="12"/>
        <v>0</v>
      </c>
      <c r="AQ109" s="1024">
        <f t="shared" ca="1" si="12"/>
        <v>0</v>
      </c>
      <c r="AR109" s="1024">
        <f t="shared" ca="1" si="12"/>
        <v>0</v>
      </c>
      <c r="AS109" s="1024">
        <f t="shared" ca="1" si="12"/>
        <v>0</v>
      </c>
      <c r="AT109" s="1024">
        <f t="shared" ca="1" si="12"/>
        <v>0</v>
      </c>
      <c r="AU109" s="1024">
        <f t="shared" ca="1" si="12"/>
        <v>0</v>
      </c>
      <c r="AV109" s="1024">
        <f t="shared" ca="1" si="12"/>
        <v>0</v>
      </c>
      <c r="AW109" s="1024">
        <f t="shared" ca="1" si="12"/>
        <v>0</v>
      </c>
      <c r="AX109" s="1024">
        <f t="shared" ca="1" si="12"/>
        <v>0</v>
      </c>
    </row>
    <row r="110" spans="1:50" ht="15" customHeight="1">
      <c r="A110" s="1103"/>
      <c r="B110" s="689"/>
      <c r="C110" s="380"/>
      <c r="D110" s="1104"/>
      <c r="E110" s="1103" t="str">
        <f>Translate!$E$174</f>
        <v>Decommissioning fund closing balance: END</v>
      </c>
      <c r="F110" s="1103"/>
      <c r="G110" s="1103" t="str">
        <f xml:space="preserve"> Translate!E$10</f>
        <v>US$ mn</v>
      </c>
      <c r="H110" s="1103"/>
      <c r="I110" s="1103"/>
      <c r="J110" s="1105"/>
      <c r="K110" s="1106">
        <f ca="1" xml:space="preserve"> K106 + K107 - K108 + K109</f>
        <v>0</v>
      </c>
      <c r="L110" s="1106">
        <f t="shared" ref="L110:AX110" ca="1" si="13" xml:space="preserve"> L106 + L107 - L108 + L109</f>
        <v>0</v>
      </c>
      <c r="M110" s="1106">
        <f t="shared" ca="1" si="13"/>
        <v>0</v>
      </c>
      <c r="N110" s="1106">
        <f t="shared" ca="1" si="13"/>
        <v>0</v>
      </c>
      <c r="O110" s="1106">
        <f t="shared" ca="1" si="13"/>
        <v>0</v>
      </c>
      <c r="P110" s="1106">
        <f t="shared" ca="1" si="13"/>
        <v>0</v>
      </c>
      <c r="Q110" s="1106">
        <f t="shared" ca="1" si="13"/>
        <v>0</v>
      </c>
      <c r="R110" s="1106">
        <f t="shared" ca="1" si="13"/>
        <v>0</v>
      </c>
      <c r="S110" s="1106">
        <f t="shared" ca="1" si="13"/>
        <v>0</v>
      </c>
      <c r="T110" s="1106">
        <f t="shared" ca="1" si="13"/>
        <v>0</v>
      </c>
      <c r="U110" s="1106">
        <f t="shared" ca="1" si="13"/>
        <v>0</v>
      </c>
      <c r="V110" s="1106">
        <f t="shared" ca="1" si="13"/>
        <v>0</v>
      </c>
      <c r="W110" s="1106">
        <f t="shared" ca="1" si="13"/>
        <v>0</v>
      </c>
      <c r="X110" s="1106">
        <f t="shared" ca="1" si="13"/>
        <v>3.5317996256270274</v>
      </c>
      <c r="Y110" s="1106">
        <f t="shared" ca="1" si="13"/>
        <v>7.1342352437665957</v>
      </c>
      <c r="Z110" s="1106">
        <f t="shared" ca="1" si="13"/>
        <v>10.808719574268956</v>
      </c>
      <c r="AA110" s="1106">
        <f t="shared" ca="1" si="13"/>
        <v>14.556693591381363</v>
      </c>
      <c r="AB110" s="1106">
        <f t="shared" ca="1" si="13"/>
        <v>18.379627088836017</v>
      </c>
      <c r="AC110" s="1106">
        <f t="shared" ca="1" si="13"/>
        <v>22.279019256239764</v>
      </c>
      <c r="AD110" s="1106">
        <f t="shared" ca="1" si="13"/>
        <v>26.256399266991586</v>
      </c>
      <c r="AE110" s="1106">
        <f t="shared" ca="1" si="13"/>
        <v>30.313326877958445</v>
      </c>
      <c r="AF110" s="1106">
        <f t="shared" ca="1" si="13"/>
        <v>3.5527136788005009E-15</v>
      </c>
      <c r="AG110" s="1106">
        <f t="shared" ca="1" si="13"/>
        <v>3.5527136788005009E-15</v>
      </c>
      <c r="AH110" s="1106">
        <f t="shared" ca="1" si="13"/>
        <v>3.5527136788005009E-15</v>
      </c>
      <c r="AI110" s="1106">
        <f t="shared" ca="1" si="13"/>
        <v>3.5527136788005009E-15</v>
      </c>
      <c r="AJ110" s="1106">
        <f t="shared" ca="1" si="13"/>
        <v>3.5527136788005009E-15</v>
      </c>
      <c r="AK110" s="1106">
        <f t="shared" ca="1" si="13"/>
        <v>3.5527136788005009E-15</v>
      </c>
      <c r="AL110" s="1106">
        <f t="shared" ca="1" si="13"/>
        <v>3.5527136788005009E-15</v>
      </c>
      <c r="AM110" s="1106">
        <f t="shared" ca="1" si="13"/>
        <v>3.5527136788005009E-15</v>
      </c>
      <c r="AN110" s="1106">
        <f t="shared" ca="1" si="13"/>
        <v>3.5527136788005009E-15</v>
      </c>
      <c r="AO110" s="1106">
        <f t="shared" ca="1" si="13"/>
        <v>3.5527136788005009E-15</v>
      </c>
      <c r="AP110" s="1106">
        <f t="shared" ca="1" si="13"/>
        <v>3.5527136788005009E-15</v>
      </c>
      <c r="AQ110" s="1106">
        <f t="shared" ca="1" si="13"/>
        <v>3.5527136788005009E-15</v>
      </c>
      <c r="AR110" s="1106">
        <f t="shared" ca="1" si="13"/>
        <v>3.5527136788005009E-15</v>
      </c>
      <c r="AS110" s="1106">
        <f t="shared" ca="1" si="13"/>
        <v>3.5527136788005009E-15</v>
      </c>
      <c r="AT110" s="1106">
        <f t="shared" ca="1" si="13"/>
        <v>3.5527136788005009E-15</v>
      </c>
      <c r="AU110" s="1106">
        <f t="shared" ca="1" si="13"/>
        <v>3.5527136788005009E-15</v>
      </c>
      <c r="AV110" s="1106">
        <f t="shared" ca="1" si="13"/>
        <v>3.5527136788005009E-15</v>
      </c>
      <c r="AW110" s="1106">
        <f t="shared" ca="1" si="13"/>
        <v>3.5527136788005009E-15</v>
      </c>
      <c r="AX110" s="1106">
        <f t="shared" ca="1" si="13"/>
        <v>3.5527136788005009E-15</v>
      </c>
    </row>
    <row r="111" spans="1:50" ht="15" customHeight="1">
      <c r="A111" s="1041"/>
      <c r="D111" s="1005"/>
      <c r="E111" s="1041"/>
      <c r="F111" s="1041"/>
      <c r="G111" s="1041"/>
      <c r="H111" s="1041"/>
      <c r="I111" s="1041"/>
      <c r="J111" s="1041"/>
      <c r="K111" s="1041"/>
      <c r="L111" s="1041"/>
      <c r="M111" s="1041"/>
      <c r="N111" s="1041"/>
      <c r="O111" s="1041"/>
      <c r="P111" s="1041"/>
      <c r="Q111" s="1041"/>
      <c r="R111" s="1041"/>
      <c r="S111" s="1041"/>
      <c r="T111" s="1041"/>
      <c r="U111" s="1041"/>
      <c r="V111" s="1041"/>
      <c r="W111" s="1041"/>
      <c r="X111" s="1041"/>
      <c r="Y111" s="1041"/>
      <c r="Z111" s="1041"/>
      <c r="AA111" s="1041"/>
      <c r="AB111" s="1041"/>
      <c r="AC111" s="1041"/>
      <c r="AD111" s="1041"/>
      <c r="AE111" s="1041"/>
      <c r="AF111" s="1041"/>
      <c r="AG111" s="1041"/>
      <c r="AH111" s="1041"/>
      <c r="AI111" s="1041"/>
      <c r="AJ111" s="1041"/>
      <c r="AK111" s="1041"/>
      <c r="AL111" s="1041"/>
      <c r="AM111" s="1041"/>
      <c r="AN111" s="1041"/>
      <c r="AO111" s="1041"/>
      <c r="AP111" s="1041"/>
      <c r="AQ111" s="1041"/>
      <c r="AR111" s="1041"/>
      <c r="AS111" s="1041"/>
      <c r="AT111" s="1041"/>
      <c r="AU111" s="1041"/>
      <c r="AV111" s="1041"/>
      <c r="AW111" s="1041"/>
      <c r="AX111" s="1041"/>
    </row>
    <row r="112" spans="1:50" s="4" customFormat="1" ht="15" customHeight="1">
      <c r="B112" s="691"/>
      <c r="C112" s="42"/>
      <c r="D112" s="38"/>
      <c r="E112" s="4" t="str">
        <f xml:space="preserve">  E108 &amp; ": " &amp; Translate!$E$19</f>
        <v>Withdrawals to meet decommissioning costs (end of period): Total</v>
      </c>
      <c r="F112" s="4">
        <f ca="1" xml:space="preserve"> SUM(K108:AX108)</f>
        <v>30.313326877958442</v>
      </c>
      <c r="G112" s="4" t="str">
        <f>G108</f>
        <v>US$ mn</v>
      </c>
    </row>
    <row r="113" spans="1:50" s="4" customFormat="1" ht="15" customHeight="1">
      <c r="B113" s="691"/>
      <c r="C113" s="42"/>
      <c r="D113" s="38"/>
      <c r="E113" s="4" t="str">
        <f xml:space="preserve">  E107 &amp; ": " &amp; Translate!$E$19</f>
        <v>Interest: Total</v>
      </c>
      <c r="F113" s="4">
        <f ca="1" xml:space="preserve"> SUM(K107:AX107)</f>
        <v>2.0589298729422283</v>
      </c>
      <c r="G113" s="4" t="str">
        <f>G107</f>
        <v>US$ mn</v>
      </c>
    </row>
    <row r="114" spans="1:50" s="4" customFormat="1" ht="15" customHeight="1">
      <c r="B114" s="691"/>
      <c r="C114" s="42"/>
      <c r="D114" s="38"/>
      <c r="E114" s="4" t="str">
        <f xml:space="preserve">  E109 &amp; ": " &amp; Translate!$E$19</f>
        <v>Decommissioning provision for future costs (end of period): Total</v>
      </c>
      <c r="F114" s="4">
        <f ca="1" xml:space="preserve"> SUM(K109:AX109)</f>
        <v>28.254397005016219</v>
      </c>
      <c r="G114" s="4" t="str">
        <f>G109</f>
        <v>US$ mn</v>
      </c>
    </row>
    <row r="115" spans="1:50" ht="15" customHeight="1">
      <c r="A115" s="1041"/>
      <c r="D115" s="1005"/>
      <c r="E115" s="1041" t="str">
        <f xml:space="preserve"> Translate!$E$444 &amp; ": " &amp; Translate!$E$175</f>
        <v>Check: decommissioning cashflows</v>
      </c>
      <c r="F115" s="62">
        <f ca="1">IF( ABS( F112 - F113 - F114) &gt; CHK_TOL, 1, 0)</f>
        <v>0</v>
      </c>
      <c r="G115" s="1041" t="str">
        <f xml:space="preserve"> Translate!E$444</f>
        <v>Check</v>
      </c>
      <c r="H115" s="1041"/>
      <c r="I115" s="1041"/>
      <c r="J115" s="1041"/>
      <c r="K115" s="1041"/>
      <c r="L115" s="1041"/>
      <c r="M115" s="1041"/>
      <c r="N115" s="1041"/>
      <c r="O115" s="1041"/>
      <c r="P115" s="1041"/>
      <c r="Q115" s="1041"/>
      <c r="R115" s="1041"/>
      <c r="S115" s="1041"/>
      <c r="T115" s="1041"/>
      <c r="U115" s="1041"/>
      <c r="V115" s="1041"/>
      <c r="W115" s="1041"/>
      <c r="X115" s="1041"/>
      <c r="Y115" s="1041"/>
      <c r="Z115" s="1041"/>
      <c r="AA115" s="1041"/>
      <c r="AB115" s="1041"/>
      <c r="AC115" s="1041"/>
      <c r="AD115" s="1041"/>
      <c r="AE115" s="1041"/>
      <c r="AF115" s="1041"/>
      <c r="AG115" s="1041"/>
      <c r="AH115" s="1041"/>
      <c r="AI115" s="1041"/>
      <c r="AJ115" s="1041"/>
      <c r="AK115" s="1041"/>
      <c r="AL115" s="1041"/>
      <c r="AM115" s="1041"/>
      <c r="AN115" s="1041"/>
      <c r="AO115" s="1041"/>
      <c r="AP115" s="1041"/>
      <c r="AQ115" s="1041"/>
      <c r="AR115" s="1041"/>
      <c r="AS115" s="1041"/>
      <c r="AT115" s="1041"/>
      <c r="AU115" s="1041"/>
      <c r="AV115" s="1041"/>
      <c r="AW115" s="1041"/>
      <c r="AX115" s="1041"/>
    </row>
    <row r="116" spans="1:50" ht="15" customHeight="1">
      <c r="A116" s="325"/>
      <c r="B116" s="643"/>
      <c r="C116" s="333"/>
      <c r="D116" s="1097"/>
      <c r="E116" s="1036"/>
      <c r="F116" s="332"/>
      <c r="G116" s="1049"/>
      <c r="H116" s="1054"/>
      <c r="I116" s="1094"/>
      <c r="J116" s="1054"/>
      <c r="K116" s="1054"/>
      <c r="L116" s="1054"/>
      <c r="M116" s="1054"/>
      <c r="N116" s="1054"/>
      <c r="O116" s="1054"/>
      <c r="P116" s="1054"/>
      <c r="Q116" s="1054"/>
      <c r="R116" s="1054"/>
      <c r="S116" s="1054"/>
      <c r="T116" s="1054"/>
      <c r="U116" s="1054"/>
      <c r="V116" s="1054"/>
      <c r="W116" s="1054"/>
      <c r="X116" s="1054"/>
      <c r="Y116" s="1054"/>
      <c r="Z116" s="1054"/>
      <c r="AA116" s="1054"/>
      <c r="AB116" s="1054"/>
      <c r="AC116" s="1054"/>
      <c r="AD116" s="1054"/>
      <c r="AE116" s="1054"/>
      <c r="AF116" s="1054"/>
      <c r="AG116" s="1054"/>
      <c r="AH116" s="1054"/>
      <c r="AI116" s="1054"/>
      <c r="AJ116" s="1054"/>
      <c r="AK116" s="1054"/>
      <c r="AL116" s="1054"/>
      <c r="AM116" s="1054"/>
      <c r="AN116" s="1054"/>
      <c r="AO116" s="1054"/>
      <c r="AP116" s="1054"/>
      <c r="AQ116" s="1054"/>
      <c r="AR116" s="1054"/>
      <c r="AS116" s="1054"/>
      <c r="AT116" s="1054"/>
      <c r="AU116" s="1054"/>
      <c r="AV116" s="1054"/>
      <c r="AW116" s="1054"/>
      <c r="AX116" s="1054"/>
    </row>
    <row r="117" spans="1:50" ht="15" customHeight="1">
      <c r="A117" s="325"/>
      <c r="B117" s="643" t="str">
        <f>Translate!$E$54</f>
        <v>Net decommissioning cashflows</v>
      </c>
      <c r="C117" s="333"/>
      <c r="D117" s="1097"/>
      <c r="E117" s="1036"/>
      <c r="F117" s="332"/>
      <c r="G117" s="1049"/>
      <c r="H117" s="1054"/>
      <c r="I117" s="1094"/>
      <c r="J117" s="1054"/>
      <c r="K117" s="1054"/>
      <c r="L117" s="1054"/>
      <c r="M117" s="1054"/>
      <c r="N117" s="1054"/>
      <c r="O117" s="1054"/>
      <c r="P117" s="1054"/>
      <c r="Q117" s="1054"/>
      <c r="R117" s="1054"/>
      <c r="S117" s="1054"/>
      <c r="T117" s="1054"/>
      <c r="U117" s="1054"/>
      <c r="V117" s="1054"/>
      <c r="W117" s="1054"/>
      <c r="X117" s="1054"/>
      <c r="Y117" s="1054"/>
      <c r="Z117" s="1054"/>
      <c r="AA117" s="1054"/>
      <c r="AB117" s="1054"/>
      <c r="AC117" s="1054"/>
      <c r="AD117" s="1054"/>
      <c r="AE117" s="1054"/>
      <c r="AF117" s="1054"/>
      <c r="AG117" s="1054"/>
      <c r="AH117" s="1054"/>
      <c r="AI117" s="1054"/>
      <c r="AJ117" s="1054"/>
      <c r="AK117" s="1054"/>
      <c r="AL117" s="1054"/>
      <c r="AM117" s="1054"/>
      <c r="AN117" s="1054"/>
      <c r="AO117" s="1054"/>
      <c r="AP117" s="1054"/>
      <c r="AQ117" s="1054"/>
      <c r="AR117" s="1054"/>
      <c r="AS117" s="1054"/>
      <c r="AT117" s="1054"/>
      <c r="AU117" s="1054"/>
      <c r="AV117" s="1054"/>
      <c r="AW117" s="1054"/>
      <c r="AX117" s="1054"/>
    </row>
    <row r="118" spans="1:50" ht="15" customHeight="1">
      <c r="A118" s="325"/>
      <c r="B118" s="643"/>
      <c r="C118" s="333"/>
      <c r="D118" s="1097" t="str">
        <f>Translate!$E$605</f>
        <v>add</v>
      </c>
      <c r="E118" s="366" t="str">
        <f xml:space="preserve"> ProjectCashflows!E$242</f>
        <v>Decommissioning costs, after ELT</v>
      </c>
      <c r="F118" s="366">
        <f xml:space="preserve"> ProjectCashflows!F$242</f>
        <v>0</v>
      </c>
      <c r="G118" s="366" t="str">
        <f xml:space="preserve"> ProjectCashflows!G$242</f>
        <v>US$ mn</v>
      </c>
      <c r="H118" s="366">
        <f xml:space="preserve"> ProjectCashflows!H$242</f>
        <v>0</v>
      </c>
      <c r="I118" s="366">
        <f ca="1" xml:space="preserve"> ProjectCashflows!I$242</f>
        <v>30.313326877958442</v>
      </c>
      <c r="J118" s="366">
        <f xml:space="preserve"> ProjectCashflows!J$242</f>
        <v>0</v>
      </c>
      <c r="K118" s="366">
        <f ca="1" xml:space="preserve"> ProjectCashflows!K$242</f>
        <v>0</v>
      </c>
      <c r="L118" s="366">
        <f ca="1" xml:space="preserve"> ProjectCashflows!L$242</f>
        <v>0</v>
      </c>
      <c r="M118" s="366">
        <f ca="1" xml:space="preserve"> ProjectCashflows!M$242</f>
        <v>0</v>
      </c>
      <c r="N118" s="366">
        <f ca="1" xml:space="preserve"> ProjectCashflows!N$242</f>
        <v>0</v>
      </c>
      <c r="O118" s="366">
        <f ca="1" xml:space="preserve"> ProjectCashflows!O$242</f>
        <v>0</v>
      </c>
      <c r="P118" s="366">
        <f ca="1" xml:space="preserve"> ProjectCashflows!P$242</f>
        <v>0</v>
      </c>
      <c r="Q118" s="366">
        <f ca="1" xml:space="preserve"> ProjectCashflows!Q$242</f>
        <v>0</v>
      </c>
      <c r="R118" s="366">
        <f ca="1" xml:space="preserve"> ProjectCashflows!R$242</f>
        <v>0</v>
      </c>
      <c r="S118" s="366">
        <f ca="1" xml:space="preserve"> ProjectCashflows!S$242</f>
        <v>0</v>
      </c>
      <c r="T118" s="366">
        <f ca="1" xml:space="preserve"> ProjectCashflows!T$242</f>
        <v>0</v>
      </c>
      <c r="U118" s="366">
        <f ca="1" xml:space="preserve"> ProjectCashflows!U$242</f>
        <v>0</v>
      </c>
      <c r="V118" s="366">
        <f ca="1" xml:space="preserve"> ProjectCashflows!V$242</f>
        <v>0</v>
      </c>
      <c r="W118" s="366">
        <f ca="1" xml:space="preserve"> ProjectCashflows!W$242</f>
        <v>0</v>
      </c>
      <c r="X118" s="366">
        <f ca="1" xml:space="preserve"> ProjectCashflows!X$242</f>
        <v>0</v>
      </c>
      <c r="Y118" s="366">
        <f ca="1" xml:space="preserve"> ProjectCashflows!Y$242</f>
        <v>0</v>
      </c>
      <c r="Z118" s="366">
        <f ca="1" xml:space="preserve"> ProjectCashflows!Z$242</f>
        <v>0</v>
      </c>
      <c r="AA118" s="366">
        <f ca="1" xml:space="preserve"> ProjectCashflows!AA$242</f>
        <v>0</v>
      </c>
      <c r="AB118" s="366">
        <f ca="1" xml:space="preserve"> ProjectCashflows!AB$242</f>
        <v>0</v>
      </c>
      <c r="AC118" s="366">
        <f ca="1" xml:space="preserve"> ProjectCashflows!AC$242</f>
        <v>0</v>
      </c>
      <c r="AD118" s="366">
        <f ca="1" xml:space="preserve"> ProjectCashflows!AD$242</f>
        <v>0</v>
      </c>
      <c r="AE118" s="366">
        <f ca="1" xml:space="preserve"> ProjectCashflows!AE$242</f>
        <v>0</v>
      </c>
      <c r="AF118" s="366">
        <f ca="1" xml:space="preserve"> ProjectCashflows!AF$242</f>
        <v>30.313326877958442</v>
      </c>
      <c r="AG118" s="366">
        <f ca="1" xml:space="preserve"> ProjectCashflows!AG$242</f>
        <v>0</v>
      </c>
      <c r="AH118" s="366">
        <f ca="1" xml:space="preserve"> ProjectCashflows!AH$242</f>
        <v>0</v>
      </c>
      <c r="AI118" s="366">
        <f ca="1" xml:space="preserve"> ProjectCashflows!AI$242</f>
        <v>0</v>
      </c>
      <c r="AJ118" s="366">
        <f ca="1" xml:space="preserve"> ProjectCashflows!AJ$242</f>
        <v>0</v>
      </c>
      <c r="AK118" s="366">
        <f ca="1" xml:space="preserve"> ProjectCashflows!AK$242</f>
        <v>0</v>
      </c>
      <c r="AL118" s="366">
        <f ca="1" xml:space="preserve"> ProjectCashflows!AL$242</f>
        <v>0</v>
      </c>
      <c r="AM118" s="366">
        <f ca="1" xml:space="preserve"> ProjectCashflows!AM$242</f>
        <v>0</v>
      </c>
      <c r="AN118" s="366">
        <f ca="1" xml:space="preserve"> ProjectCashflows!AN$242</f>
        <v>0</v>
      </c>
      <c r="AO118" s="366">
        <f ca="1" xml:space="preserve"> ProjectCashflows!AO$242</f>
        <v>0</v>
      </c>
      <c r="AP118" s="366">
        <f ca="1" xml:space="preserve"> ProjectCashflows!AP$242</f>
        <v>0</v>
      </c>
      <c r="AQ118" s="366">
        <f ca="1" xml:space="preserve"> ProjectCashflows!AQ$242</f>
        <v>0</v>
      </c>
      <c r="AR118" s="366">
        <f ca="1" xml:space="preserve"> ProjectCashflows!AR$242</f>
        <v>0</v>
      </c>
      <c r="AS118" s="366">
        <f ca="1" xml:space="preserve"> ProjectCashflows!AS$242</f>
        <v>0</v>
      </c>
      <c r="AT118" s="366">
        <f ca="1" xml:space="preserve"> ProjectCashflows!AT$242</f>
        <v>0</v>
      </c>
      <c r="AU118" s="366">
        <f ca="1" xml:space="preserve"> ProjectCashflows!AU$242</f>
        <v>0</v>
      </c>
      <c r="AV118" s="366">
        <f ca="1" xml:space="preserve"> ProjectCashflows!AV$242</f>
        <v>0</v>
      </c>
      <c r="AW118" s="366">
        <f ca="1" xml:space="preserve"> ProjectCashflows!AW$242</f>
        <v>0</v>
      </c>
      <c r="AX118" s="366">
        <f ca="1" xml:space="preserve"> ProjectCashflows!AX$242</f>
        <v>0</v>
      </c>
    </row>
    <row r="119" spans="1:50" ht="15" customHeight="1">
      <c r="A119" s="325"/>
      <c r="B119" s="643"/>
      <c r="C119" s="333"/>
      <c r="D119" s="1097" t="str">
        <f>Translate!$E$606</f>
        <v>less</v>
      </c>
      <c r="E119" s="1036" t="str">
        <f xml:space="preserve"> E$108</f>
        <v>Withdrawals to meet decommissioning costs (end of period)</v>
      </c>
      <c r="F119" s="1036">
        <f t="shared" ref="F119:AX119" si="14" xml:space="preserve"> F$108</f>
        <v>0</v>
      </c>
      <c r="G119" s="1036" t="str">
        <f t="shared" si="14"/>
        <v>US$ mn</v>
      </c>
      <c r="H119" s="1036">
        <f t="shared" si="14"/>
        <v>0</v>
      </c>
      <c r="I119" s="1036">
        <f t="shared" ca="1" si="14"/>
        <v>30.313326877958442</v>
      </c>
      <c r="J119" s="1036">
        <f t="shared" si="14"/>
        <v>0</v>
      </c>
      <c r="K119" s="1036">
        <f t="shared" ca="1" si="14"/>
        <v>0</v>
      </c>
      <c r="L119" s="1036">
        <f t="shared" ca="1" si="14"/>
        <v>0</v>
      </c>
      <c r="M119" s="1036">
        <f t="shared" ca="1" si="14"/>
        <v>0</v>
      </c>
      <c r="N119" s="1036">
        <f t="shared" ca="1" si="14"/>
        <v>0</v>
      </c>
      <c r="O119" s="1036">
        <f t="shared" ca="1" si="14"/>
        <v>0</v>
      </c>
      <c r="P119" s="1036">
        <f t="shared" ca="1" si="14"/>
        <v>0</v>
      </c>
      <c r="Q119" s="1036">
        <f t="shared" ca="1" si="14"/>
        <v>0</v>
      </c>
      <c r="R119" s="1036">
        <f t="shared" ca="1" si="14"/>
        <v>0</v>
      </c>
      <c r="S119" s="1036">
        <f t="shared" ca="1" si="14"/>
        <v>0</v>
      </c>
      <c r="T119" s="1036">
        <f t="shared" ca="1" si="14"/>
        <v>0</v>
      </c>
      <c r="U119" s="1036">
        <f t="shared" ca="1" si="14"/>
        <v>0</v>
      </c>
      <c r="V119" s="1036">
        <f t="shared" ca="1" si="14"/>
        <v>0</v>
      </c>
      <c r="W119" s="1036">
        <f t="shared" ca="1" si="14"/>
        <v>0</v>
      </c>
      <c r="X119" s="1036">
        <f t="shared" ca="1" si="14"/>
        <v>0</v>
      </c>
      <c r="Y119" s="1036">
        <f t="shared" ca="1" si="14"/>
        <v>0</v>
      </c>
      <c r="Z119" s="1036">
        <f t="shared" ca="1" si="14"/>
        <v>0</v>
      </c>
      <c r="AA119" s="1036">
        <f t="shared" ca="1" si="14"/>
        <v>0</v>
      </c>
      <c r="AB119" s="1036">
        <f t="shared" ca="1" si="14"/>
        <v>0</v>
      </c>
      <c r="AC119" s="1036">
        <f t="shared" ca="1" si="14"/>
        <v>0</v>
      </c>
      <c r="AD119" s="1036">
        <f t="shared" ca="1" si="14"/>
        <v>0</v>
      </c>
      <c r="AE119" s="1036">
        <f t="shared" ca="1" si="14"/>
        <v>0</v>
      </c>
      <c r="AF119" s="1036">
        <f t="shared" ca="1" si="14"/>
        <v>30.313326877958442</v>
      </c>
      <c r="AG119" s="1036">
        <f t="shared" ca="1" si="14"/>
        <v>0</v>
      </c>
      <c r="AH119" s="1036">
        <f t="shared" ca="1" si="14"/>
        <v>0</v>
      </c>
      <c r="AI119" s="1036">
        <f t="shared" ca="1" si="14"/>
        <v>0</v>
      </c>
      <c r="AJ119" s="1036">
        <f t="shared" ca="1" si="14"/>
        <v>0</v>
      </c>
      <c r="AK119" s="1036">
        <f t="shared" ca="1" si="14"/>
        <v>0</v>
      </c>
      <c r="AL119" s="1036">
        <f t="shared" ca="1" si="14"/>
        <v>0</v>
      </c>
      <c r="AM119" s="1036">
        <f t="shared" ca="1" si="14"/>
        <v>0</v>
      </c>
      <c r="AN119" s="1036">
        <f t="shared" ca="1" si="14"/>
        <v>0</v>
      </c>
      <c r="AO119" s="1036">
        <f t="shared" ca="1" si="14"/>
        <v>0</v>
      </c>
      <c r="AP119" s="1036">
        <f t="shared" ca="1" si="14"/>
        <v>0</v>
      </c>
      <c r="AQ119" s="1036">
        <f t="shared" ca="1" si="14"/>
        <v>0</v>
      </c>
      <c r="AR119" s="1036">
        <f t="shared" ca="1" si="14"/>
        <v>0</v>
      </c>
      <c r="AS119" s="1036">
        <f t="shared" ca="1" si="14"/>
        <v>0</v>
      </c>
      <c r="AT119" s="1036">
        <f t="shared" ca="1" si="14"/>
        <v>0</v>
      </c>
      <c r="AU119" s="1036">
        <f t="shared" ca="1" si="14"/>
        <v>0</v>
      </c>
      <c r="AV119" s="1036">
        <f t="shared" ca="1" si="14"/>
        <v>0</v>
      </c>
      <c r="AW119" s="1036">
        <f t="shared" ca="1" si="14"/>
        <v>0</v>
      </c>
      <c r="AX119" s="1036">
        <f t="shared" ca="1" si="14"/>
        <v>0</v>
      </c>
    </row>
    <row r="120" spans="1:50" ht="15" customHeight="1">
      <c r="A120" s="325"/>
      <c r="B120" s="643"/>
      <c r="C120" s="333"/>
      <c r="D120" s="1097" t="str">
        <f>Translate!$E$605</f>
        <v>add</v>
      </c>
      <c r="E120" s="1036" t="str">
        <f xml:space="preserve"> E$109</f>
        <v>Decommissioning provision for future costs (end of period)</v>
      </c>
      <c r="F120" s="1036">
        <f t="shared" ref="F120:AX120" si="15" xml:space="preserve"> F$109</f>
        <v>0</v>
      </c>
      <c r="G120" s="1036" t="str">
        <f t="shared" si="15"/>
        <v>US$ mn</v>
      </c>
      <c r="H120" s="1036">
        <f t="shared" si="15"/>
        <v>0</v>
      </c>
      <c r="I120" s="1036">
        <f t="shared" ca="1" si="15"/>
        <v>28.254397005016219</v>
      </c>
      <c r="J120" s="1036">
        <f t="shared" si="15"/>
        <v>0</v>
      </c>
      <c r="K120" s="1036">
        <f t="shared" ca="1" si="15"/>
        <v>0</v>
      </c>
      <c r="L120" s="1036">
        <f t="shared" ca="1" si="15"/>
        <v>0</v>
      </c>
      <c r="M120" s="1036">
        <f t="shared" ca="1" si="15"/>
        <v>0</v>
      </c>
      <c r="N120" s="1036">
        <f t="shared" ca="1" si="15"/>
        <v>0</v>
      </c>
      <c r="O120" s="1036">
        <f t="shared" ca="1" si="15"/>
        <v>0</v>
      </c>
      <c r="P120" s="1036">
        <f t="shared" ca="1" si="15"/>
        <v>0</v>
      </c>
      <c r="Q120" s="1036">
        <f t="shared" ca="1" si="15"/>
        <v>0</v>
      </c>
      <c r="R120" s="1036">
        <f t="shared" ca="1" si="15"/>
        <v>0</v>
      </c>
      <c r="S120" s="1036">
        <f t="shared" ca="1" si="15"/>
        <v>0</v>
      </c>
      <c r="T120" s="1036">
        <f t="shared" ca="1" si="15"/>
        <v>0</v>
      </c>
      <c r="U120" s="1036">
        <f t="shared" ca="1" si="15"/>
        <v>0</v>
      </c>
      <c r="V120" s="1036">
        <f t="shared" ca="1" si="15"/>
        <v>0</v>
      </c>
      <c r="W120" s="1036">
        <f t="shared" ca="1" si="15"/>
        <v>0</v>
      </c>
      <c r="X120" s="1036">
        <f t="shared" ca="1" si="15"/>
        <v>3.5317996256270274</v>
      </c>
      <c r="Y120" s="1036">
        <f t="shared" ca="1" si="15"/>
        <v>3.5317996256270274</v>
      </c>
      <c r="Z120" s="1036">
        <f t="shared" ca="1" si="15"/>
        <v>3.5317996256270274</v>
      </c>
      <c r="AA120" s="1036">
        <f t="shared" ca="1" si="15"/>
        <v>3.5317996256270274</v>
      </c>
      <c r="AB120" s="1036">
        <f t="shared" ca="1" si="15"/>
        <v>3.5317996256270274</v>
      </c>
      <c r="AC120" s="1036">
        <f t="shared" ca="1" si="15"/>
        <v>3.5317996256270274</v>
      </c>
      <c r="AD120" s="1036">
        <f t="shared" ca="1" si="15"/>
        <v>3.5317996256270274</v>
      </c>
      <c r="AE120" s="1036">
        <f t="shared" ca="1" si="15"/>
        <v>3.5317996256270274</v>
      </c>
      <c r="AF120" s="1036">
        <f t="shared" ca="1" si="15"/>
        <v>0</v>
      </c>
      <c r="AG120" s="1036">
        <f t="shared" ca="1" si="15"/>
        <v>0</v>
      </c>
      <c r="AH120" s="1036">
        <f t="shared" ca="1" si="15"/>
        <v>0</v>
      </c>
      <c r="AI120" s="1036">
        <f t="shared" ca="1" si="15"/>
        <v>0</v>
      </c>
      <c r="AJ120" s="1036">
        <f t="shared" ca="1" si="15"/>
        <v>0</v>
      </c>
      <c r="AK120" s="1036">
        <f t="shared" ca="1" si="15"/>
        <v>0</v>
      </c>
      <c r="AL120" s="1036">
        <f t="shared" ca="1" si="15"/>
        <v>0</v>
      </c>
      <c r="AM120" s="1036">
        <f t="shared" ca="1" si="15"/>
        <v>0</v>
      </c>
      <c r="AN120" s="1036">
        <f t="shared" ca="1" si="15"/>
        <v>0</v>
      </c>
      <c r="AO120" s="1036">
        <f t="shared" ca="1" si="15"/>
        <v>0</v>
      </c>
      <c r="AP120" s="1036">
        <f t="shared" ca="1" si="15"/>
        <v>0</v>
      </c>
      <c r="AQ120" s="1036">
        <f t="shared" ca="1" si="15"/>
        <v>0</v>
      </c>
      <c r="AR120" s="1036">
        <f t="shared" ca="1" si="15"/>
        <v>0</v>
      </c>
      <c r="AS120" s="1036">
        <f t="shared" ca="1" si="15"/>
        <v>0</v>
      </c>
      <c r="AT120" s="1036">
        <f t="shared" ca="1" si="15"/>
        <v>0</v>
      </c>
      <c r="AU120" s="1036">
        <f t="shared" ca="1" si="15"/>
        <v>0</v>
      </c>
      <c r="AV120" s="1036">
        <f t="shared" ca="1" si="15"/>
        <v>0</v>
      </c>
      <c r="AW120" s="1036">
        <f t="shared" ca="1" si="15"/>
        <v>0</v>
      </c>
      <c r="AX120" s="1036">
        <f t="shared" ca="1" si="15"/>
        <v>0</v>
      </c>
    </row>
    <row r="121" spans="1:50" s="556" customFormat="1" ht="15" customHeight="1">
      <c r="A121" s="553"/>
      <c r="B121" s="692"/>
      <c r="C121" s="554"/>
      <c r="D121" s="1107"/>
      <c r="E121" s="1108" t="str">
        <f>Translate!$E$176</f>
        <v>Net decommissioning cashflows including fund</v>
      </c>
      <c r="F121" s="555"/>
      <c r="G121" s="1109" t="str">
        <f xml:space="preserve"> Translate!E$10</f>
        <v>US$ mn</v>
      </c>
      <c r="H121" s="1110"/>
      <c r="I121" s="1111">
        <f ca="1" xml:space="preserve"> SUM(K121:AX121)</f>
        <v>28.254397005016219</v>
      </c>
      <c r="J121" s="1110"/>
      <c r="K121" s="1110">
        <f ca="1" xml:space="preserve"> K118 + K120 - K119</f>
        <v>0</v>
      </c>
      <c r="L121" s="1110">
        <f t="shared" ref="L121:AX121" ca="1" si="16" xml:space="preserve"> L118 + L120 - L119</f>
        <v>0</v>
      </c>
      <c r="M121" s="1110">
        <f t="shared" ca="1" si="16"/>
        <v>0</v>
      </c>
      <c r="N121" s="1110">
        <f t="shared" ca="1" si="16"/>
        <v>0</v>
      </c>
      <c r="O121" s="1110">
        <f t="shared" ca="1" si="16"/>
        <v>0</v>
      </c>
      <c r="P121" s="1110">
        <f t="shared" ca="1" si="16"/>
        <v>0</v>
      </c>
      <c r="Q121" s="1110">
        <f t="shared" ca="1" si="16"/>
        <v>0</v>
      </c>
      <c r="R121" s="1110">
        <f t="shared" ca="1" si="16"/>
        <v>0</v>
      </c>
      <c r="S121" s="1110">
        <f t="shared" ca="1" si="16"/>
        <v>0</v>
      </c>
      <c r="T121" s="1110">
        <f t="shared" ca="1" si="16"/>
        <v>0</v>
      </c>
      <c r="U121" s="1110">
        <f t="shared" ca="1" si="16"/>
        <v>0</v>
      </c>
      <c r="V121" s="1110">
        <f t="shared" ca="1" si="16"/>
        <v>0</v>
      </c>
      <c r="W121" s="1110">
        <f t="shared" ca="1" si="16"/>
        <v>0</v>
      </c>
      <c r="X121" s="1110">
        <f t="shared" ca="1" si="16"/>
        <v>3.5317996256270274</v>
      </c>
      <c r="Y121" s="1110">
        <f t="shared" ca="1" si="16"/>
        <v>3.5317996256270274</v>
      </c>
      <c r="Z121" s="1110">
        <f t="shared" ca="1" si="16"/>
        <v>3.5317996256270274</v>
      </c>
      <c r="AA121" s="1110">
        <f t="shared" ca="1" si="16"/>
        <v>3.5317996256270274</v>
      </c>
      <c r="AB121" s="1110">
        <f t="shared" ca="1" si="16"/>
        <v>3.5317996256270274</v>
      </c>
      <c r="AC121" s="1110">
        <f t="shared" ca="1" si="16"/>
        <v>3.5317996256270274</v>
      </c>
      <c r="AD121" s="1110">
        <f t="shared" ca="1" si="16"/>
        <v>3.5317996256270274</v>
      </c>
      <c r="AE121" s="1110">
        <f t="shared" ca="1" si="16"/>
        <v>3.5317996256270274</v>
      </c>
      <c r="AF121" s="1110">
        <f t="shared" ca="1" si="16"/>
        <v>0</v>
      </c>
      <c r="AG121" s="1110">
        <f t="shared" ca="1" si="16"/>
        <v>0</v>
      </c>
      <c r="AH121" s="1110">
        <f t="shared" ca="1" si="16"/>
        <v>0</v>
      </c>
      <c r="AI121" s="1110">
        <f t="shared" ca="1" si="16"/>
        <v>0</v>
      </c>
      <c r="AJ121" s="1110">
        <f t="shared" ca="1" si="16"/>
        <v>0</v>
      </c>
      <c r="AK121" s="1110">
        <f t="shared" ca="1" si="16"/>
        <v>0</v>
      </c>
      <c r="AL121" s="1110">
        <f t="shared" ca="1" si="16"/>
        <v>0</v>
      </c>
      <c r="AM121" s="1110">
        <f t="shared" ca="1" si="16"/>
        <v>0</v>
      </c>
      <c r="AN121" s="1110">
        <f t="shared" ca="1" si="16"/>
        <v>0</v>
      </c>
      <c r="AO121" s="1110">
        <f t="shared" ca="1" si="16"/>
        <v>0</v>
      </c>
      <c r="AP121" s="1110">
        <f t="shared" ca="1" si="16"/>
        <v>0</v>
      </c>
      <c r="AQ121" s="1110">
        <f t="shared" ca="1" si="16"/>
        <v>0</v>
      </c>
      <c r="AR121" s="1110">
        <f t="shared" ca="1" si="16"/>
        <v>0</v>
      </c>
      <c r="AS121" s="1110">
        <f t="shared" ca="1" si="16"/>
        <v>0</v>
      </c>
      <c r="AT121" s="1110">
        <f t="shared" ca="1" si="16"/>
        <v>0</v>
      </c>
      <c r="AU121" s="1110">
        <f t="shared" ca="1" si="16"/>
        <v>0</v>
      </c>
      <c r="AV121" s="1110">
        <f t="shared" ca="1" si="16"/>
        <v>0</v>
      </c>
      <c r="AW121" s="1110">
        <f t="shared" ca="1" si="16"/>
        <v>0</v>
      </c>
      <c r="AX121" s="1110">
        <f t="shared" ca="1" si="16"/>
        <v>0</v>
      </c>
    </row>
    <row r="122" spans="1:50" ht="15" customHeight="1">
      <c r="A122" s="325"/>
      <c r="B122" s="643"/>
      <c r="C122" s="333"/>
      <c r="D122" s="1097"/>
      <c r="E122" s="1036"/>
      <c r="F122" s="332"/>
      <c r="G122" s="1049"/>
      <c r="H122" s="1054"/>
      <c r="I122" s="1094"/>
      <c r="J122" s="1054"/>
      <c r="K122" s="1054"/>
      <c r="L122" s="1054"/>
      <c r="M122" s="1054"/>
      <c r="N122" s="1054"/>
      <c r="O122" s="1054"/>
      <c r="P122" s="1054"/>
      <c r="Q122" s="1054"/>
      <c r="R122" s="1054"/>
      <c r="S122" s="1054"/>
      <c r="T122" s="1054"/>
      <c r="U122" s="1054"/>
      <c r="V122" s="1054"/>
      <c r="W122" s="1054"/>
      <c r="X122" s="1054"/>
      <c r="Y122" s="1054"/>
      <c r="Z122" s="1054"/>
      <c r="AA122" s="1054"/>
      <c r="AB122" s="1054"/>
      <c r="AC122" s="1054"/>
      <c r="AD122" s="1054"/>
      <c r="AE122" s="1054"/>
      <c r="AF122" s="1054"/>
      <c r="AG122" s="1054"/>
      <c r="AH122" s="1054"/>
      <c r="AI122" s="1054"/>
      <c r="AJ122" s="1054"/>
      <c r="AK122" s="1054"/>
      <c r="AL122" s="1054"/>
      <c r="AM122" s="1054"/>
      <c r="AN122" s="1054"/>
      <c r="AO122" s="1054"/>
      <c r="AP122" s="1054"/>
      <c r="AQ122" s="1054"/>
      <c r="AR122" s="1054"/>
      <c r="AS122" s="1054"/>
      <c r="AT122" s="1054"/>
      <c r="AU122" s="1054"/>
      <c r="AV122" s="1054"/>
      <c r="AW122" s="1054"/>
      <c r="AX122" s="1054"/>
    </row>
    <row r="123" spans="1:50" ht="15" customHeight="1">
      <c r="A123" s="325"/>
      <c r="B123" s="643"/>
      <c r="C123" s="333"/>
      <c r="D123" s="1097" t="str">
        <f>Translate!$E$605</f>
        <v>add</v>
      </c>
      <c r="E123" s="1036" t="str">
        <f xml:space="preserve"> E$108</f>
        <v>Withdrawals to meet decommissioning costs (end of period)</v>
      </c>
      <c r="F123" s="1036">
        <f t="shared" ref="F123:AX123" si="17" xml:space="preserve"> F$108</f>
        <v>0</v>
      </c>
      <c r="G123" s="1036" t="str">
        <f t="shared" si="17"/>
        <v>US$ mn</v>
      </c>
      <c r="H123" s="1036">
        <f t="shared" si="17"/>
        <v>0</v>
      </c>
      <c r="I123" s="1036">
        <f t="shared" ca="1" si="17"/>
        <v>30.313326877958442</v>
      </c>
      <c r="J123" s="1036">
        <f t="shared" si="17"/>
        <v>0</v>
      </c>
      <c r="K123" s="1036">
        <f t="shared" ca="1" si="17"/>
        <v>0</v>
      </c>
      <c r="L123" s="1036">
        <f t="shared" ca="1" si="17"/>
        <v>0</v>
      </c>
      <c r="M123" s="1036">
        <f t="shared" ca="1" si="17"/>
        <v>0</v>
      </c>
      <c r="N123" s="1036">
        <f t="shared" ca="1" si="17"/>
        <v>0</v>
      </c>
      <c r="O123" s="1036">
        <f t="shared" ca="1" si="17"/>
        <v>0</v>
      </c>
      <c r="P123" s="1036">
        <f t="shared" ca="1" si="17"/>
        <v>0</v>
      </c>
      <c r="Q123" s="1036">
        <f t="shared" ca="1" si="17"/>
        <v>0</v>
      </c>
      <c r="R123" s="1036">
        <f t="shared" ca="1" si="17"/>
        <v>0</v>
      </c>
      <c r="S123" s="1036">
        <f t="shared" ca="1" si="17"/>
        <v>0</v>
      </c>
      <c r="T123" s="1036">
        <f t="shared" ca="1" si="17"/>
        <v>0</v>
      </c>
      <c r="U123" s="1036">
        <f t="shared" ca="1" si="17"/>
        <v>0</v>
      </c>
      <c r="V123" s="1036">
        <f t="shared" ca="1" si="17"/>
        <v>0</v>
      </c>
      <c r="W123" s="1036">
        <f t="shared" ca="1" si="17"/>
        <v>0</v>
      </c>
      <c r="X123" s="1036">
        <f t="shared" ca="1" si="17"/>
        <v>0</v>
      </c>
      <c r="Y123" s="1036">
        <f t="shared" ca="1" si="17"/>
        <v>0</v>
      </c>
      <c r="Z123" s="1036">
        <f t="shared" ca="1" si="17"/>
        <v>0</v>
      </c>
      <c r="AA123" s="1036">
        <f t="shared" ca="1" si="17"/>
        <v>0</v>
      </c>
      <c r="AB123" s="1036">
        <f t="shared" ca="1" si="17"/>
        <v>0</v>
      </c>
      <c r="AC123" s="1036">
        <f t="shared" ca="1" si="17"/>
        <v>0</v>
      </c>
      <c r="AD123" s="1036">
        <f t="shared" ca="1" si="17"/>
        <v>0</v>
      </c>
      <c r="AE123" s="1036">
        <f t="shared" ca="1" si="17"/>
        <v>0</v>
      </c>
      <c r="AF123" s="1036">
        <f t="shared" ca="1" si="17"/>
        <v>30.313326877958442</v>
      </c>
      <c r="AG123" s="1036">
        <f t="shared" ca="1" si="17"/>
        <v>0</v>
      </c>
      <c r="AH123" s="1036">
        <f t="shared" ca="1" si="17"/>
        <v>0</v>
      </c>
      <c r="AI123" s="1036">
        <f t="shared" ca="1" si="17"/>
        <v>0</v>
      </c>
      <c r="AJ123" s="1036">
        <f t="shared" ca="1" si="17"/>
        <v>0</v>
      </c>
      <c r="AK123" s="1036">
        <f t="shared" ca="1" si="17"/>
        <v>0</v>
      </c>
      <c r="AL123" s="1036">
        <f t="shared" ca="1" si="17"/>
        <v>0</v>
      </c>
      <c r="AM123" s="1036">
        <f t="shared" ca="1" si="17"/>
        <v>0</v>
      </c>
      <c r="AN123" s="1036">
        <f t="shared" ca="1" si="17"/>
        <v>0</v>
      </c>
      <c r="AO123" s="1036">
        <f t="shared" ca="1" si="17"/>
        <v>0</v>
      </c>
      <c r="AP123" s="1036">
        <f t="shared" ca="1" si="17"/>
        <v>0</v>
      </c>
      <c r="AQ123" s="1036">
        <f t="shared" ca="1" si="17"/>
        <v>0</v>
      </c>
      <c r="AR123" s="1036">
        <f t="shared" ca="1" si="17"/>
        <v>0</v>
      </c>
      <c r="AS123" s="1036">
        <f t="shared" ca="1" si="17"/>
        <v>0</v>
      </c>
      <c r="AT123" s="1036">
        <f t="shared" ca="1" si="17"/>
        <v>0</v>
      </c>
      <c r="AU123" s="1036">
        <f t="shared" ca="1" si="17"/>
        <v>0</v>
      </c>
      <c r="AV123" s="1036">
        <f t="shared" ca="1" si="17"/>
        <v>0</v>
      </c>
      <c r="AW123" s="1036">
        <f t="shared" ca="1" si="17"/>
        <v>0</v>
      </c>
      <c r="AX123" s="1036">
        <f t="shared" ca="1" si="17"/>
        <v>0</v>
      </c>
    </row>
    <row r="124" spans="1:50" ht="15" customHeight="1">
      <c r="A124" s="325"/>
      <c r="B124" s="643"/>
      <c r="C124" s="333"/>
      <c r="D124" s="1097" t="str">
        <f>Translate!$E$606</f>
        <v>less</v>
      </c>
      <c r="E124" s="1036" t="str">
        <f xml:space="preserve"> E$109</f>
        <v>Decommissioning provision for future costs (end of period)</v>
      </c>
      <c r="F124" s="1036">
        <f t="shared" ref="F124:AX124" si="18" xml:space="preserve"> F$109</f>
        <v>0</v>
      </c>
      <c r="G124" s="1036" t="str">
        <f t="shared" si="18"/>
        <v>US$ mn</v>
      </c>
      <c r="H124" s="1036">
        <f t="shared" si="18"/>
        <v>0</v>
      </c>
      <c r="I124" s="1036">
        <f t="shared" ca="1" si="18"/>
        <v>28.254397005016219</v>
      </c>
      <c r="J124" s="1036">
        <f t="shared" si="18"/>
        <v>0</v>
      </c>
      <c r="K124" s="1036">
        <f t="shared" ca="1" si="18"/>
        <v>0</v>
      </c>
      <c r="L124" s="1036">
        <f t="shared" ca="1" si="18"/>
        <v>0</v>
      </c>
      <c r="M124" s="1036">
        <f t="shared" ca="1" si="18"/>
        <v>0</v>
      </c>
      <c r="N124" s="1036">
        <f t="shared" ca="1" si="18"/>
        <v>0</v>
      </c>
      <c r="O124" s="1036">
        <f t="shared" ca="1" si="18"/>
        <v>0</v>
      </c>
      <c r="P124" s="1036">
        <f t="shared" ca="1" si="18"/>
        <v>0</v>
      </c>
      <c r="Q124" s="1036">
        <f t="shared" ca="1" si="18"/>
        <v>0</v>
      </c>
      <c r="R124" s="1036">
        <f t="shared" ca="1" si="18"/>
        <v>0</v>
      </c>
      <c r="S124" s="1036">
        <f t="shared" ca="1" si="18"/>
        <v>0</v>
      </c>
      <c r="T124" s="1036">
        <f t="shared" ca="1" si="18"/>
        <v>0</v>
      </c>
      <c r="U124" s="1036">
        <f t="shared" ca="1" si="18"/>
        <v>0</v>
      </c>
      <c r="V124" s="1036">
        <f t="shared" ca="1" si="18"/>
        <v>0</v>
      </c>
      <c r="W124" s="1036">
        <f t="shared" ca="1" si="18"/>
        <v>0</v>
      </c>
      <c r="X124" s="1036">
        <f t="shared" ca="1" si="18"/>
        <v>3.5317996256270274</v>
      </c>
      <c r="Y124" s="1036">
        <f t="shared" ca="1" si="18"/>
        <v>3.5317996256270274</v>
      </c>
      <c r="Z124" s="1036">
        <f t="shared" ca="1" si="18"/>
        <v>3.5317996256270274</v>
      </c>
      <c r="AA124" s="1036">
        <f t="shared" ca="1" si="18"/>
        <v>3.5317996256270274</v>
      </c>
      <c r="AB124" s="1036">
        <f t="shared" ca="1" si="18"/>
        <v>3.5317996256270274</v>
      </c>
      <c r="AC124" s="1036">
        <f t="shared" ca="1" si="18"/>
        <v>3.5317996256270274</v>
      </c>
      <c r="AD124" s="1036">
        <f t="shared" ca="1" si="18"/>
        <v>3.5317996256270274</v>
      </c>
      <c r="AE124" s="1036">
        <f t="shared" ca="1" si="18"/>
        <v>3.5317996256270274</v>
      </c>
      <c r="AF124" s="1036">
        <f t="shared" ca="1" si="18"/>
        <v>0</v>
      </c>
      <c r="AG124" s="1036">
        <f t="shared" ca="1" si="18"/>
        <v>0</v>
      </c>
      <c r="AH124" s="1036">
        <f t="shared" ca="1" si="18"/>
        <v>0</v>
      </c>
      <c r="AI124" s="1036">
        <f t="shared" ca="1" si="18"/>
        <v>0</v>
      </c>
      <c r="AJ124" s="1036">
        <f t="shared" ca="1" si="18"/>
        <v>0</v>
      </c>
      <c r="AK124" s="1036">
        <f t="shared" ca="1" si="18"/>
        <v>0</v>
      </c>
      <c r="AL124" s="1036">
        <f t="shared" ca="1" si="18"/>
        <v>0</v>
      </c>
      <c r="AM124" s="1036">
        <f t="shared" ca="1" si="18"/>
        <v>0</v>
      </c>
      <c r="AN124" s="1036">
        <f t="shared" ca="1" si="18"/>
        <v>0</v>
      </c>
      <c r="AO124" s="1036">
        <f t="shared" ca="1" si="18"/>
        <v>0</v>
      </c>
      <c r="AP124" s="1036">
        <f t="shared" ca="1" si="18"/>
        <v>0</v>
      </c>
      <c r="AQ124" s="1036">
        <f t="shared" ca="1" si="18"/>
        <v>0</v>
      </c>
      <c r="AR124" s="1036">
        <f t="shared" ca="1" si="18"/>
        <v>0</v>
      </c>
      <c r="AS124" s="1036">
        <f t="shared" ca="1" si="18"/>
        <v>0</v>
      </c>
      <c r="AT124" s="1036">
        <f t="shared" ca="1" si="18"/>
        <v>0</v>
      </c>
      <c r="AU124" s="1036">
        <f t="shared" ca="1" si="18"/>
        <v>0</v>
      </c>
      <c r="AV124" s="1036">
        <f t="shared" ca="1" si="18"/>
        <v>0</v>
      </c>
      <c r="AW124" s="1036">
        <f t="shared" ca="1" si="18"/>
        <v>0</v>
      </c>
      <c r="AX124" s="1036">
        <f t="shared" ca="1" si="18"/>
        <v>0</v>
      </c>
    </row>
    <row r="125" spans="1:50" s="556" customFormat="1" ht="15" customHeight="1">
      <c r="A125" s="557"/>
      <c r="B125" s="692"/>
      <c r="C125" s="558"/>
      <c r="D125" s="559"/>
      <c r="E125" s="560" t="str">
        <f>Translate!$E$54</f>
        <v>Net decommissioning cashflows</v>
      </c>
      <c r="F125" s="561"/>
      <c r="G125" s="562" t="str">
        <f xml:space="preserve"> Translate!E$10</f>
        <v>US$ mn</v>
      </c>
      <c r="H125" s="557"/>
      <c r="I125" s="563">
        <f ca="1" xml:space="preserve"> SUM(K125:AX125)</f>
        <v>2.0589298729422225</v>
      </c>
      <c r="J125" s="557"/>
      <c r="K125" s="557">
        <f ca="1" xml:space="preserve"> K123 - K124</f>
        <v>0</v>
      </c>
      <c r="L125" s="557">
        <f t="shared" ref="L125:AX125" ca="1" si="19" xml:space="preserve"> L123 - L124</f>
        <v>0</v>
      </c>
      <c r="M125" s="557">
        <f t="shared" ca="1" si="19"/>
        <v>0</v>
      </c>
      <c r="N125" s="557">
        <f t="shared" ca="1" si="19"/>
        <v>0</v>
      </c>
      <c r="O125" s="557">
        <f t="shared" ca="1" si="19"/>
        <v>0</v>
      </c>
      <c r="P125" s="557">
        <f t="shared" ca="1" si="19"/>
        <v>0</v>
      </c>
      <c r="Q125" s="557">
        <f t="shared" ca="1" si="19"/>
        <v>0</v>
      </c>
      <c r="R125" s="557">
        <f t="shared" ca="1" si="19"/>
        <v>0</v>
      </c>
      <c r="S125" s="557">
        <f t="shared" ca="1" si="19"/>
        <v>0</v>
      </c>
      <c r="T125" s="557">
        <f t="shared" ca="1" si="19"/>
        <v>0</v>
      </c>
      <c r="U125" s="557">
        <f t="shared" ca="1" si="19"/>
        <v>0</v>
      </c>
      <c r="V125" s="557">
        <f t="shared" ca="1" si="19"/>
        <v>0</v>
      </c>
      <c r="W125" s="557">
        <f t="shared" ca="1" si="19"/>
        <v>0</v>
      </c>
      <c r="X125" s="557">
        <f t="shared" ca="1" si="19"/>
        <v>-3.5317996256270274</v>
      </c>
      <c r="Y125" s="557">
        <f t="shared" ca="1" si="19"/>
        <v>-3.5317996256270274</v>
      </c>
      <c r="Z125" s="557">
        <f t="shared" ca="1" si="19"/>
        <v>-3.5317996256270274</v>
      </c>
      <c r="AA125" s="557">
        <f t="shared" ca="1" si="19"/>
        <v>-3.5317996256270274</v>
      </c>
      <c r="AB125" s="557">
        <f t="shared" ca="1" si="19"/>
        <v>-3.5317996256270274</v>
      </c>
      <c r="AC125" s="557">
        <f t="shared" ca="1" si="19"/>
        <v>-3.5317996256270274</v>
      </c>
      <c r="AD125" s="557">
        <f t="shared" ca="1" si="19"/>
        <v>-3.5317996256270274</v>
      </c>
      <c r="AE125" s="557">
        <f t="shared" ca="1" si="19"/>
        <v>-3.5317996256270274</v>
      </c>
      <c r="AF125" s="557">
        <f t="shared" ca="1" si="19"/>
        <v>30.313326877958442</v>
      </c>
      <c r="AG125" s="557">
        <f t="shared" ca="1" si="19"/>
        <v>0</v>
      </c>
      <c r="AH125" s="557">
        <f t="shared" ca="1" si="19"/>
        <v>0</v>
      </c>
      <c r="AI125" s="557">
        <f t="shared" ca="1" si="19"/>
        <v>0</v>
      </c>
      <c r="AJ125" s="557">
        <f t="shared" ca="1" si="19"/>
        <v>0</v>
      </c>
      <c r="AK125" s="557">
        <f t="shared" ca="1" si="19"/>
        <v>0</v>
      </c>
      <c r="AL125" s="557">
        <f t="shared" ca="1" si="19"/>
        <v>0</v>
      </c>
      <c r="AM125" s="557">
        <f t="shared" ca="1" si="19"/>
        <v>0</v>
      </c>
      <c r="AN125" s="557">
        <f t="shared" ca="1" si="19"/>
        <v>0</v>
      </c>
      <c r="AO125" s="557">
        <f t="shared" ca="1" si="19"/>
        <v>0</v>
      </c>
      <c r="AP125" s="557">
        <f t="shared" ca="1" si="19"/>
        <v>0</v>
      </c>
      <c r="AQ125" s="557">
        <f t="shared" ca="1" si="19"/>
        <v>0</v>
      </c>
      <c r="AR125" s="557">
        <f t="shared" ca="1" si="19"/>
        <v>0</v>
      </c>
      <c r="AS125" s="557">
        <f t="shared" ca="1" si="19"/>
        <v>0</v>
      </c>
      <c r="AT125" s="557">
        <f t="shared" ca="1" si="19"/>
        <v>0</v>
      </c>
      <c r="AU125" s="557">
        <f t="shared" ca="1" si="19"/>
        <v>0</v>
      </c>
      <c r="AV125" s="557">
        <f t="shared" ca="1" si="19"/>
        <v>0</v>
      </c>
      <c r="AW125" s="557">
        <f t="shared" ca="1" si="19"/>
        <v>0</v>
      </c>
      <c r="AX125" s="557">
        <f t="shared" ca="1" si="19"/>
        <v>0</v>
      </c>
    </row>
    <row r="126" spans="1:50" ht="15" customHeight="1">
      <c r="A126" s="325"/>
      <c r="B126" s="643"/>
      <c r="C126" s="333"/>
      <c r="D126" s="1097"/>
      <c r="E126" s="1036"/>
      <c r="F126" s="332"/>
      <c r="G126" s="1049"/>
      <c r="H126" s="1054"/>
      <c r="I126" s="1094"/>
      <c r="J126" s="1054"/>
      <c r="K126" s="1054"/>
      <c r="L126" s="1054"/>
      <c r="M126" s="1054"/>
      <c r="N126" s="1054"/>
      <c r="O126" s="1054"/>
      <c r="P126" s="1054"/>
      <c r="Q126" s="1054"/>
      <c r="R126" s="1054"/>
      <c r="S126" s="1054"/>
      <c r="T126" s="1054"/>
      <c r="U126" s="1054"/>
      <c r="V126" s="1054"/>
      <c r="W126" s="1054"/>
      <c r="X126" s="1054"/>
      <c r="Y126" s="1054"/>
      <c r="Z126" s="1054"/>
      <c r="AA126" s="1054"/>
      <c r="AB126" s="1054"/>
      <c r="AC126" s="1054"/>
      <c r="AD126" s="1054"/>
      <c r="AE126" s="1054"/>
      <c r="AF126" s="1054"/>
      <c r="AG126" s="1054"/>
      <c r="AH126" s="1054"/>
      <c r="AI126" s="1054"/>
      <c r="AJ126" s="1054"/>
      <c r="AK126" s="1054"/>
      <c r="AL126" s="1054"/>
      <c r="AM126" s="1054"/>
      <c r="AN126" s="1054"/>
      <c r="AO126" s="1054"/>
      <c r="AP126" s="1054"/>
      <c r="AQ126" s="1054"/>
      <c r="AR126" s="1054"/>
      <c r="AS126" s="1054"/>
      <c r="AT126" s="1054"/>
      <c r="AU126" s="1054"/>
      <c r="AV126" s="1054"/>
      <c r="AW126" s="1054"/>
      <c r="AX126" s="1054"/>
    </row>
    <row r="127" spans="1:50" ht="15" customHeight="1">
      <c r="A127" s="325"/>
      <c r="B127" s="643"/>
      <c r="C127" s="333"/>
      <c r="D127" s="1097"/>
      <c r="E127" s="1036" t="str">
        <f>E125</f>
        <v>Net decommissioning cashflows</v>
      </c>
      <c r="F127" s="1036">
        <f t="shared" ref="F127:AX127" si="20">F125</f>
        <v>0</v>
      </c>
      <c r="G127" s="1036" t="str">
        <f t="shared" si="20"/>
        <v>US$ mn</v>
      </c>
      <c r="H127" s="1036">
        <f t="shared" si="20"/>
        <v>0</v>
      </c>
      <c r="I127" s="1036">
        <f t="shared" ca="1" si="20"/>
        <v>2.0589298729422225</v>
      </c>
      <c r="J127" s="1036">
        <f t="shared" si="20"/>
        <v>0</v>
      </c>
      <c r="K127" s="1036">
        <f t="shared" ca="1" si="20"/>
        <v>0</v>
      </c>
      <c r="L127" s="1036">
        <f t="shared" ca="1" si="20"/>
        <v>0</v>
      </c>
      <c r="M127" s="1036">
        <f t="shared" ca="1" si="20"/>
        <v>0</v>
      </c>
      <c r="N127" s="1036">
        <f t="shared" ca="1" si="20"/>
        <v>0</v>
      </c>
      <c r="O127" s="1036">
        <f t="shared" ca="1" si="20"/>
        <v>0</v>
      </c>
      <c r="P127" s="1036">
        <f t="shared" ca="1" si="20"/>
        <v>0</v>
      </c>
      <c r="Q127" s="1036">
        <f t="shared" ca="1" si="20"/>
        <v>0</v>
      </c>
      <c r="R127" s="1036">
        <f t="shared" ca="1" si="20"/>
        <v>0</v>
      </c>
      <c r="S127" s="1036">
        <f t="shared" ca="1" si="20"/>
        <v>0</v>
      </c>
      <c r="T127" s="1036">
        <f t="shared" ca="1" si="20"/>
        <v>0</v>
      </c>
      <c r="U127" s="1036">
        <f t="shared" ca="1" si="20"/>
        <v>0</v>
      </c>
      <c r="V127" s="1036">
        <f t="shared" ca="1" si="20"/>
        <v>0</v>
      </c>
      <c r="W127" s="1036">
        <f t="shared" ca="1" si="20"/>
        <v>0</v>
      </c>
      <c r="X127" s="1036">
        <f t="shared" ca="1" si="20"/>
        <v>-3.5317996256270274</v>
      </c>
      <c r="Y127" s="1036">
        <f t="shared" ca="1" si="20"/>
        <v>-3.5317996256270274</v>
      </c>
      <c r="Z127" s="1036">
        <f t="shared" ca="1" si="20"/>
        <v>-3.5317996256270274</v>
      </c>
      <c r="AA127" s="1036">
        <f t="shared" ca="1" si="20"/>
        <v>-3.5317996256270274</v>
      </c>
      <c r="AB127" s="1036">
        <f t="shared" ca="1" si="20"/>
        <v>-3.5317996256270274</v>
      </c>
      <c r="AC127" s="1036">
        <f t="shared" ca="1" si="20"/>
        <v>-3.5317996256270274</v>
      </c>
      <c r="AD127" s="1036">
        <f t="shared" ca="1" si="20"/>
        <v>-3.5317996256270274</v>
      </c>
      <c r="AE127" s="1036">
        <f t="shared" ca="1" si="20"/>
        <v>-3.5317996256270274</v>
      </c>
      <c r="AF127" s="1036">
        <f t="shared" ca="1" si="20"/>
        <v>30.313326877958442</v>
      </c>
      <c r="AG127" s="1036">
        <f t="shared" ca="1" si="20"/>
        <v>0</v>
      </c>
      <c r="AH127" s="1036">
        <f t="shared" ca="1" si="20"/>
        <v>0</v>
      </c>
      <c r="AI127" s="1036">
        <f t="shared" ca="1" si="20"/>
        <v>0</v>
      </c>
      <c r="AJ127" s="1036">
        <f t="shared" ca="1" si="20"/>
        <v>0</v>
      </c>
      <c r="AK127" s="1036">
        <f t="shared" ca="1" si="20"/>
        <v>0</v>
      </c>
      <c r="AL127" s="1036">
        <f t="shared" ca="1" si="20"/>
        <v>0</v>
      </c>
      <c r="AM127" s="1036">
        <f t="shared" ca="1" si="20"/>
        <v>0</v>
      </c>
      <c r="AN127" s="1036">
        <f t="shared" ca="1" si="20"/>
        <v>0</v>
      </c>
      <c r="AO127" s="1036">
        <f t="shared" ca="1" si="20"/>
        <v>0</v>
      </c>
      <c r="AP127" s="1036">
        <f t="shared" ca="1" si="20"/>
        <v>0</v>
      </c>
      <c r="AQ127" s="1036">
        <f t="shared" ca="1" si="20"/>
        <v>0</v>
      </c>
      <c r="AR127" s="1036">
        <f t="shared" ca="1" si="20"/>
        <v>0</v>
      </c>
      <c r="AS127" s="1036">
        <f t="shared" ca="1" si="20"/>
        <v>0</v>
      </c>
      <c r="AT127" s="1036">
        <f t="shared" ca="1" si="20"/>
        <v>0</v>
      </c>
      <c r="AU127" s="1036">
        <f t="shared" ca="1" si="20"/>
        <v>0</v>
      </c>
      <c r="AV127" s="1036">
        <f t="shared" ca="1" si="20"/>
        <v>0</v>
      </c>
      <c r="AW127" s="1036">
        <f t="shared" ca="1" si="20"/>
        <v>0</v>
      </c>
      <c r="AX127" s="1036">
        <f t="shared" ca="1" si="20"/>
        <v>0</v>
      </c>
    </row>
    <row r="128" spans="1:50" s="221" customFormat="1" ht="15" customHeight="1">
      <c r="A128" s="362"/>
      <c r="B128" s="643"/>
      <c r="C128" s="363"/>
      <c r="D128" s="364"/>
      <c r="E128" s="219" t="str">
        <f xml:space="preserve"> ProjectCashflows!E$245</f>
        <v>Project cashflow before decommissioning fund</v>
      </c>
      <c r="F128" s="219">
        <f xml:space="preserve"> ProjectCashflows!F$245</f>
        <v>0</v>
      </c>
      <c r="G128" s="219" t="str">
        <f xml:space="preserve"> ProjectCashflows!G$245</f>
        <v>US$ mn</v>
      </c>
      <c r="H128" s="219">
        <f xml:space="preserve"> ProjectCashflows!H$245</f>
        <v>0</v>
      </c>
      <c r="I128" s="219">
        <f ca="1" xml:space="preserve"> ProjectCashflows!I$245</f>
        <v>1980.8537502110926</v>
      </c>
      <c r="J128" s="219">
        <f xml:space="preserve"> ProjectCashflows!J$245</f>
        <v>0</v>
      </c>
      <c r="K128" s="219">
        <f ca="1" xml:space="preserve"> ProjectCashflows!K$245</f>
        <v>-10</v>
      </c>
      <c r="L128" s="219">
        <f ca="1" xml:space="preserve"> ProjectCashflows!L$245</f>
        <v>-10.199999999999999</v>
      </c>
      <c r="M128" s="219">
        <f ca="1" xml:space="preserve"> ProjectCashflows!M$245</f>
        <v>-10.404</v>
      </c>
      <c r="N128" s="219">
        <f ca="1" xml:space="preserve"> ProjectCashflows!N$245</f>
        <v>-53.060399999999994</v>
      </c>
      <c r="O128" s="219">
        <f ca="1" xml:space="preserve"> ProjectCashflows!O$245</f>
        <v>-259.51311036000004</v>
      </c>
      <c r="P128" s="219">
        <f ca="1" xml:space="preserve"> ProjectCashflows!P$245</f>
        <v>-34.364514999600004</v>
      </c>
      <c r="Q128" s="219">
        <f ca="1" xml:space="preserve"> ProjectCashflows!Q$245</f>
        <v>164.138172607728</v>
      </c>
      <c r="R128" s="219">
        <f ca="1" xml:space="preserve"> ProjectCashflows!R$245</f>
        <v>167.42093605988254</v>
      </c>
      <c r="S128" s="219">
        <f ca="1" xml:space="preserve"> ProjectCashflows!S$245</f>
        <v>170.76935478108021</v>
      </c>
      <c r="T128" s="219">
        <f ca="1" xml:space="preserve"> ProjectCashflows!T$245</f>
        <v>174.18474187670188</v>
      </c>
      <c r="U128" s="219">
        <f ca="1" xml:space="preserve"> ProjectCashflows!U$245</f>
        <v>177.6684367142359</v>
      </c>
      <c r="V128" s="219">
        <f ca="1" xml:space="preserve"> ProjectCashflows!V$245</f>
        <v>181.22180544852057</v>
      </c>
      <c r="W128" s="219">
        <f ca="1" xml:space="preserve"> ProjectCashflows!W$245</f>
        <v>184.846241557491</v>
      </c>
      <c r="X128" s="219">
        <f ca="1" xml:space="preserve"> ProjectCashflows!X$245</f>
        <v>188.54316638864077</v>
      </c>
      <c r="Y128" s="219">
        <f ca="1" xml:space="preserve"> ProjectCashflows!Y$245</f>
        <v>192.3140297164137</v>
      </c>
      <c r="Z128" s="219">
        <f ca="1" xml:space="preserve"> ProjectCashflows!Z$245</f>
        <v>196.16031031074192</v>
      </c>
      <c r="AA128" s="219">
        <f ca="1" xml:space="preserve"> ProjectCashflows!AA$245</f>
        <v>164.90588282400984</v>
      </c>
      <c r="AB128" s="219">
        <f ca="1" xml:space="preserve"> ProjectCashflows!AB$245</f>
        <v>143.52474546722354</v>
      </c>
      <c r="AC128" s="219">
        <f ca="1" xml:space="preserve"> ProjectCashflows!AC$245</f>
        <v>109.79643028242602</v>
      </c>
      <c r="AD128" s="219">
        <f ca="1" xml:space="preserve"> ProjectCashflows!AD$245</f>
        <v>97.060044369664581</v>
      </c>
      <c r="AE128" s="219">
        <f ca="1" xml:space="preserve"> ProjectCashflows!AE$245</f>
        <v>76.154804043890678</v>
      </c>
      <c r="AF128" s="219">
        <f ca="1" xml:space="preserve"> ProjectCashflows!AF$245</f>
        <v>-30.313326877958442</v>
      </c>
      <c r="AG128" s="219">
        <f ca="1" xml:space="preserve"> ProjectCashflows!AG$245</f>
        <v>0</v>
      </c>
      <c r="AH128" s="219">
        <f ca="1" xml:space="preserve"> ProjectCashflows!AH$245</f>
        <v>0</v>
      </c>
      <c r="AI128" s="219">
        <f ca="1" xml:space="preserve"> ProjectCashflows!AI$245</f>
        <v>0</v>
      </c>
      <c r="AJ128" s="219">
        <f ca="1" xml:space="preserve"> ProjectCashflows!AJ$245</f>
        <v>0</v>
      </c>
      <c r="AK128" s="219">
        <f ca="1" xml:space="preserve"> ProjectCashflows!AK$245</f>
        <v>0</v>
      </c>
      <c r="AL128" s="219">
        <f ca="1" xml:space="preserve"> ProjectCashflows!AL$245</f>
        <v>0</v>
      </c>
      <c r="AM128" s="219">
        <f ca="1" xml:space="preserve"> ProjectCashflows!AM$245</f>
        <v>0</v>
      </c>
      <c r="AN128" s="219">
        <f ca="1" xml:space="preserve"> ProjectCashflows!AN$245</f>
        <v>0</v>
      </c>
      <c r="AO128" s="219">
        <f ca="1" xml:space="preserve"> ProjectCashflows!AO$245</f>
        <v>0</v>
      </c>
      <c r="AP128" s="219">
        <f ca="1" xml:space="preserve"> ProjectCashflows!AP$245</f>
        <v>0</v>
      </c>
      <c r="AQ128" s="219">
        <f ca="1" xml:space="preserve"> ProjectCashflows!AQ$245</f>
        <v>0</v>
      </c>
      <c r="AR128" s="219">
        <f ca="1" xml:space="preserve"> ProjectCashflows!AR$245</f>
        <v>0</v>
      </c>
      <c r="AS128" s="219">
        <f ca="1" xml:space="preserve"> ProjectCashflows!AS$245</f>
        <v>0</v>
      </c>
      <c r="AT128" s="219">
        <f ca="1" xml:space="preserve"> ProjectCashflows!AT$245</f>
        <v>0</v>
      </c>
      <c r="AU128" s="219">
        <f ca="1" xml:space="preserve"> ProjectCashflows!AU$245</f>
        <v>0</v>
      </c>
      <c r="AV128" s="219">
        <f ca="1" xml:space="preserve"> ProjectCashflows!AV$245</f>
        <v>0</v>
      </c>
      <c r="AW128" s="219">
        <f ca="1" xml:space="preserve"> ProjectCashflows!AW$245</f>
        <v>0</v>
      </c>
      <c r="AX128" s="219">
        <f ca="1" xml:space="preserve"> ProjectCashflows!AX$245</f>
        <v>0</v>
      </c>
    </row>
    <row r="129" spans="1:50" s="556" customFormat="1" ht="15" customHeight="1">
      <c r="A129" s="553"/>
      <c r="B129" s="692"/>
      <c r="C129" s="554"/>
      <c r="D129" s="1107"/>
      <c r="E129" s="1108" t="str">
        <f>Translate!$E$177</f>
        <v>Project cashflows before fiscal regime after decommissioning</v>
      </c>
      <c r="F129" s="555"/>
      <c r="G129" s="1109" t="str">
        <f xml:space="preserve"> Translate!E$10</f>
        <v>US$ mn</v>
      </c>
      <c r="H129" s="1110"/>
      <c r="I129" s="1111">
        <f ca="1" xml:space="preserve"> SUM(K129:AX129)</f>
        <v>1982.9126800840349</v>
      </c>
      <c r="J129" s="1110"/>
      <c r="K129" s="1110">
        <f ca="1" xml:space="preserve"> K127 + K128</f>
        <v>-10</v>
      </c>
      <c r="L129" s="1110">
        <f t="shared" ref="L129:AX129" ca="1" si="21" xml:space="preserve"> L127 + L128</f>
        <v>-10.199999999999999</v>
      </c>
      <c r="M129" s="1110">
        <f t="shared" ca="1" si="21"/>
        <v>-10.404</v>
      </c>
      <c r="N129" s="1110">
        <f t="shared" ca="1" si="21"/>
        <v>-53.060399999999994</v>
      </c>
      <c r="O129" s="1110">
        <f t="shared" ca="1" si="21"/>
        <v>-259.51311036000004</v>
      </c>
      <c r="P129" s="1110">
        <f t="shared" ca="1" si="21"/>
        <v>-34.364514999600004</v>
      </c>
      <c r="Q129" s="1110">
        <f t="shared" ca="1" si="21"/>
        <v>164.138172607728</v>
      </c>
      <c r="R129" s="1110">
        <f t="shared" ca="1" si="21"/>
        <v>167.42093605988254</v>
      </c>
      <c r="S129" s="1110">
        <f t="shared" ca="1" si="21"/>
        <v>170.76935478108021</v>
      </c>
      <c r="T129" s="1110">
        <f t="shared" ca="1" si="21"/>
        <v>174.18474187670188</v>
      </c>
      <c r="U129" s="1110">
        <f t="shared" ca="1" si="21"/>
        <v>177.6684367142359</v>
      </c>
      <c r="V129" s="1110">
        <f t="shared" ca="1" si="21"/>
        <v>181.22180544852057</v>
      </c>
      <c r="W129" s="1110">
        <f t="shared" ca="1" si="21"/>
        <v>184.846241557491</v>
      </c>
      <c r="X129" s="1110">
        <f t="shared" ca="1" si="21"/>
        <v>185.01136676301374</v>
      </c>
      <c r="Y129" s="1110">
        <f t="shared" ca="1" si="21"/>
        <v>188.78223009078667</v>
      </c>
      <c r="Z129" s="1110">
        <f t="shared" ca="1" si="21"/>
        <v>192.62851068511489</v>
      </c>
      <c r="AA129" s="1110">
        <f t="shared" ca="1" si="21"/>
        <v>161.37408319838281</v>
      </c>
      <c r="AB129" s="1110">
        <f t="shared" ca="1" si="21"/>
        <v>139.99294584159651</v>
      </c>
      <c r="AC129" s="1110">
        <f t="shared" ca="1" si="21"/>
        <v>106.26463065679899</v>
      </c>
      <c r="AD129" s="1110">
        <f t="shared" ca="1" si="21"/>
        <v>93.528244744037551</v>
      </c>
      <c r="AE129" s="1110">
        <f t="shared" ca="1" si="21"/>
        <v>72.623004418263648</v>
      </c>
      <c r="AF129" s="1110">
        <f t="shared" ca="1" si="21"/>
        <v>0</v>
      </c>
      <c r="AG129" s="1110">
        <f t="shared" ca="1" si="21"/>
        <v>0</v>
      </c>
      <c r="AH129" s="1110">
        <f t="shared" ca="1" si="21"/>
        <v>0</v>
      </c>
      <c r="AI129" s="1110">
        <f t="shared" ca="1" si="21"/>
        <v>0</v>
      </c>
      <c r="AJ129" s="1110">
        <f t="shared" ca="1" si="21"/>
        <v>0</v>
      </c>
      <c r="AK129" s="1110">
        <f t="shared" ca="1" si="21"/>
        <v>0</v>
      </c>
      <c r="AL129" s="1110">
        <f t="shared" ca="1" si="21"/>
        <v>0</v>
      </c>
      <c r="AM129" s="1110">
        <f t="shared" ca="1" si="21"/>
        <v>0</v>
      </c>
      <c r="AN129" s="1110">
        <f t="shared" ca="1" si="21"/>
        <v>0</v>
      </c>
      <c r="AO129" s="1110">
        <f t="shared" ca="1" si="21"/>
        <v>0</v>
      </c>
      <c r="AP129" s="1110">
        <f t="shared" ca="1" si="21"/>
        <v>0</v>
      </c>
      <c r="AQ129" s="1110">
        <f t="shared" ca="1" si="21"/>
        <v>0</v>
      </c>
      <c r="AR129" s="1110">
        <f t="shared" ca="1" si="21"/>
        <v>0</v>
      </c>
      <c r="AS129" s="1110">
        <f t="shared" ca="1" si="21"/>
        <v>0</v>
      </c>
      <c r="AT129" s="1110">
        <f t="shared" ca="1" si="21"/>
        <v>0</v>
      </c>
      <c r="AU129" s="1110">
        <f t="shared" ca="1" si="21"/>
        <v>0</v>
      </c>
      <c r="AV129" s="1110">
        <f t="shared" ca="1" si="21"/>
        <v>0</v>
      </c>
      <c r="AW129" s="1110">
        <f t="shared" ca="1" si="21"/>
        <v>0</v>
      </c>
      <c r="AX129" s="1110">
        <f t="shared" ca="1" si="21"/>
        <v>0</v>
      </c>
    </row>
    <row r="130" spans="1:50" ht="15" customHeight="1">
      <c r="A130" s="347"/>
      <c r="B130" s="643"/>
      <c r="C130" s="333"/>
      <c r="D130" s="1077"/>
      <c r="E130" s="1024"/>
      <c r="F130" s="1059"/>
      <c r="G130" s="1058"/>
      <c r="H130" s="1058"/>
      <c r="I130" s="1049"/>
      <c r="J130" s="1059"/>
      <c r="K130" s="1059"/>
      <c r="L130" s="1059"/>
      <c r="M130" s="1059"/>
      <c r="N130" s="1059"/>
      <c r="O130" s="1059"/>
      <c r="P130" s="1059"/>
      <c r="Q130" s="1059"/>
      <c r="R130" s="1059"/>
      <c r="S130" s="1059"/>
      <c r="T130" s="1059"/>
      <c r="U130" s="1059"/>
      <c r="V130" s="1059"/>
      <c r="W130" s="1059"/>
      <c r="X130" s="1059"/>
      <c r="Y130" s="1059"/>
      <c r="Z130" s="1059"/>
      <c r="AA130" s="1059"/>
      <c r="AB130" s="1059"/>
      <c r="AC130" s="1059"/>
      <c r="AD130" s="1059"/>
      <c r="AE130" s="1059"/>
      <c r="AF130" s="1059"/>
      <c r="AG130" s="1059"/>
      <c r="AH130" s="1059"/>
      <c r="AI130" s="1059"/>
      <c r="AJ130" s="1059"/>
      <c r="AK130" s="1059"/>
      <c r="AL130" s="1059"/>
      <c r="AM130" s="1059"/>
      <c r="AN130" s="1059"/>
      <c r="AO130" s="1059"/>
      <c r="AP130" s="1059"/>
      <c r="AQ130" s="1059"/>
      <c r="AR130" s="1059"/>
      <c r="AS130" s="1059"/>
      <c r="AT130" s="1059"/>
      <c r="AU130" s="1059"/>
      <c r="AV130" s="1059"/>
      <c r="AW130" s="1059"/>
      <c r="AX130" s="1059"/>
    </row>
    <row r="131" spans="1:50" ht="15" customHeight="1">
      <c r="A131" s="351" t="str">
        <f>Translate!$E$24</f>
        <v>Bonus</v>
      </c>
      <c r="B131" s="686"/>
      <c r="C131" s="352"/>
      <c r="D131" s="353"/>
      <c r="E131" s="3"/>
      <c r="F131" s="351"/>
      <c r="G131" s="351"/>
      <c r="H131" s="351"/>
      <c r="I131" s="351"/>
      <c r="J131" s="351"/>
      <c r="K131" s="351"/>
      <c r="L131" s="351"/>
      <c r="M131" s="351"/>
      <c r="N131" s="351"/>
      <c r="O131" s="351"/>
      <c r="P131" s="351"/>
      <c r="Q131" s="351"/>
      <c r="R131" s="351"/>
      <c r="S131" s="351"/>
      <c r="T131" s="351"/>
      <c r="U131" s="351"/>
      <c r="V131" s="351"/>
      <c r="W131" s="351"/>
      <c r="X131" s="351"/>
      <c r="Y131" s="351"/>
      <c r="Z131" s="351"/>
      <c r="AA131" s="351"/>
      <c r="AB131" s="351"/>
      <c r="AC131" s="351"/>
      <c r="AD131" s="351"/>
      <c r="AE131" s="351"/>
      <c r="AF131" s="351"/>
      <c r="AG131" s="351"/>
      <c r="AH131" s="351"/>
      <c r="AI131" s="351"/>
      <c r="AJ131" s="351"/>
      <c r="AK131" s="351"/>
      <c r="AL131" s="351"/>
      <c r="AM131" s="351"/>
      <c r="AN131" s="351"/>
      <c r="AO131" s="351"/>
      <c r="AP131" s="351"/>
      <c r="AQ131" s="351"/>
      <c r="AR131" s="351"/>
      <c r="AS131" s="351"/>
      <c r="AT131" s="351"/>
      <c r="AU131" s="351"/>
      <c r="AV131" s="351"/>
      <c r="AW131" s="351"/>
      <c r="AX131" s="351"/>
    </row>
    <row r="132" spans="1:50" s="334" customFormat="1" ht="15" customHeight="1">
      <c r="A132" s="354"/>
      <c r="B132" s="674"/>
      <c r="C132" s="355"/>
      <c r="D132" s="356"/>
      <c r="E132" s="357"/>
      <c r="F132" s="354"/>
      <c r="G132" s="354"/>
      <c r="H132" s="354"/>
      <c r="I132" s="354"/>
      <c r="J132" s="354"/>
      <c r="K132" s="354"/>
      <c r="L132" s="354"/>
      <c r="M132" s="354"/>
      <c r="N132" s="354"/>
      <c r="O132" s="354"/>
      <c r="P132" s="354"/>
      <c r="Q132" s="354"/>
      <c r="R132" s="354"/>
      <c r="S132" s="354"/>
      <c r="T132" s="354"/>
      <c r="U132" s="354"/>
      <c r="V132" s="354"/>
      <c r="W132" s="354"/>
      <c r="X132" s="354"/>
      <c r="Y132" s="354"/>
      <c r="Z132" s="354"/>
      <c r="AA132" s="354"/>
      <c r="AB132" s="354"/>
      <c r="AC132" s="354"/>
      <c r="AD132" s="354"/>
      <c r="AE132" s="354"/>
      <c r="AF132" s="354"/>
      <c r="AG132" s="354"/>
      <c r="AH132" s="354"/>
      <c r="AI132" s="354"/>
      <c r="AJ132" s="354"/>
      <c r="AK132" s="354"/>
      <c r="AL132" s="354"/>
      <c r="AM132" s="354"/>
      <c r="AN132" s="354"/>
      <c r="AO132" s="354"/>
      <c r="AP132" s="354"/>
      <c r="AQ132" s="354"/>
      <c r="AR132" s="354"/>
      <c r="AS132" s="354"/>
      <c r="AT132" s="354"/>
      <c r="AU132" s="354"/>
      <c r="AV132" s="354"/>
      <c r="AW132" s="354"/>
      <c r="AX132" s="354"/>
    </row>
    <row r="133" spans="1:50" s="260" customFormat="1" ht="15" customHeight="1">
      <c r="A133" s="359"/>
      <c r="B133" s="674" t="str">
        <f>Translate!$E$55</f>
        <v>Signature bonus</v>
      </c>
      <c r="C133" s="387"/>
      <c r="D133" s="388"/>
      <c r="E133" s="18"/>
      <c r="F133" s="359"/>
      <c r="G133" s="359"/>
      <c r="H133" s="359"/>
      <c r="I133" s="359"/>
      <c r="J133" s="359"/>
      <c r="K133" s="359"/>
      <c r="L133" s="359"/>
      <c r="M133" s="359"/>
      <c r="N133" s="359"/>
      <c r="O133" s="359"/>
      <c r="P133" s="359"/>
      <c r="Q133" s="359"/>
      <c r="R133" s="359"/>
      <c r="S133" s="359"/>
      <c r="T133" s="359"/>
      <c r="U133" s="359"/>
      <c r="V133" s="359"/>
      <c r="W133" s="359"/>
      <c r="X133" s="359"/>
      <c r="Y133" s="359"/>
      <c r="Z133" s="359"/>
      <c r="AA133" s="359"/>
      <c r="AB133" s="359"/>
      <c r="AC133" s="359"/>
      <c r="AD133" s="359"/>
      <c r="AE133" s="359"/>
      <c r="AF133" s="359"/>
      <c r="AG133" s="359"/>
      <c r="AH133" s="359"/>
      <c r="AI133" s="359"/>
      <c r="AJ133" s="359"/>
      <c r="AK133" s="359"/>
      <c r="AL133" s="359"/>
      <c r="AM133" s="359"/>
      <c r="AN133" s="359"/>
      <c r="AO133" s="359"/>
      <c r="AP133" s="359"/>
      <c r="AQ133" s="359"/>
      <c r="AR133" s="359"/>
      <c r="AS133" s="359"/>
      <c r="AT133" s="359"/>
      <c r="AU133" s="359"/>
      <c r="AV133" s="359"/>
      <c r="AW133" s="359"/>
      <c r="AX133" s="359"/>
    </row>
    <row r="134" spans="1:50" s="260" customFormat="1" ht="15" customHeight="1">
      <c r="A134" s="359"/>
      <c r="B134" s="674"/>
      <c r="C134" s="387"/>
      <c r="D134" s="388"/>
      <c r="E134" s="367" t="str">
        <f xml:space="preserve"> FiscalModel!E$16</f>
        <v>Signature bonus (first period of activity)</v>
      </c>
      <c r="F134" s="367">
        <f xml:space="preserve"> FiscalModel!F$16</f>
        <v>0</v>
      </c>
      <c r="G134" s="367" t="str">
        <f xml:space="preserve"> FiscalModel!G$16</f>
        <v>US$ mn</v>
      </c>
      <c r="H134" s="359"/>
      <c r="I134" s="359"/>
      <c r="J134" s="359"/>
      <c r="K134" s="359"/>
      <c r="L134" s="359"/>
      <c r="M134" s="359"/>
      <c r="N134" s="359"/>
      <c r="O134" s="359"/>
      <c r="P134" s="359"/>
      <c r="Q134" s="359"/>
      <c r="R134" s="359"/>
      <c r="S134" s="359"/>
      <c r="T134" s="359"/>
      <c r="U134" s="359"/>
      <c r="V134" s="359"/>
      <c r="W134" s="359"/>
      <c r="X134" s="359"/>
      <c r="Y134" s="359"/>
      <c r="Z134" s="359"/>
      <c r="AA134" s="359"/>
      <c r="AB134" s="359"/>
      <c r="AC134" s="359"/>
      <c r="AD134" s="359"/>
      <c r="AE134" s="359"/>
      <c r="AF134" s="359"/>
      <c r="AG134" s="359"/>
      <c r="AH134" s="359"/>
      <c r="AI134" s="359"/>
      <c r="AJ134" s="359"/>
      <c r="AK134" s="359"/>
      <c r="AL134" s="359"/>
      <c r="AM134" s="359"/>
      <c r="AN134" s="359"/>
      <c r="AO134" s="359"/>
      <c r="AP134" s="359"/>
      <c r="AQ134" s="359"/>
      <c r="AR134" s="359"/>
      <c r="AS134" s="359"/>
      <c r="AT134" s="359"/>
      <c r="AU134" s="359"/>
      <c r="AV134" s="359"/>
      <c r="AW134" s="359"/>
      <c r="AX134" s="359"/>
    </row>
    <row r="135" spans="1:50" s="219" customFormat="1" ht="15" customHeight="1">
      <c r="A135" s="366"/>
      <c r="B135" s="688"/>
      <c r="C135" s="389"/>
      <c r="D135" s="366"/>
      <c r="E135" s="366" t="str">
        <f xml:space="preserve"> ProjectCashflows!E$185</f>
        <v>Cumulative project activity</v>
      </c>
      <c r="F135" s="366">
        <f xml:space="preserve"> ProjectCashflows!F$185</f>
        <v>0</v>
      </c>
      <c r="G135" s="366" t="str">
        <f xml:space="preserve"> ProjectCashflows!G$185</f>
        <v>Years</v>
      </c>
      <c r="H135" s="366">
        <f xml:space="preserve"> ProjectCashflows!H$185</f>
        <v>0</v>
      </c>
      <c r="I135" s="366">
        <f xml:space="preserve"> ProjectCashflows!I$185</f>
        <v>0</v>
      </c>
      <c r="J135" s="366">
        <f xml:space="preserve"> ProjectCashflows!J$185</f>
        <v>0</v>
      </c>
      <c r="K135" s="366">
        <f ca="1" xml:space="preserve"> ProjectCashflows!K$185</f>
        <v>1</v>
      </c>
      <c r="L135" s="366">
        <f ca="1" xml:space="preserve"> ProjectCashflows!L$185</f>
        <v>2</v>
      </c>
      <c r="M135" s="366">
        <f ca="1" xml:space="preserve"> ProjectCashflows!M$185</f>
        <v>3</v>
      </c>
      <c r="N135" s="366">
        <f ca="1" xml:space="preserve"> ProjectCashflows!N$185</f>
        <v>4</v>
      </c>
      <c r="O135" s="366">
        <f ca="1" xml:space="preserve"> ProjectCashflows!O$185</f>
        <v>5</v>
      </c>
      <c r="P135" s="366">
        <f ca="1" xml:space="preserve"> ProjectCashflows!P$185</f>
        <v>6</v>
      </c>
      <c r="Q135" s="366">
        <f ca="1" xml:space="preserve"> ProjectCashflows!Q$185</f>
        <v>7</v>
      </c>
      <c r="R135" s="366">
        <f ca="1" xml:space="preserve"> ProjectCashflows!R$185</f>
        <v>8</v>
      </c>
      <c r="S135" s="366">
        <f ca="1" xml:space="preserve"> ProjectCashflows!S$185</f>
        <v>9</v>
      </c>
      <c r="T135" s="366">
        <f ca="1" xml:space="preserve"> ProjectCashflows!T$185</f>
        <v>10</v>
      </c>
      <c r="U135" s="366">
        <f ca="1" xml:space="preserve"> ProjectCashflows!U$185</f>
        <v>11</v>
      </c>
      <c r="V135" s="366">
        <f ca="1" xml:space="preserve"> ProjectCashflows!V$185</f>
        <v>12</v>
      </c>
      <c r="W135" s="366">
        <f ca="1" xml:space="preserve"> ProjectCashflows!W$185</f>
        <v>13</v>
      </c>
      <c r="X135" s="366">
        <f ca="1" xml:space="preserve"> ProjectCashflows!X$185</f>
        <v>14</v>
      </c>
      <c r="Y135" s="366">
        <f ca="1" xml:space="preserve"> ProjectCashflows!Y$185</f>
        <v>15</v>
      </c>
      <c r="Z135" s="366">
        <f ca="1" xml:space="preserve"> ProjectCashflows!Z$185</f>
        <v>16</v>
      </c>
      <c r="AA135" s="366">
        <f ca="1" xml:space="preserve"> ProjectCashflows!AA$185</f>
        <v>17</v>
      </c>
      <c r="AB135" s="366">
        <f ca="1" xml:space="preserve"> ProjectCashflows!AB$185</f>
        <v>18</v>
      </c>
      <c r="AC135" s="366">
        <f ca="1" xml:space="preserve"> ProjectCashflows!AC$185</f>
        <v>19</v>
      </c>
      <c r="AD135" s="366">
        <f ca="1" xml:space="preserve"> ProjectCashflows!AD$185</f>
        <v>20</v>
      </c>
      <c r="AE135" s="366">
        <f ca="1" xml:space="preserve"> ProjectCashflows!AE$185</f>
        <v>21</v>
      </c>
      <c r="AF135" s="366">
        <f ca="1" xml:space="preserve"> ProjectCashflows!AF$185</f>
        <v>22</v>
      </c>
      <c r="AG135" s="366">
        <f ca="1" xml:space="preserve"> ProjectCashflows!AG$185</f>
        <v>0</v>
      </c>
      <c r="AH135" s="366">
        <f ca="1" xml:space="preserve"> ProjectCashflows!AH$185</f>
        <v>0</v>
      </c>
      <c r="AI135" s="366">
        <f ca="1" xml:space="preserve"> ProjectCashflows!AI$185</f>
        <v>0</v>
      </c>
      <c r="AJ135" s="366">
        <f ca="1" xml:space="preserve"> ProjectCashflows!AJ$185</f>
        <v>0</v>
      </c>
      <c r="AK135" s="366">
        <f ca="1" xml:space="preserve"> ProjectCashflows!AK$185</f>
        <v>0</v>
      </c>
      <c r="AL135" s="366">
        <f ca="1" xml:space="preserve"> ProjectCashflows!AL$185</f>
        <v>0</v>
      </c>
      <c r="AM135" s="366">
        <f ca="1" xml:space="preserve"> ProjectCashflows!AM$185</f>
        <v>0</v>
      </c>
      <c r="AN135" s="366">
        <f ca="1" xml:space="preserve"> ProjectCashflows!AN$185</f>
        <v>0</v>
      </c>
      <c r="AO135" s="366">
        <f ca="1" xml:space="preserve"> ProjectCashflows!AO$185</f>
        <v>0</v>
      </c>
      <c r="AP135" s="366">
        <f ca="1" xml:space="preserve"> ProjectCashflows!AP$185</f>
        <v>0</v>
      </c>
      <c r="AQ135" s="366">
        <f ca="1" xml:space="preserve"> ProjectCashflows!AQ$185</f>
        <v>0</v>
      </c>
      <c r="AR135" s="366">
        <f ca="1" xml:space="preserve"> ProjectCashflows!AR$185</f>
        <v>0</v>
      </c>
      <c r="AS135" s="366">
        <f ca="1" xml:space="preserve"> ProjectCashflows!AS$185</f>
        <v>0</v>
      </c>
      <c r="AT135" s="366">
        <f ca="1" xml:space="preserve"> ProjectCashflows!AT$185</f>
        <v>0</v>
      </c>
      <c r="AU135" s="366">
        <f ca="1" xml:space="preserve"> ProjectCashflows!AU$185</f>
        <v>0</v>
      </c>
      <c r="AV135" s="366">
        <f ca="1" xml:space="preserve"> ProjectCashflows!AV$185</f>
        <v>0</v>
      </c>
      <c r="AW135" s="366">
        <f ca="1" xml:space="preserve"> ProjectCashflows!AW$185</f>
        <v>0</v>
      </c>
      <c r="AX135" s="366">
        <f ca="1" xml:space="preserve"> ProjectCashflows!AX$185</f>
        <v>0</v>
      </c>
    </row>
    <row r="136" spans="1:50" s="567" customFormat="1" ht="15" customHeight="1">
      <c r="A136" s="564"/>
      <c r="B136" s="693"/>
      <c r="C136" s="565"/>
      <c r="D136" s="1078"/>
      <c r="E136" s="1078" t="str">
        <f>Translate!$E$55</f>
        <v>Signature bonus</v>
      </c>
      <c r="F136" s="1078"/>
      <c r="G136" s="566" t="str">
        <f xml:space="preserve"> Translate!E$10</f>
        <v>US$ mn</v>
      </c>
      <c r="H136" s="566"/>
      <c r="I136" s="1078">
        <f ca="1" xml:space="preserve"> SUM(K136:AX136)</f>
        <v>0</v>
      </c>
      <c r="J136" s="1078"/>
      <c r="K136" s="1078">
        <f t="shared" ref="K136:AX136" ca="1" si="22" xml:space="preserve"> $F134 * ( K135 = 1)</f>
        <v>0</v>
      </c>
      <c r="L136" s="1078">
        <f t="shared" ca="1" si="22"/>
        <v>0</v>
      </c>
      <c r="M136" s="1078">
        <f t="shared" ca="1" si="22"/>
        <v>0</v>
      </c>
      <c r="N136" s="1078">
        <f t="shared" ca="1" si="22"/>
        <v>0</v>
      </c>
      <c r="O136" s="1078">
        <f t="shared" ca="1" si="22"/>
        <v>0</v>
      </c>
      <c r="P136" s="1078">
        <f t="shared" ca="1" si="22"/>
        <v>0</v>
      </c>
      <c r="Q136" s="1078">
        <f t="shared" ca="1" si="22"/>
        <v>0</v>
      </c>
      <c r="R136" s="1078">
        <f t="shared" ca="1" si="22"/>
        <v>0</v>
      </c>
      <c r="S136" s="1078">
        <f t="shared" ca="1" si="22"/>
        <v>0</v>
      </c>
      <c r="T136" s="1078">
        <f t="shared" ca="1" si="22"/>
        <v>0</v>
      </c>
      <c r="U136" s="1078">
        <f t="shared" ca="1" si="22"/>
        <v>0</v>
      </c>
      <c r="V136" s="1078">
        <f t="shared" ca="1" si="22"/>
        <v>0</v>
      </c>
      <c r="W136" s="1078">
        <f t="shared" ca="1" si="22"/>
        <v>0</v>
      </c>
      <c r="X136" s="1078">
        <f t="shared" ca="1" si="22"/>
        <v>0</v>
      </c>
      <c r="Y136" s="1078">
        <f t="shared" ca="1" si="22"/>
        <v>0</v>
      </c>
      <c r="Z136" s="1078">
        <f t="shared" ca="1" si="22"/>
        <v>0</v>
      </c>
      <c r="AA136" s="1078">
        <f t="shared" ca="1" si="22"/>
        <v>0</v>
      </c>
      <c r="AB136" s="1078">
        <f t="shared" ca="1" si="22"/>
        <v>0</v>
      </c>
      <c r="AC136" s="1078">
        <f t="shared" ca="1" si="22"/>
        <v>0</v>
      </c>
      <c r="AD136" s="1078">
        <f t="shared" ca="1" si="22"/>
        <v>0</v>
      </c>
      <c r="AE136" s="1078">
        <f t="shared" ca="1" si="22"/>
        <v>0</v>
      </c>
      <c r="AF136" s="1078">
        <f t="shared" ca="1" si="22"/>
        <v>0</v>
      </c>
      <c r="AG136" s="1078">
        <f t="shared" ca="1" si="22"/>
        <v>0</v>
      </c>
      <c r="AH136" s="1078">
        <f t="shared" ca="1" si="22"/>
        <v>0</v>
      </c>
      <c r="AI136" s="1078">
        <f t="shared" ca="1" si="22"/>
        <v>0</v>
      </c>
      <c r="AJ136" s="1078">
        <f t="shared" ca="1" si="22"/>
        <v>0</v>
      </c>
      <c r="AK136" s="1078">
        <f t="shared" ca="1" si="22"/>
        <v>0</v>
      </c>
      <c r="AL136" s="1078">
        <f t="shared" ca="1" si="22"/>
        <v>0</v>
      </c>
      <c r="AM136" s="1078">
        <f t="shared" ca="1" si="22"/>
        <v>0</v>
      </c>
      <c r="AN136" s="1078">
        <f t="shared" ca="1" si="22"/>
        <v>0</v>
      </c>
      <c r="AO136" s="1078">
        <f t="shared" ca="1" si="22"/>
        <v>0</v>
      </c>
      <c r="AP136" s="1078">
        <f t="shared" ca="1" si="22"/>
        <v>0</v>
      </c>
      <c r="AQ136" s="1078">
        <f t="shared" ca="1" si="22"/>
        <v>0</v>
      </c>
      <c r="AR136" s="1078">
        <f t="shared" ca="1" si="22"/>
        <v>0</v>
      </c>
      <c r="AS136" s="1078">
        <f t="shared" ca="1" si="22"/>
        <v>0</v>
      </c>
      <c r="AT136" s="1078">
        <f t="shared" ca="1" si="22"/>
        <v>0</v>
      </c>
      <c r="AU136" s="1078">
        <f t="shared" ca="1" si="22"/>
        <v>0</v>
      </c>
      <c r="AV136" s="1078">
        <f t="shared" ca="1" si="22"/>
        <v>0</v>
      </c>
      <c r="AW136" s="1078">
        <f t="shared" ca="1" si="22"/>
        <v>0</v>
      </c>
      <c r="AX136" s="1078">
        <f t="shared" ca="1" si="22"/>
        <v>0</v>
      </c>
    </row>
    <row r="137" spans="1:50" ht="15" customHeight="1">
      <c r="A137" s="347"/>
      <c r="B137" s="643"/>
      <c r="C137" s="333"/>
      <c r="D137" s="1097"/>
      <c r="E137" s="1036"/>
      <c r="F137" s="332"/>
      <c r="G137" s="1049"/>
      <c r="H137" s="1049"/>
      <c r="I137" s="1097"/>
      <c r="J137" s="1049"/>
      <c r="K137" s="1049"/>
      <c r="L137" s="1049"/>
      <c r="M137" s="1049"/>
      <c r="N137" s="1049"/>
      <c r="O137" s="1049"/>
      <c r="P137" s="1049"/>
      <c r="Q137" s="1049"/>
      <c r="R137" s="1049"/>
      <c r="S137" s="1049"/>
      <c r="T137" s="1049"/>
      <c r="U137" s="1049"/>
      <c r="V137" s="1049"/>
      <c r="W137" s="1049"/>
      <c r="X137" s="1049"/>
      <c r="Y137" s="1049"/>
      <c r="Z137" s="1049"/>
      <c r="AA137" s="1049"/>
      <c r="AB137" s="1049"/>
      <c r="AC137" s="1049"/>
      <c r="AD137" s="1049"/>
      <c r="AE137" s="1049"/>
      <c r="AF137" s="1049"/>
      <c r="AG137" s="1049"/>
      <c r="AH137" s="1049"/>
      <c r="AI137" s="1049"/>
      <c r="AJ137" s="1049"/>
      <c r="AK137" s="1049"/>
      <c r="AL137" s="1049"/>
      <c r="AM137" s="1049"/>
      <c r="AN137" s="1049"/>
      <c r="AO137" s="1049"/>
      <c r="AP137" s="1049"/>
      <c r="AQ137" s="1049"/>
      <c r="AR137" s="1049"/>
      <c r="AS137" s="1049"/>
      <c r="AT137" s="1049"/>
      <c r="AU137" s="1049"/>
      <c r="AV137" s="1049"/>
      <c r="AW137" s="1049"/>
      <c r="AX137" s="1049"/>
    </row>
    <row r="138" spans="1:50" ht="15" customHeight="1">
      <c r="A138" s="351" t="str">
        <f>Translate!$E$25</f>
        <v>Royalty</v>
      </c>
      <c r="B138" s="686"/>
      <c r="C138" s="352"/>
      <c r="D138" s="353"/>
      <c r="E138" s="3"/>
      <c r="F138" s="351"/>
      <c r="G138" s="351"/>
      <c r="H138" s="351"/>
      <c r="I138" s="351"/>
      <c r="J138" s="351"/>
      <c r="K138" s="351"/>
      <c r="L138" s="351"/>
      <c r="M138" s="351"/>
      <c r="N138" s="351"/>
      <c r="O138" s="351"/>
      <c r="P138" s="351"/>
      <c r="Q138" s="351"/>
      <c r="R138" s="351"/>
      <c r="S138" s="351"/>
      <c r="T138" s="351"/>
      <c r="U138" s="351"/>
      <c r="V138" s="351"/>
      <c r="W138" s="351"/>
      <c r="X138" s="351"/>
      <c r="Y138" s="351"/>
      <c r="Z138" s="351"/>
      <c r="AA138" s="351"/>
      <c r="AB138" s="351"/>
      <c r="AC138" s="351"/>
      <c r="AD138" s="351"/>
      <c r="AE138" s="351"/>
      <c r="AF138" s="351"/>
      <c r="AG138" s="351"/>
      <c r="AH138" s="351"/>
      <c r="AI138" s="351"/>
      <c r="AJ138" s="351"/>
      <c r="AK138" s="351"/>
      <c r="AL138" s="351"/>
      <c r="AM138" s="351"/>
      <c r="AN138" s="351"/>
      <c r="AO138" s="351"/>
      <c r="AP138" s="351"/>
      <c r="AQ138" s="351"/>
      <c r="AR138" s="351"/>
      <c r="AS138" s="351"/>
      <c r="AT138" s="351"/>
      <c r="AU138" s="351"/>
      <c r="AV138" s="351"/>
      <c r="AW138" s="351"/>
      <c r="AX138" s="351"/>
    </row>
    <row r="139" spans="1:50" s="221" customFormat="1" ht="15" customHeight="1">
      <c r="A139" s="371"/>
      <c r="B139" s="643"/>
      <c r="C139" s="363"/>
      <c r="D139" s="365"/>
      <c r="E139" s="366"/>
      <c r="F139" s="366"/>
      <c r="G139" s="366"/>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row>
    <row r="140" spans="1:50" s="221" customFormat="1" ht="15" customHeight="1">
      <c r="A140" s="371"/>
      <c r="B140" s="643" t="str">
        <f>Translate!$E$56</f>
        <v>Base for royalty</v>
      </c>
      <c r="C140" s="363"/>
      <c r="D140" s="365"/>
      <c r="E140" s="366"/>
      <c r="F140" s="366"/>
      <c r="G140" s="366"/>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row>
    <row r="141" spans="1:50" s="221" customFormat="1" ht="15" customHeight="1">
      <c r="A141" s="371"/>
      <c r="B141" s="643"/>
      <c r="C141" s="363"/>
      <c r="D141" s="365"/>
      <c r="E141" s="366" t="str">
        <f xml:space="preserve"> ProjectCashflows!E$234</f>
        <v>Sales revenues: gross, after ELT</v>
      </c>
      <c r="F141" s="366">
        <f xml:space="preserve"> ProjectCashflows!F$234</f>
        <v>0</v>
      </c>
      <c r="G141" s="366" t="str">
        <f xml:space="preserve"> ProjectCashflows!G$234</f>
        <v>US$ mn</v>
      </c>
      <c r="H141" s="366">
        <f xml:space="preserve"> ProjectCashflows!H$234</f>
        <v>0</v>
      </c>
      <c r="I141" s="366">
        <f ca="1" xml:space="preserve"> ProjectCashflows!I$234</f>
        <v>3796.5539177649084</v>
      </c>
      <c r="J141" s="366">
        <f xml:space="preserve"> ProjectCashflows!J$234</f>
        <v>0</v>
      </c>
      <c r="K141" s="366">
        <f ca="1" xml:space="preserve"> ProjectCashflows!K$234</f>
        <v>0</v>
      </c>
      <c r="L141" s="366">
        <f ca="1" xml:space="preserve"> ProjectCashflows!L$234</f>
        <v>0</v>
      </c>
      <c r="M141" s="366">
        <f ca="1" xml:space="preserve"> ProjectCashflows!M$234</f>
        <v>0</v>
      </c>
      <c r="N141" s="366">
        <f ca="1" xml:space="preserve"> ProjectCashflows!N$234</f>
        <v>0</v>
      </c>
      <c r="O141" s="366">
        <f ca="1" xml:space="preserve"> ProjectCashflows!O$234</f>
        <v>16.2364824</v>
      </c>
      <c r="P141" s="366">
        <f ca="1" xml:space="preserve"> ProjectCashflows!P$234</f>
        <v>124.20909036</v>
      </c>
      <c r="Q141" s="366">
        <f ca="1" xml:space="preserve"> ProjectCashflows!Q$234</f>
        <v>253.38654433440001</v>
      </c>
      <c r="R141" s="366">
        <f ca="1" xml:space="preserve"> ProjectCashflows!R$234</f>
        <v>258.45427522108798</v>
      </c>
      <c r="S141" s="366">
        <f ca="1" xml:space="preserve"> ProjectCashflows!S$234</f>
        <v>263.62336072550977</v>
      </c>
      <c r="T141" s="366">
        <f ca="1" xml:space="preserve"> ProjectCashflows!T$234</f>
        <v>268.89582794002001</v>
      </c>
      <c r="U141" s="366">
        <f ca="1" xml:space="preserve"> ProjectCashflows!U$234</f>
        <v>274.27374449882041</v>
      </c>
      <c r="V141" s="366">
        <f ca="1" xml:space="preserve"> ProjectCashflows!V$234</f>
        <v>279.75921938879679</v>
      </c>
      <c r="W141" s="366">
        <f ca="1" xml:space="preserve"> ProjectCashflows!W$234</f>
        <v>285.35440377657272</v>
      </c>
      <c r="X141" s="366">
        <f ca="1" xml:space="preserve"> ProjectCashflows!X$234</f>
        <v>291.06149185210415</v>
      </c>
      <c r="Y141" s="366">
        <f ca="1" xml:space="preserve"> ProjectCashflows!Y$234</f>
        <v>296.88272168914631</v>
      </c>
      <c r="Z141" s="366">
        <f ca="1" xml:space="preserve"> ProjectCashflows!Z$234</f>
        <v>302.82037612292925</v>
      </c>
      <c r="AA141" s="366">
        <f ca="1" xml:space="preserve"> ProjectCashflows!AA$234</f>
        <v>257.39731970448986</v>
      </c>
      <c r="AB141" s="366">
        <f ca="1" xml:space="preserve"> ProjectCashflows!AB$234</f>
        <v>210.03621287886372</v>
      </c>
      <c r="AC141" s="366">
        <f ca="1" xml:space="preserve"> ProjectCashflows!AC$234</f>
        <v>160.67770285233075</v>
      </c>
      <c r="AD141" s="366">
        <f ca="1" xml:space="preserve"> ProjectCashflows!AD$234</f>
        <v>142.03908932146038</v>
      </c>
      <c r="AE141" s="366">
        <f ca="1" xml:space="preserve"> ProjectCashflows!AE$234</f>
        <v>111.44605469837661</v>
      </c>
      <c r="AF141" s="366">
        <f ca="1" xml:space="preserve"> ProjectCashflows!AF$234</f>
        <v>0</v>
      </c>
      <c r="AG141" s="366">
        <f ca="1" xml:space="preserve"> ProjectCashflows!AG$234</f>
        <v>0</v>
      </c>
      <c r="AH141" s="366">
        <f ca="1" xml:space="preserve"> ProjectCashflows!AH$234</f>
        <v>0</v>
      </c>
      <c r="AI141" s="366">
        <f ca="1" xml:space="preserve"> ProjectCashflows!AI$234</f>
        <v>0</v>
      </c>
      <c r="AJ141" s="366">
        <f ca="1" xml:space="preserve"> ProjectCashflows!AJ$234</f>
        <v>0</v>
      </c>
      <c r="AK141" s="366">
        <f ca="1" xml:space="preserve"> ProjectCashflows!AK$234</f>
        <v>0</v>
      </c>
      <c r="AL141" s="366">
        <f ca="1" xml:space="preserve"> ProjectCashflows!AL$234</f>
        <v>0</v>
      </c>
      <c r="AM141" s="366">
        <f ca="1" xml:space="preserve"> ProjectCashflows!AM$234</f>
        <v>0</v>
      </c>
      <c r="AN141" s="366">
        <f ca="1" xml:space="preserve"> ProjectCashflows!AN$234</f>
        <v>0</v>
      </c>
      <c r="AO141" s="366">
        <f ca="1" xml:space="preserve"> ProjectCashflows!AO$234</f>
        <v>0</v>
      </c>
      <c r="AP141" s="366">
        <f ca="1" xml:space="preserve"> ProjectCashflows!AP$234</f>
        <v>0</v>
      </c>
      <c r="AQ141" s="366">
        <f ca="1" xml:space="preserve"> ProjectCashflows!AQ$234</f>
        <v>0</v>
      </c>
      <c r="AR141" s="366">
        <f ca="1" xml:space="preserve"> ProjectCashflows!AR$234</f>
        <v>0</v>
      </c>
      <c r="AS141" s="366">
        <f ca="1" xml:space="preserve"> ProjectCashflows!AS$234</f>
        <v>0</v>
      </c>
      <c r="AT141" s="366">
        <f ca="1" xml:space="preserve"> ProjectCashflows!AT$234</f>
        <v>0</v>
      </c>
      <c r="AU141" s="366">
        <f ca="1" xml:space="preserve"> ProjectCashflows!AU$234</f>
        <v>0</v>
      </c>
      <c r="AV141" s="366">
        <f ca="1" xml:space="preserve"> ProjectCashflows!AV$234</f>
        <v>0</v>
      </c>
      <c r="AW141" s="366">
        <f ca="1" xml:space="preserve"> ProjectCashflows!AW$234</f>
        <v>0</v>
      </c>
      <c r="AX141" s="366">
        <f ca="1" xml:space="preserve"> ProjectCashflows!AX$234</f>
        <v>0</v>
      </c>
    </row>
    <row r="142" spans="1:50" s="221" customFormat="1" ht="15" customHeight="1">
      <c r="A142" s="371"/>
      <c r="B142" s="643"/>
      <c r="C142" s="363"/>
      <c r="D142" s="365"/>
      <c r="E142" s="366" t="str">
        <f xml:space="preserve"> ProjectCashflows!E$236</f>
        <v>Sales revenues: net, after ELT</v>
      </c>
      <c r="F142" s="366">
        <f xml:space="preserve"> ProjectCashflows!F$236</f>
        <v>0</v>
      </c>
      <c r="G142" s="366" t="str">
        <f xml:space="preserve"> ProjectCashflows!G$236</f>
        <v>US$ mn</v>
      </c>
      <c r="H142" s="366">
        <f xml:space="preserve"> ProjectCashflows!H$236</f>
        <v>0</v>
      </c>
      <c r="I142" s="366">
        <f ca="1" xml:space="preserve"> ProjectCashflows!I$236</f>
        <v>3733.2780191354932</v>
      </c>
      <c r="J142" s="366">
        <f xml:space="preserve"> ProjectCashflows!J$236</f>
        <v>0</v>
      </c>
      <c r="K142" s="366">
        <f ca="1" xml:space="preserve"> ProjectCashflows!K$236</f>
        <v>0</v>
      </c>
      <c r="L142" s="366">
        <f ca="1" xml:space="preserve"> ProjectCashflows!L$236</f>
        <v>0</v>
      </c>
      <c r="M142" s="366">
        <f ca="1" xml:space="preserve"> ProjectCashflows!M$236</f>
        <v>0</v>
      </c>
      <c r="N142" s="366">
        <f ca="1" xml:space="preserve"> ProjectCashflows!N$236</f>
        <v>0</v>
      </c>
      <c r="O142" s="366">
        <f ca="1" xml:space="preserve"> ProjectCashflows!O$236</f>
        <v>15.965874359999999</v>
      </c>
      <c r="P142" s="366">
        <f ca="1" xml:space="preserve"> ProjectCashflows!P$236</f>
        <v>122.138938854</v>
      </c>
      <c r="Q142" s="366">
        <f ca="1" xml:space="preserve"> ProjectCashflows!Q$236</f>
        <v>249.16343526216002</v>
      </c>
      <c r="R142" s="366">
        <f ca="1" xml:space="preserve"> ProjectCashflows!R$236</f>
        <v>254.14670396740317</v>
      </c>
      <c r="S142" s="366">
        <f ca="1" xml:space="preserve"> ProjectCashflows!S$236</f>
        <v>259.22963804675129</v>
      </c>
      <c r="T142" s="366">
        <f ca="1" xml:space="preserve"> ProjectCashflows!T$236</f>
        <v>264.41423080768635</v>
      </c>
      <c r="U142" s="366">
        <f ca="1" xml:space="preserve"> ProjectCashflows!U$236</f>
        <v>269.70251542384005</v>
      </c>
      <c r="V142" s="366">
        <f ca="1" xml:space="preserve"> ProjectCashflows!V$236</f>
        <v>275.09656573231683</v>
      </c>
      <c r="W142" s="366">
        <f ca="1" xml:space="preserve"> ProjectCashflows!W$236</f>
        <v>280.59849704696319</v>
      </c>
      <c r="X142" s="366">
        <f ca="1" xml:space="preserve"> ProjectCashflows!X$236</f>
        <v>286.21046698790241</v>
      </c>
      <c r="Y142" s="366">
        <f ca="1" xml:space="preserve"> ProjectCashflows!Y$236</f>
        <v>291.93467632766055</v>
      </c>
      <c r="Z142" s="366">
        <f ca="1" xml:space="preserve"> ProjectCashflows!Z$236</f>
        <v>297.77336985421374</v>
      </c>
      <c r="AA142" s="366">
        <f ca="1" xml:space="preserve"> ProjectCashflows!AA$236</f>
        <v>253.1073643760817</v>
      </c>
      <c r="AB142" s="366">
        <f ca="1" xml:space="preserve"> ProjectCashflows!AB$236</f>
        <v>206.53560933088266</v>
      </c>
      <c r="AC142" s="366">
        <f ca="1" xml:space="preserve"> ProjectCashflows!AC$236</f>
        <v>157.99974113812524</v>
      </c>
      <c r="AD142" s="366">
        <f ca="1" xml:space="preserve"> ProjectCashflows!AD$236</f>
        <v>139.6717711661027</v>
      </c>
      <c r="AE142" s="366">
        <f ca="1" xml:space="preserve"> ProjectCashflows!AE$236</f>
        <v>109.58862045340366</v>
      </c>
      <c r="AF142" s="366">
        <f ca="1" xml:space="preserve"> ProjectCashflows!AF$236</f>
        <v>0</v>
      </c>
      <c r="AG142" s="366">
        <f ca="1" xml:space="preserve"> ProjectCashflows!AG$236</f>
        <v>0</v>
      </c>
      <c r="AH142" s="366">
        <f ca="1" xml:space="preserve"> ProjectCashflows!AH$236</f>
        <v>0</v>
      </c>
      <c r="AI142" s="366">
        <f ca="1" xml:space="preserve"> ProjectCashflows!AI$236</f>
        <v>0</v>
      </c>
      <c r="AJ142" s="366">
        <f ca="1" xml:space="preserve"> ProjectCashflows!AJ$236</f>
        <v>0</v>
      </c>
      <c r="AK142" s="366">
        <f ca="1" xml:space="preserve"> ProjectCashflows!AK$236</f>
        <v>0</v>
      </c>
      <c r="AL142" s="366">
        <f ca="1" xml:space="preserve"> ProjectCashflows!AL$236</f>
        <v>0</v>
      </c>
      <c r="AM142" s="366">
        <f ca="1" xml:space="preserve"> ProjectCashflows!AM$236</f>
        <v>0</v>
      </c>
      <c r="AN142" s="366">
        <f ca="1" xml:space="preserve"> ProjectCashflows!AN$236</f>
        <v>0</v>
      </c>
      <c r="AO142" s="366">
        <f ca="1" xml:space="preserve"> ProjectCashflows!AO$236</f>
        <v>0</v>
      </c>
      <c r="AP142" s="366">
        <f ca="1" xml:space="preserve"> ProjectCashflows!AP$236</f>
        <v>0</v>
      </c>
      <c r="AQ142" s="366">
        <f ca="1" xml:space="preserve"> ProjectCashflows!AQ$236</f>
        <v>0</v>
      </c>
      <c r="AR142" s="366">
        <f ca="1" xml:space="preserve"> ProjectCashflows!AR$236</f>
        <v>0</v>
      </c>
      <c r="AS142" s="366">
        <f ca="1" xml:space="preserve"> ProjectCashflows!AS$236</f>
        <v>0</v>
      </c>
      <c r="AT142" s="366">
        <f ca="1" xml:space="preserve"> ProjectCashflows!AT$236</f>
        <v>0</v>
      </c>
      <c r="AU142" s="366">
        <f ca="1" xml:space="preserve"> ProjectCashflows!AU$236</f>
        <v>0</v>
      </c>
      <c r="AV142" s="366">
        <f ca="1" xml:space="preserve"> ProjectCashflows!AV$236</f>
        <v>0</v>
      </c>
      <c r="AW142" s="366">
        <f ca="1" xml:space="preserve"> ProjectCashflows!AW$236</f>
        <v>0</v>
      </c>
      <c r="AX142" s="366">
        <f ca="1" xml:space="preserve"> ProjectCashflows!AX$236</f>
        <v>0</v>
      </c>
    </row>
    <row r="143" spans="1:50" ht="15" customHeight="1">
      <c r="A143" s="347"/>
      <c r="B143" s="643"/>
      <c r="C143" s="333"/>
      <c r="D143" s="1112"/>
      <c r="E143" s="1024"/>
      <c r="F143" s="1059"/>
      <c r="G143" s="1059"/>
      <c r="H143" s="1059"/>
      <c r="I143" s="1059"/>
      <c r="J143" s="1059"/>
      <c r="K143" s="1059"/>
      <c r="L143" s="1059"/>
      <c r="M143" s="1059"/>
      <c r="N143" s="1059"/>
      <c r="O143" s="1059"/>
      <c r="P143" s="1059"/>
      <c r="Q143" s="1059"/>
      <c r="R143" s="1059"/>
      <c r="S143" s="1059"/>
      <c r="T143" s="1059"/>
      <c r="U143" s="1059"/>
      <c r="V143" s="1059"/>
      <c r="W143" s="1059"/>
      <c r="X143" s="1059"/>
      <c r="Y143" s="1059"/>
      <c r="Z143" s="1059"/>
      <c r="AA143" s="1059"/>
      <c r="AB143" s="1059"/>
      <c r="AC143" s="1059"/>
      <c r="AD143" s="1059"/>
      <c r="AE143" s="1059"/>
      <c r="AF143" s="1059"/>
      <c r="AG143" s="1059"/>
      <c r="AH143" s="1059"/>
      <c r="AI143" s="1059"/>
      <c r="AJ143" s="1059"/>
      <c r="AK143" s="1059"/>
      <c r="AL143" s="1059"/>
      <c r="AM143" s="1059"/>
      <c r="AN143" s="1059"/>
      <c r="AO143" s="1059"/>
      <c r="AP143" s="1059"/>
      <c r="AQ143" s="1059"/>
      <c r="AR143" s="1059"/>
      <c r="AS143" s="1059"/>
      <c r="AT143" s="1059"/>
      <c r="AU143" s="1059"/>
      <c r="AV143" s="1059"/>
      <c r="AW143" s="1059"/>
      <c r="AX143" s="1059"/>
    </row>
    <row r="144" spans="1:50" ht="15" customHeight="1">
      <c r="A144" s="347"/>
      <c r="B144" s="643"/>
      <c r="C144" s="333"/>
      <c r="D144" s="1112"/>
      <c r="E144" s="383" t="str">
        <f>FiscalModel!E$23</f>
        <v xml:space="preserve">Royalty base (gross or net revenues) </v>
      </c>
      <c r="F144" s="384" t="str">
        <f>FiscalModel!F$23</f>
        <v>net</v>
      </c>
      <c r="G144" s="385" t="str">
        <f>FiscalModel!G$23</f>
        <v>Option</v>
      </c>
      <c r="H144" s="1059"/>
      <c r="I144" s="1059"/>
      <c r="J144" s="1059"/>
      <c r="K144" s="1059"/>
      <c r="L144" s="1059"/>
      <c r="M144" s="1059"/>
      <c r="N144" s="1059"/>
      <c r="O144" s="1059"/>
      <c r="P144" s="1059"/>
      <c r="Q144" s="1059"/>
      <c r="R144" s="1059"/>
      <c r="S144" s="1059"/>
      <c r="T144" s="1059"/>
      <c r="U144" s="1059"/>
      <c r="V144" s="1059"/>
      <c r="W144" s="1059"/>
      <c r="X144" s="1059"/>
      <c r="Y144" s="1059"/>
      <c r="Z144" s="1059"/>
      <c r="AA144" s="1059"/>
      <c r="AB144" s="1059"/>
      <c r="AC144" s="1059"/>
      <c r="AD144" s="1059"/>
      <c r="AE144" s="1059"/>
      <c r="AF144" s="1059"/>
      <c r="AG144" s="1059"/>
      <c r="AH144" s="1059"/>
      <c r="AI144" s="1059"/>
      <c r="AJ144" s="1059"/>
      <c r="AK144" s="1059"/>
      <c r="AL144" s="1059"/>
      <c r="AM144" s="1059"/>
      <c r="AN144" s="1059"/>
      <c r="AO144" s="1059"/>
      <c r="AP144" s="1059"/>
      <c r="AQ144" s="1059"/>
      <c r="AR144" s="1059"/>
      <c r="AS144" s="1059"/>
      <c r="AT144" s="1059"/>
      <c r="AU144" s="1059"/>
      <c r="AV144" s="1059"/>
      <c r="AW144" s="1059"/>
      <c r="AX144" s="1059"/>
    </row>
    <row r="145" spans="1:50" ht="15" customHeight="1">
      <c r="A145" s="347"/>
      <c r="B145" s="643"/>
      <c r="C145" s="333"/>
      <c r="D145" s="1112"/>
      <c r="E145" s="366"/>
      <c r="F145" s="847" t="str">
        <f xml:space="preserve"> Translate!E$555</f>
        <v>gross</v>
      </c>
      <c r="G145" s="358" t="str">
        <f>Translate!$E$351</f>
        <v>Option</v>
      </c>
      <c r="H145" s="1059"/>
      <c r="I145" s="1059"/>
      <c r="J145" s="1059"/>
      <c r="K145" s="1059"/>
      <c r="L145" s="1059"/>
      <c r="M145" s="1059"/>
      <c r="N145" s="1059"/>
      <c r="O145" s="1059"/>
      <c r="P145" s="1059"/>
      <c r="Q145" s="1059"/>
      <c r="R145" s="1059"/>
      <c r="S145" s="1059"/>
      <c r="T145" s="1059"/>
      <c r="U145" s="1059"/>
      <c r="V145" s="1059"/>
      <c r="W145" s="1059"/>
      <c r="X145" s="1059"/>
      <c r="Y145" s="1059"/>
      <c r="Z145" s="1059"/>
      <c r="AA145" s="1059"/>
      <c r="AB145" s="1059"/>
      <c r="AC145" s="1059"/>
      <c r="AD145" s="1059"/>
      <c r="AE145" s="1059"/>
      <c r="AF145" s="1059"/>
      <c r="AG145" s="1059"/>
      <c r="AH145" s="1059"/>
      <c r="AI145" s="1059"/>
      <c r="AJ145" s="1059"/>
      <c r="AK145" s="1059"/>
      <c r="AL145" s="1059"/>
      <c r="AM145" s="1059"/>
      <c r="AN145" s="1059"/>
      <c r="AO145" s="1059"/>
      <c r="AP145" s="1059"/>
      <c r="AQ145" s="1059"/>
      <c r="AR145" s="1059"/>
      <c r="AS145" s="1059"/>
      <c r="AT145" s="1059"/>
      <c r="AU145" s="1059"/>
      <c r="AV145" s="1059"/>
      <c r="AW145" s="1059"/>
      <c r="AX145" s="1059"/>
    </row>
    <row r="146" spans="1:50" ht="15" customHeight="1">
      <c r="A146" s="347"/>
      <c r="B146" s="643"/>
      <c r="C146" s="333"/>
      <c r="D146" s="1112"/>
      <c r="E146" s="366"/>
      <c r="F146" s="847" t="str">
        <f xml:space="preserve"> Translate!E$556</f>
        <v>net</v>
      </c>
      <c r="G146" s="358" t="str">
        <f>Translate!$E$351</f>
        <v>Option</v>
      </c>
      <c r="H146" s="1059"/>
      <c r="I146" s="1059"/>
      <c r="J146" s="1059"/>
      <c r="K146" s="1059"/>
      <c r="L146" s="1059"/>
      <c r="M146" s="1059"/>
      <c r="N146" s="1059"/>
      <c r="O146" s="1059"/>
      <c r="P146" s="1059"/>
      <c r="Q146" s="1059"/>
      <c r="R146" s="1059"/>
      <c r="S146" s="1059"/>
      <c r="T146" s="1059"/>
      <c r="U146" s="1059"/>
      <c r="V146" s="1059"/>
      <c r="W146" s="1059"/>
      <c r="X146" s="1059"/>
      <c r="Y146" s="1059"/>
      <c r="Z146" s="1059"/>
      <c r="AA146" s="1059"/>
      <c r="AB146" s="1059"/>
      <c r="AC146" s="1059"/>
      <c r="AD146" s="1059"/>
      <c r="AE146" s="1059"/>
      <c r="AF146" s="1059"/>
      <c r="AG146" s="1059"/>
      <c r="AH146" s="1059"/>
      <c r="AI146" s="1059"/>
      <c r="AJ146" s="1059"/>
      <c r="AK146" s="1059"/>
      <c r="AL146" s="1059"/>
      <c r="AM146" s="1059"/>
      <c r="AN146" s="1059"/>
      <c r="AO146" s="1059"/>
      <c r="AP146" s="1059"/>
      <c r="AQ146" s="1059"/>
      <c r="AR146" s="1059"/>
      <c r="AS146" s="1059"/>
      <c r="AT146" s="1059"/>
      <c r="AU146" s="1059"/>
      <c r="AV146" s="1059"/>
      <c r="AW146" s="1059"/>
      <c r="AX146" s="1059"/>
    </row>
    <row r="147" spans="1:50" ht="15" customHeight="1">
      <c r="A147" s="347"/>
      <c r="B147" s="643"/>
      <c r="C147" s="333"/>
      <c r="D147" s="1112"/>
      <c r="E147" s="366"/>
      <c r="F147" s="1041"/>
      <c r="G147" s="358"/>
      <c r="H147" s="1059"/>
      <c r="I147" s="1059"/>
      <c r="J147" s="1059"/>
      <c r="K147" s="1059"/>
      <c r="L147" s="1059"/>
      <c r="M147" s="1059"/>
      <c r="N147" s="1059"/>
      <c r="O147" s="1059"/>
      <c r="P147" s="1059"/>
      <c r="Q147" s="1059"/>
      <c r="R147" s="1059"/>
      <c r="S147" s="1059"/>
      <c r="T147" s="1059"/>
      <c r="U147" s="1059"/>
      <c r="V147" s="1059"/>
      <c r="W147" s="1059"/>
      <c r="X147" s="1059"/>
      <c r="Y147" s="1059"/>
      <c r="Z147" s="1059"/>
      <c r="AA147" s="1059"/>
      <c r="AB147" s="1059"/>
      <c r="AC147" s="1059"/>
      <c r="AD147" s="1059"/>
      <c r="AE147" s="1059"/>
      <c r="AF147" s="1059"/>
      <c r="AG147" s="1059"/>
      <c r="AH147" s="1059"/>
      <c r="AI147" s="1059"/>
      <c r="AJ147" s="1059"/>
      <c r="AK147" s="1059"/>
      <c r="AL147" s="1059"/>
      <c r="AM147" s="1059"/>
      <c r="AN147" s="1059"/>
      <c r="AO147" s="1059"/>
      <c r="AP147" s="1059"/>
      <c r="AQ147" s="1059"/>
      <c r="AR147" s="1059"/>
      <c r="AS147" s="1059"/>
      <c r="AT147" s="1059"/>
      <c r="AU147" s="1059"/>
      <c r="AV147" s="1059"/>
      <c r="AW147" s="1059"/>
      <c r="AX147" s="1059"/>
    </row>
    <row r="148" spans="1:50" ht="15" customHeight="1">
      <c r="A148" s="347"/>
      <c r="B148" s="643"/>
      <c r="C148" s="333"/>
      <c r="D148" s="1112"/>
      <c r="E148" s="1024" t="str">
        <f>Translate!$E$471 &amp; ": " &amp; F144 &amp; " " &amp; Translate!$E$472</f>
        <v>Royalty base: net revenue</v>
      </c>
      <c r="F148" s="1059"/>
      <c r="G148" s="346" t="str">
        <f xml:space="preserve"> Translate!E$10</f>
        <v>US$ mn</v>
      </c>
      <c r="H148" s="346"/>
      <c r="I148" s="1112">
        <f ca="1" xml:space="preserve"> SUM(K148:AX148)</f>
        <v>3733.2780191354932</v>
      </c>
      <c r="J148" s="1059"/>
      <c r="K148" s="1048">
        <f t="shared" ref="K148:AX148" ca="1" si="23" xml:space="preserve"> IF($F144 = $F145, K141, K142)</f>
        <v>0</v>
      </c>
      <c r="L148" s="1048">
        <f t="shared" ca="1" si="23"/>
        <v>0</v>
      </c>
      <c r="M148" s="1048">
        <f t="shared" ca="1" si="23"/>
        <v>0</v>
      </c>
      <c r="N148" s="1048">
        <f t="shared" ca="1" si="23"/>
        <v>0</v>
      </c>
      <c r="O148" s="1048">
        <f t="shared" ca="1" si="23"/>
        <v>15.965874359999999</v>
      </c>
      <c r="P148" s="1048">
        <f t="shared" ca="1" si="23"/>
        <v>122.138938854</v>
      </c>
      <c r="Q148" s="1048">
        <f t="shared" ca="1" si="23"/>
        <v>249.16343526216002</v>
      </c>
      <c r="R148" s="1048">
        <f t="shared" ca="1" si="23"/>
        <v>254.14670396740317</v>
      </c>
      <c r="S148" s="1048">
        <f t="shared" ca="1" si="23"/>
        <v>259.22963804675129</v>
      </c>
      <c r="T148" s="1048">
        <f t="shared" ca="1" si="23"/>
        <v>264.41423080768635</v>
      </c>
      <c r="U148" s="1048">
        <f t="shared" ca="1" si="23"/>
        <v>269.70251542384005</v>
      </c>
      <c r="V148" s="1048">
        <f t="shared" ca="1" si="23"/>
        <v>275.09656573231683</v>
      </c>
      <c r="W148" s="1048">
        <f t="shared" ca="1" si="23"/>
        <v>280.59849704696319</v>
      </c>
      <c r="X148" s="1048">
        <f t="shared" ca="1" si="23"/>
        <v>286.21046698790241</v>
      </c>
      <c r="Y148" s="1048">
        <f t="shared" ca="1" si="23"/>
        <v>291.93467632766055</v>
      </c>
      <c r="Z148" s="1048">
        <f t="shared" ca="1" si="23"/>
        <v>297.77336985421374</v>
      </c>
      <c r="AA148" s="1048">
        <f t="shared" ca="1" si="23"/>
        <v>253.1073643760817</v>
      </c>
      <c r="AB148" s="1048">
        <f t="shared" ca="1" si="23"/>
        <v>206.53560933088266</v>
      </c>
      <c r="AC148" s="1048">
        <f t="shared" ca="1" si="23"/>
        <v>157.99974113812524</v>
      </c>
      <c r="AD148" s="1048">
        <f t="shared" ca="1" si="23"/>
        <v>139.6717711661027</v>
      </c>
      <c r="AE148" s="1048">
        <f t="shared" ca="1" si="23"/>
        <v>109.58862045340366</v>
      </c>
      <c r="AF148" s="1048">
        <f t="shared" ca="1" si="23"/>
        <v>0</v>
      </c>
      <c r="AG148" s="1048">
        <f t="shared" ca="1" si="23"/>
        <v>0</v>
      </c>
      <c r="AH148" s="1048">
        <f t="shared" ca="1" si="23"/>
        <v>0</v>
      </c>
      <c r="AI148" s="1048">
        <f t="shared" ca="1" si="23"/>
        <v>0</v>
      </c>
      <c r="AJ148" s="1048">
        <f t="shared" ca="1" si="23"/>
        <v>0</v>
      </c>
      <c r="AK148" s="1048">
        <f t="shared" ca="1" si="23"/>
        <v>0</v>
      </c>
      <c r="AL148" s="1048">
        <f t="shared" ca="1" si="23"/>
        <v>0</v>
      </c>
      <c r="AM148" s="1048">
        <f t="shared" ca="1" si="23"/>
        <v>0</v>
      </c>
      <c r="AN148" s="1048">
        <f t="shared" ca="1" si="23"/>
        <v>0</v>
      </c>
      <c r="AO148" s="1048">
        <f t="shared" ca="1" si="23"/>
        <v>0</v>
      </c>
      <c r="AP148" s="1048">
        <f t="shared" ca="1" si="23"/>
        <v>0</v>
      </c>
      <c r="AQ148" s="1048">
        <f t="shared" ca="1" si="23"/>
        <v>0</v>
      </c>
      <c r="AR148" s="1048">
        <f t="shared" ca="1" si="23"/>
        <v>0</v>
      </c>
      <c r="AS148" s="1048">
        <f t="shared" ca="1" si="23"/>
        <v>0</v>
      </c>
      <c r="AT148" s="1048">
        <f t="shared" ca="1" si="23"/>
        <v>0</v>
      </c>
      <c r="AU148" s="1048">
        <f t="shared" ca="1" si="23"/>
        <v>0</v>
      </c>
      <c r="AV148" s="1048">
        <f t="shared" ca="1" si="23"/>
        <v>0</v>
      </c>
      <c r="AW148" s="1048">
        <f t="shared" ca="1" si="23"/>
        <v>0</v>
      </c>
      <c r="AX148" s="1048">
        <f t="shared" ca="1" si="23"/>
        <v>0</v>
      </c>
    </row>
    <row r="149" spans="1:50" ht="15" customHeight="1">
      <c r="A149" s="347"/>
      <c r="B149" s="643"/>
      <c r="C149" s="333"/>
      <c r="D149" s="1112"/>
      <c r="E149" s="1024"/>
      <c r="F149" s="1059"/>
      <c r="G149" s="346"/>
      <c r="H149" s="346"/>
      <c r="I149" s="1112"/>
      <c r="J149" s="1059"/>
      <c r="K149" s="1048"/>
      <c r="L149" s="1048"/>
      <c r="M149" s="1048"/>
      <c r="N149" s="1048"/>
      <c r="O149" s="1048"/>
      <c r="P149" s="1048"/>
      <c r="Q149" s="1048"/>
      <c r="R149" s="1048"/>
      <c r="S149" s="1048"/>
      <c r="T149" s="1048"/>
      <c r="U149" s="1048"/>
      <c r="V149" s="1048"/>
      <c r="W149" s="1048"/>
      <c r="X149" s="1048"/>
      <c r="Y149" s="1048"/>
      <c r="Z149" s="1048"/>
      <c r="AA149" s="1048"/>
      <c r="AB149" s="1048"/>
      <c r="AC149" s="1048"/>
      <c r="AD149" s="1048"/>
      <c r="AE149" s="1048"/>
      <c r="AF149" s="1048"/>
      <c r="AG149" s="1048"/>
      <c r="AH149" s="1048"/>
      <c r="AI149" s="1048"/>
      <c r="AJ149" s="1048"/>
      <c r="AK149" s="1048"/>
      <c r="AL149" s="1048"/>
      <c r="AM149" s="1048"/>
      <c r="AN149" s="1048"/>
      <c r="AO149" s="1048"/>
      <c r="AP149" s="1048"/>
      <c r="AQ149" s="1048"/>
      <c r="AR149" s="1048"/>
      <c r="AS149" s="1048"/>
      <c r="AT149" s="1048"/>
      <c r="AU149" s="1048"/>
      <c r="AV149" s="1048"/>
      <c r="AW149" s="1048"/>
      <c r="AX149" s="1048"/>
    </row>
    <row r="150" spans="1:50" ht="15" customHeight="1">
      <c r="A150" s="347"/>
      <c r="B150" s="643" t="str">
        <f>Translate!$E$57</f>
        <v>Flat royalty</v>
      </c>
      <c r="C150" s="333"/>
      <c r="D150" s="1112"/>
      <c r="E150" s="366"/>
      <c r="F150" s="1041"/>
      <c r="G150" s="358"/>
      <c r="H150" s="1059"/>
      <c r="I150" s="1059"/>
      <c r="J150" s="1059"/>
      <c r="K150" s="1059"/>
      <c r="L150" s="1059"/>
      <c r="M150" s="1059"/>
      <c r="N150" s="1059"/>
      <c r="O150" s="1059"/>
      <c r="P150" s="1059"/>
      <c r="Q150" s="1059"/>
      <c r="R150" s="1059"/>
      <c r="S150" s="1059"/>
      <c r="T150" s="1059"/>
      <c r="U150" s="1059"/>
      <c r="V150" s="1059"/>
      <c r="W150" s="1059"/>
      <c r="X150" s="1059"/>
      <c r="Y150" s="1059"/>
      <c r="Z150" s="1059"/>
      <c r="AA150" s="1059"/>
      <c r="AB150" s="1059"/>
      <c r="AC150" s="1059"/>
      <c r="AD150" s="1059"/>
      <c r="AE150" s="1059"/>
      <c r="AF150" s="1059"/>
      <c r="AG150" s="1059"/>
      <c r="AH150" s="1059"/>
      <c r="AI150" s="1059"/>
      <c r="AJ150" s="1059"/>
      <c r="AK150" s="1059"/>
      <c r="AL150" s="1059"/>
      <c r="AM150" s="1059"/>
      <c r="AN150" s="1059"/>
      <c r="AO150" s="1059"/>
      <c r="AP150" s="1059"/>
      <c r="AQ150" s="1059"/>
      <c r="AR150" s="1059"/>
      <c r="AS150" s="1059"/>
      <c r="AT150" s="1059"/>
      <c r="AU150" s="1059"/>
      <c r="AV150" s="1059"/>
      <c r="AW150" s="1059"/>
      <c r="AX150" s="1059"/>
    </row>
    <row r="151" spans="1:50" s="478" customFormat="1" ht="15" customHeight="1">
      <c r="A151" s="519"/>
      <c r="B151" s="524"/>
      <c r="C151" s="520"/>
      <c r="D151" s="1079"/>
      <c r="E151" s="386" t="str">
        <f xml:space="preserve"> FiscalModel!E$19</f>
        <v>Royalty rate: flat</v>
      </c>
      <c r="F151" s="386">
        <f xml:space="preserve"> FiscalModel!F$19</f>
        <v>0.05</v>
      </c>
      <c r="G151" s="386" t="str">
        <f xml:space="preserve"> FiscalModel!G$19</f>
        <v>%</v>
      </c>
      <c r="H151" s="394"/>
      <c r="I151" s="1079"/>
      <c r="J151" s="1079"/>
      <c r="K151" s="1079"/>
      <c r="L151" s="1079"/>
      <c r="M151" s="1079"/>
      <c r="N151" s="1079"/>
      <c r="O151" s="1079"/>
      <c r="P151" s="1079"/>
      <c r="Q151" s="1079"/>
      <c r="R151" s="1079"/>
      <c r="S151" s="1079"/>
      <c r="T151" s="1079"/>
      <c r="U151" s="1079"/>
      <c r="V151" s="1079"/>
      <c r="W151" s="1079"/>
      <c r="X151" s="1079"/>
      <c r="Y151" s="1079"/>
      <c r="Z151" s="1079"/>
      <c r="AA151" s="1079"/>
      <c r="AB151" s="1079"/>
      <c r="AC151" s="1079"/>
      <c r="AD151" s="1079"/>
      <c r="AE151" s="1079"/>
      <c r="AF151" s="1079"/>
      <c r="AG151" s="1079"/>
      <c r="AH151" s="1079"/>
      <c r="AI151" s="1079"/>
      <c r="AJ151" s="1079"/>
      <c r="AK151" s="1079"/>
      <c r="AL151" s="1079"/>
      <c r="AM151" s="1079"/>
      <c r="AN151" s="1079"/>
      <c r="AO151" s="1079"/>
      <c r="AP151" s="1079"/>
      <c r="AQ151" s="1079"/>
      <c r="AR151" s="1079"/>
      <c r="AS151" s="1079"/>
      <c r="AT151" s="1079"/>
      <c r="AU151" s="1079"/>
      <c r="AV151" s="1079"/>
      <c r="AW151" s="1079"/>
      <c r="AX151" s="1079"/>
    </row>
    <row r="152" spans="1:50" s="221" customFormat="1" ht="15" customHeight="1">
      <c r="A152" s="219"/>
      <c r="B152" s="714"/>
      <c r="C152" s="411"/>
      <c r="D152" s="366"/>
      <c r="E152" s="366" t="str">
        <f xml:space="preserve"> ProjectCashflows!E$192</f>
        <v>Production years after ELT</v>
      </c>
      <c r="F152" s="366">
        <f xml:space="preserve"> ProjectCashflows!F$192</f>
        <v>0</v>
      </c>
      <c r="G152" s="366" t="str">
        <f xml:space="preserve"> ProjectCashflows!G$192</f>
        <v>Flag</v>
      </c>
      <c r="H152" s="366">
        <f xml:space="preserve"> ProjectCashflows!H$192</f>
        <v>0</v>
      </c>
      <c r="I152" s="366">
        <f ca="1" xml:space="preserve"> ProjectCashflows!I$192</f>
        <v>17</v>
      </c>
      <c r="J152" s="366">
        <f xml:space="preserve"> ProjectCashflows!J$192</f>
        <v>0</v>
      </c>
      <c r="K152" s="366">
        <f ca="1" xml:space="preserve"> ProjectCashflows!K$192</f>
        <v>0</v>
      </c>
      <c r="L152" s="366">
        <f ca="1" xml:space="preserve"> ProjectCashflows!L$192</f>
        <v>0</v>
      </c>
      <c r="M152" s="366">
        <f ca="1" xml:space="preserve"> ProjectCashflows!M$192</f>
        <v>0</v>
      </c>
      <c r="N152" s="366">
        <f ca="1" xml:space="preserve"> ProjectCashflows!N$192</f>
        <v>0</v>
      </c>
      <c r="O152" s="366">
        <f ca="1" xml:space="preserve"> ProjectCashflows!O$192</f>
        <v>1</v>
      </c>
      <c r="P152" s="366">
        <f ca="1" xml:space="preserve"> ProjectCashflows!P$192</f>
        <v>1</v>
      </c>
      <c r="Q152" s="366">
        <f ca="1" xml:space="preserve"> ProjectCashflows!Q$192</f>
        <v>1</v>
      </c>
      <c r="R152" s="366">
        <f ca="1" xml:space="preserve"> ProjectCashflows!R$192</f>
        <v>1</v>
      </c>
      <c r="S152" s="366">
        <f ca="1" xml:space="preserve"> ProjectCashflows!S$192</f>
        <v>1</v>
      </c>
      <c r="T152" s="366">
        <f ca="1" xml:space="preserve"> ProjectCashflows!T$192</f>
        <v>1</v>
      </c>
      <c r="U152" s="366">
        <f ca="1" xml:space="preserve"> ProjectCashflows!U$192</f>
        <v>1</v>
      </c>
      <c r="V152" s="366">
        <f ca="1" xml:space="preserve"> ProjectCashflows!V$192</f>
        <v>1</v>
      </c>
      <c r="W152" s="366">
        <f ca="1" xml:space="preserve"> ProjectCashflows!W$192</f>
        <v>1</v>
      </c>
      <c r="X152" s="366">
        <f ca="1" xml:space="preserve"> ProjectCashflows!X$192</f>
        <v>1</v>
      </c>
      <c r="Y152" s="366">
        <f ca="1" xml:space="preserve"> ProjectCashflows!Y$192</f>
        <v>1</v>
      </c>
      <c r="Z152" s="366">
        <f ca="1" xml:space="preserve"> ProjectCashflows!Z$192</f>
        <v>1</v>
      </c>
      <c r="AA152" s="366">
        <f ca="1" xml:space="preserve"> ProjectCashflows!AA$192</f>
        <v>1</v>
      </c>
      <c r="AB152" s="366">
        <f ca="1" xml:space="preserve"> ProjectCashflows!AB$192</f>
        <v>1</v>
      </c>
      <c r="AC152" s="366">
        <f ca="1" xml:space="preserve"> ProjectCashflows!AC$192</f>
        <v>1</v>
      </c>
      <c r="AD152" s="366">
        <f ca="1" xml:space="preserve"> ProjectCashflows!AD$192</f>
        <v>1</v>
      </c>
      <c r="AE152" s="366">
        <f ca="1" xml:space="preserve"> ProjectCashflows!AE$192</f>
        <v>1</v>
      </c>
      <c r="AF152" s="366">
        <f ca="1" xml:space="preserve"> ProjectCashflows!AF$192</f>
        <v>0</v>
      </c>
      <c r="AG152" s="366">
        <f ca="1" xml:space="preserve"> ProjectCashflows!AG$192</f>
        <v>0</v>
      </c>
      <c r="AH152" s="366">
        <f ca="1" xml:space="preserve"> ProjectCashflows!AH$192</f>
        <v>0</v>
      </c>
      <c r="AI152" s="366">
        <f ca="1" xml:space="preserve"> ProjectCashflows!AI$192</f>
        <v>0</v>
      </c>
      <c r="AJ152" s="366">
        <f ca="1" xml:space="preserve"> ProjectCashflows!AJ$192</f>
        <v>0</v>
      </c>
      <c r="AK152" s="366">
        <f ca="1" xml:space="preserve"> ProjectCashflows!AK$192</f>
        <v>0</v>
      </c>
      <c r="AL152" s="366">
        <f ca="1" xml:space="preserve"> ProjectCashflows!AL$192</f>
        <v>0</v>
      </c>
      <c r="AM152" s="366">
        <f ca="1" xml:space="preserve"> ProjectCashflows!AM$192</f>
        <v>0</v>
      </c>
      <c r="AN152" s="366">
        <f ca="1" xml:space="preserve"> ProjectCashflows!AN$192</f>
        <v>0</v>
      </c>
      <c r="AO152" s="366">
        <f ca="1" xml:space="preserve"> ProjectCashflows!AO$192</f>
        <v>0</v>
      </c>
      <c r="AP152" s="366">
        <f ca="1" xml:space="preserve"> ProjectCashflows!AP$192</f>
        <v>0</v>
      </c>
      <c r="AQ152" s="366">
        <f ca="1" xml:space="preserve"> ProjectCashflows!AQ$192</f>
        <v>0</v>
      </c>
      <c r="AR152" s="366">
        <f ca="1" xml:space="preserve"> ProjectCashflows!AR$192</f>
        <v>0</v>
      </c>
      <c r="AS152" s="366">
        <f ca="1" xml:space="preserve"> ProjectCashflows!AS$192</f>
        <v>0</v>
      </c>
      <c r="AT152" s="366">
        <f ca="1" xml:space="preserve"> ProjectCashflows!AT$192</f>
        <v>0</v>
      </c>
      <c r="AU152" s="366">
        <f ca="1" xml:space="preserve"> ProjectCashflows!AU$192</f>
        <v>0</v>
      </c>
      <c r="AV152" s="366">
        <f ca="1" xml:space="preserve"> ProjectCashflows!AV$192</f>
        <v>0</v>
      </c>
      <c r="AW152" s="366">
        <f ca="1" xml:space="preserve"> ProjectCashflows!AW$192</f>
        <v>0</v>
      </c>
      <c r="AX152" s="366">
        <f ca="1" xml:space="preserve"> ProjectCashflows!AX$192</f>
        <v>0</v>
      </c>
    </row>
    <row r="153" spans="1:50" s="434" customFormat="1" ht="15" customHeight="1">
      <c r="A153" s="451"/>
      <c r="B153" s="643"/>
      <c r="C153" s="452"/>
      <c r="D153" s="443"/>
      <c r="E153" s="432" t="str">
        <f>Translate!$E$178</f>
        <v>Flat royalty rate</v>
      </c>
      <c r="F153" s="432"/>
      <c r="G153" s="432" t="s">
        <v>29</v>
      </c>
      <c r="H153" s="432"/>
      <c r="I153" s="432"/>
      <c r="J153" s="432"/>
      <c r="K153" s="438">
        <f t="shared" ref="K153:AX153" ca="1" si="24" xml:space="preserve"> $F151 * K152</f>
        <v>0</v>
      </c>
      <c r="L153" s="438">
        <f t="shared" ca="1" si="24"/>
        <v>0</v>
      </c>
      <c r="M153" s="438">
        <f t="shared" ca="1" si="24"/>
        <v>0</v>
      </c>
      <c r="N153" s="438">
        <f t="shared" ca="1" si="24"/>
        <v>0</v>
      </c>
      <c r="O153" s="438">
        <f t="shared" ca="1" si="24"/>
        <v>0.05</v>
      </c>
      <c r="P153" s="438">
        <f t="shared" ca="1" si="24"/>
        <v>0.05</v>
      </c>
      <c r="Q153" s="438">
        <f t="shared" ca="1" si="24"/>
        <v>0.05</v>
      </c>
      <c r="R153" s="438">
        <f t="shared" ca="1" si="24"/>
        <v>0.05</v>
      </c>
      <c r="S153" s="438">
        <f t="shared" ca="1" si="24"/>
        <v>0.05</v>
      </c>
      <c r="T153" s="438">
        <f t="shared" ca="1" si="24"/>
        <v>0.05</v>
      </c>
      <c r="U153" s="438">
        <f t="shared" ca="1" si="24"/>
        <v>0.05</v>
      </c>
      <c r="V153" s="438">
        <f t="shared" ca="1" si="24"/>
        <v>0.05</v>
      </c>
      <c r="W153" s="438">
        <f t="shared" ca="1" si="24"/>
        <v>0.05</v>
      </c>
      <c r="X153" s="438">
        <f t="shared" ca="1" si="24"/>
        <v>0.05</v>
      </c>
      <c r="Y153" s="438">
        <f t="shared" ca="1" si="24"/>
        <v>0.05</v>
      </c>
      <c r="Z153" s="438">
        <f t="shared" ca="1" si="24"/>
        <v>0.05</v>
      </c>
      <c r="AA153" s="438">
        <f t="shared" ca="1" si="24"/>
        <v>0.05</v>
      </c>
      <c r="AB153" s="438">
        <f t="shared" ca="1" si="24"/>
        <v>0.05</v>
      </c>
      <c r="AC153" s="438">
        <f t="shared" ca="1" si="24"/>
        <v>0.05</v>
      </c>
      <c r="AD153" s="438">
        <f t="shared" ca="1" si="24"/>
        <v>0.05</v>
      </c>
      <c r="AE153" s="438">
        <f t="shared" ca="1" si="24"/>
        <v>0.05</v>
      </c>
      <c r="AF153" s="438">
        <f t="shared" ca="1" si="24"/>
        <v>0</v>
      </c>
      <c r="AG153" s="438">
        <f t="shared" ca="1" si="24"/>
        <v>0</v>
      </c>
      <c r="AH153" s="438">
        <f t="shared" ca="1" si="24"/>
        <v>0</v>
      </c>
      <c r="AI153" s="438">
        <f t="shared" ca="1" si="24"/>
        <v>0</v>
      </c>
      <c r="AJ153" s="438">
        <f t="shared" ca="1" si="24"/>
        <v>0</v>
      </c>
      <c r="AK153" s="438">
        <f t="shared" ca="1" si="24"/>
        <v>0</v>
      </c>
      <c r="AL153" s="438">
        <f t="shared" ca="1" si="24"/>
        <v>0</v>
      </c>
      <c r="AM153" s="438">
        <f t="shared" ca="1" si="24"/>
        <v>0</v>
      </c>
      <c r="AN153" s="438">
        <f t="shared" ca="1" si="24"/>
        <v>0</v>
      </c>
      <c r="AO153" s="438">
        <f t="shared" ca="1" si="24"/>
        <v>0</v>
      </c>
      <c r="AP153" s="438">
        <f t="shared" ca="1" si="24"/>
        <v>0</v>
      </c>
      <c r="AQ153" s="438">
        <f t="shared" ca="1" si="24"/>
        <v>0</v>
      </c>
      <c r="AR153" s="438">
        <f t="shared" ca="1" si="24"/>
        <v>0</v>
      </c>
      <c r="AS153" s="438">
        <f t="shared" ca="1" si="24"/>
        <v>0</v>
      </c>
      <c r="AT153" s="438">
        <f t="shared" ca="1" si="24"/>
        <v>0</v>
      </c>
      <c r="AU153" s="438">
        <f t="shared" ca="1" si="24"/>
        <v>0</v>
      </c>
      <c r="AV153" s="438">
        <f t="shared" ca="1" si="24"/>
        <v>0</v>
      </c>
      <c r="AW153" s="438">
        <f t="shared" ca="1" si="24"/>
        <v>0</v>
      </c>
      <c r="AX153" s="438">
        <f t="shared" ca="1" si="24"/>
        <v>0</v>
      </c>
    </row>
    <row r="154" spans="1:50" s="478" customFormat="1" ht="15" customHeight="1">
      <c r="A154" s="519"/>
      <c r="B154" s="524"/>
      <c r="C154" s="520"/>
      <c r="D154" s="1079"/>
      <c r="E154" s="386"/>
      <c r="F154" s="386"/>
      <c r="G154" s="386"/>
      <c r="H154" s="394"/>
      <c r="I154" s="1079"/>
      <c r="J154" s="1079"/>
      <c r="K154" s="1079"/>
      <c r="L154" s="1079"/>
      <c r="M154" s="1079"/>
      <c r="N154" s="1079"/>
      <c r="O154" s="1079"/>
      <c r="P154" s="1079"/>
      <c r="Q154" s="1079"/>
      <c r="R154" s="1079"/>
      <c r="S154" s="1079"/>
      <c r="T154" s="1079"/>
      <c r="U154" s="1079"/>
      <c r="V154" s="1079"/>
      <c r="W154" s="1079"/>
      <c r="X154" s="1079"/>
      <c r="Y154" s="1079"/>
      <c r="Z154" s="1079"/>
      <c r="AA154" s="1079"/>
      <c r="AB154" s="1079"/>
      <c r="AC154" s="1079"/>
      <c r="AD154" s="1079"/>
      <c r="AE154" s="1079"/>
      <c r="AF154" s="1079"/>
      <c r="AG154" s="1079"/>
      <c r="AH154" s="1079"/>
      <c r="AI154" s="1079"/>
      <c r="AJ154" s="1079"/>
      <c r="AK154" s="1079"/>
      <c r="AL154" s="1079"/>
      <c r="AM154" s="1079"/>
      <c r="AN154" s="1079"/>
      <c r="AO154" s="1079"/>
      <c r="AP154" s="1079"/>
      <c r="AQ154" s="1079"/>
      <c r="AR154" s="1079"/>
      <c r="AS154" s="1079"/>
      <c r="AT154" s="1079"/>
      <c r="AU154" s="1079"/>
      <c r="AV154" s="1079"/>
      <c r="AW154" s="1079"/>
      <c r="AX154" s="1079"/>
    </row>
    <row r="155" spans="1:50" s="478" customFormat="1" ht="15" customHeight="1">
      <c r="A155" s="519"/>
      <c r="B155" s="524" t="str">
        <f>Translate!$E$58</f>
        <v>Price-based royalty</v>
      </c>
      <c r="C155" s="520"/>
      <c r="D155" s="1079"/>
      <c r="E155" s="386"/>
      <c r="F155" s="386"/>
      <c r="G155" s="386"/>
      <c r="H155" s="394"/>
      <c r="I155" s="1079"/>
      <c r="J155" s="1079"/>
      <c r="K155" s="1079"/>
      <c r="L155" s="1079"/>
      <c r="M155" s="1079"/>
      <c r="N155" s="1079"/>
      <c r="O155" s="1079"/>
      <c r="P155" s="1079"/>
      <c r="Q155" s="1079"/>
      <c r="R155" s="1079"/>
      <c r="S155" s="1079"/>
      <c r="T155" s="1079"/>
      <c r="U155" s="1079"/>
      <c r="V155" s="1079"/>
      <c r="W155" s="1079"/>
      <c r="X155" s="1079"/>
      <c r="Y155" s="1079"/>
      <c r="Z155" s="1079"/>
      <c r="AA155" s="1079"/>
      <c r="AB155" s="1079"/>
      <c r="AC155" s="1079"/>
      <c r="AD155" s="1079"/>
      <c r="AE155" s="1079"/>
      <c r="AF155" s="1079"/>
      <c r="AG155" s="1079"/>
      <c r="AH155" s="1079"/>
      <c r="AI155" s="1079"/>
      <c r="AJ155" s="1079"/>
      <c r="AK155" s="1079"/>
      <c r="AL155" s="1079"/>
      <c r="AM155" s="1079"/>
      <c r="AN155" s="1079"/>
      <c r="AO155" s="1079"/>
      <c r="AP155" s="1079"/>
      <c r="AQ155" s="1079"/>
      <c r="AR155" s="1079"/>
      <c r="AS155" s="1079"/>
      <c r="AT155" s="1079"/>
      <c r="AU155" s="1079"/>
      <c r="AV155" s="1079"/>
      <c r="AW155" s="1079"/>
      <c r="AX155" s="1079"/>
    </row>
    <row r="156" spans="1:50" ht="15" customHeight="1">
      <c r="A156" s="347"/>
      <c r="B156" s="643"/>
      <c r="C156" s="333"/>
      <c r="D156" s="1112"/>
      <c r="E156" s="383" t="str">
        <f xml:space="preserve"> FiscalModel!E$21</f>
        <v>Threshold for price royalty (0 = no price royalty)</v>
      </c>
      <c r="F156" s="383">
        <f xml:space="preserve"> FiscalModel!F$21</f>
        <v>0</v>
      </c>
      <c r="G156" s="383" t="str">
        <f ca="1" xml:space="preserve"> FiscalModel!G$21</f>
        <v>US$ 2021 / ounce</v>
      </c>
      <c r="H156" s="346"/>
      <c r="I156" s="1112"/>
      <c r="J156" s="1059"/>
      <c r="K156" s="1048"/>
      <c r="L156" s="1048"/>
      <c r="M156" s="1048"/>
      <c r="N156" s="1048"/>
      <c r="O156" s="1048"/>
      <c r="P156" s="1048"/>
      <c r="Q156" s="1048"/>
      <c r="R156" s="1048"/>
      <c r="S156" s="1048"/>
      <c r="T156" s="1048"/>
      <c r="U156" s="1048"/>
      <c r="V156" s="1048"/>
      <c r="W156" s="1048"/>
      <c r="X156" s="1048"/>
      <c r="Y156" s="1048"/>
      <c r="Z156" s="1048"/>
      <c r="AA156" s="1048"/>
      <c r="AB156" s="1048"/>
      <c r="AC156" s="1048"/>
      <c r="AD156" s="1048"/>
      <c r="AE156" s="1048"/>
      <c r="AF156" s="1048"/>
      <c r="AG156" s="1048"/>
      <c r="AH156" s="1048"/>
      <c r="AI156" s="1048"/>
      <c r="AJ156" s="1048"/>
      <c r="AK156" s="1048"/>
      <c r="AL156" s="1048"/>
      <c r="AM156" s="1048"/>
      <c r="AN156" s="1048"/>
      <c r="AO156" s="1048"/>
      <c r="AP156" s="1048"/>
      <c r="AQ156" s="1048"/>
      <c r="AR156" s="1048"/>
      <c r="AS156" s="1048"/>
      <c r="AT156" s="1048"/>
      <c r="AU156" s="1048"/>
      <c r="AV156" s="1048"/>
      <c r="AW156" s="1048"/>
      <c r="AX156" s="1048"/>
    </row>
    <row r="157" spans="1:50" ht="15" customHeight="1">
      <c r="A157" s="347"/>
      <c r="B157" s="643"/>
      <c r="C157" s="333"/>
      <c r="D157" s="1112"/>
      <c r="E157" s="383" t="str">
        <f xml:space="preserve"> E$22</f>
        <v>Price threshold inflation indexed</v>
      </c>
      <c r="F157" s="413">
        <f xml:space="preserve"> F$22</f>
        <v>0</v>
      </c>
      <c r="G157" s="383" t="str">
        <f xml:space="preserve"> G$22</f>
        <v>Option</v>
      </c>
      <c r="H157" s="346"/>
      <c r="I157" s="1112"/>
      <c r="J157" s="1059"/>
      <c r="K157" s="1048"/>
      <c r="L157" s="1048"/>
      <c r="M157" s="1048"/>
      <c r="N157" s="1048"/>
      <c r="O157" s="1048"/>
      <c r="P157" s="1048"/>
      <c r="Q157" s="1048"/>
      <c r="R157" s="1048"/>
      <c r="S157" s="1048"/>
      <c r="T157" s="1048"/>
      <c r="U157" s="1048"/>
      <c r="V157" s="1048"/>
      <c r="W157" s="1048"/>
      <c r="X157" s="1048"/>
      <c r="Y157" s="1048"/>
      <c r="Z157" s="1048"/>
      <c r="AA157" s="1048"/>
      <c r="AB157" s="1048"/>
      <c r="AC157" s="1048"/>
      <c r="AD157" s="1048"/>
      <c r="AE157" s="1048"/>
      <c r="AF157" s="1048"/>
      <c r="AG157" s="1048"/>
      <c r="AH157" s="1048"/>
      <c r="AI157" s="1048"/>
      <c r="AJ157" s="1048"/>
      <c r="AK157" s="1048"/>
      <c r="AL157" s="1048"/>
      <c r="AM157" s="1048"/>
      <c r="AN157" s="1048"/>
      <c r="AO157" s="1048"/>
      <c r="AP157" s="1048"/>
      <c r="AQ157" s="1048"/>
      <c r="AR157" s="1048"/>
      <c r="AS157" s="1048"/>
      <c r="AT157" s="1048"/>
      <c r="AU157" s="1048"/>
      <c r="AV157" s="1048"/>
      <c r="AW157" s="1048"/>
      <c r="AX157" s="1048"/>
    </row>
    <row r="158" spans="1:50" ht="15" customHeight="1">
      <c r="A158" s="347"/>
      <c r="B158" s="643"/>
      <c r="C158" s="333"/>
      <c r="D158" s="1112"/>
      <c r="E158" s="366" t="str">
        <f>Inputs!E$81</f>
        <v>Label: yes</v>
      </c>
      <c r="F158" s="645" t="str">
        <f>Inputs!F$81</f>
        <v>yes</v>
      </c>
      <c r="G158" s="366" t="str">
        <f>Inputs!G$81</f>
        <v>Label</v>
      </c>
      <c r="H158" s="346"/>
      <c r="I158" s="1112"/>
      <c r="J158" s="1059"/>
      <c r="K158" s="1048"/>
      <c r="L158" s="1048"/>
      <c r="M158" s="1048"/>
      <c r="N158" s="1048"/>
      <c r="O158" s="1048"/>
      <c r="P158" s="1048"/>
      <c r="Q158" s="1048"/>
      <c r="R158" s="1048"/>
      <c r="S158" s="1048"/>
      <c r="T158" s="1048"/>
      <c r="U158" s="1048"/>
      <c r="V158" s="1048"/>
      <c r="W158" s="1048"/>
      <c r="X158" s="1048"/>
      <c r="Y158" s="1048"/>
      <c r="Z158" s="1048"/>
      <c r="AA158" s="1048"/>
      <c r="AB158" s="1048"/>
      <c r="AC158" s="1048"/>
      <c r="AD158" s="1048"/>
      <c r="AE158" s="1048"/>
      <c r="AF158" s="1048"/>
      <c r="AG158" s="1048"/>
      <c r="AH158" s="1048"/>
      <c r="AI158" s="1048"/>
      <c r="AJ158" s="1048"/>
      <c r="AK158" s="1048"/>
      <c r="AL158" s="1048"/>
      <c r="AM158" s="1048"/>
      <c r="AN158" s="1048"/>
      <c r="AO158" s="1048"/>
      <c r="AP158" s="1048"/>
      <c r="AQ158" s="1048"/>
      <c r="AR158" s="1048"/>
      <c r="AS158" s="1048"/>
      <c r="AT158" s="1048"/>
      <c r="AU158" s="1048"/>
      <c r="AV158" s="1048"/>
      <c r="AW158" s="1048"/>
      <c r="AX158" s="1048"/>
    </row>
    <row r="159" spans="1:50" ht="15" customHeight="1">
      <c r="A159" s="347"/>
      <c r="B159" s="643"/>
      <c r="C159" s="333"/>
      <c r="D159" s="1112"/>
      <c r="E159" s="642" t="str">
        <f xml:space="preserve"> ProjectCashflows!E$213</f>
        <v>Inflation index</v>
      </c>
      <c r="F159" s="642">
        <f xml:space="preserve"> ProjectCashflows!F$213</f>
        <v>0</v>
      </c>
      <c r="G159" s="642" t="str">
        <f xml:space="preserve"> ProjectCashflows!G$213</f>
        <v>Index</v>
      </c>
      <c r="H159" s="642" t="str">
        <f xml:space="preserve"> ProjectCashflows!H$213</f>
        <v>base year is first project year</v>
      </c>
      <c r="I159" s="642">
        <f xml:space="preserve"> ProjectCashflows!I$213</f>
        <v>0</v>
      </c>
      <c r="J159" s="642">
        <f xml:space="preserve"> ProjectCashflows!J$213</f>
        <v>0</v>
      </c>
      <c r="K159" s="642">
        <f ca="1" xml:space="preserve"> ProjectCashflows!K$213</f>
        <v>1</v>
      </c>
      <c r="L159" s="642">
        <f ca="1" xml:space="preserve"> ProjectCashflows!L$213</f>
        <v>1.02</v>
      </c>
      <c r="M159" s="642">
        <f ca="1" xml:space="preserve"> ProjectCashflows!M$213</f>
        <v>1.0404</v>
      </c>
      <c r="N159" s="642">
        <f ca="1" xml:space="preserve"> ProjectCashflows!N$213</f>
        <v>1.0612079999999999</v>
      </c>
      <c r="O159" s="642">
        <f ca="1" xml:space="preserve"> ProjectCashflows!O$213</f>
        <v>1.08243216</v>
      </c>
      <c r="P159" s="642">
        <f ca="1" xml:space="preserve"> ProjectCashflows!P$213</f>
        <v>1.1040808032</v>
      </c>
      <c r="Q159" s="642">
        <f ca="1" xml:space="preserve"> ProjectCashflows!Q$213</f>
        <v>1.1261624192640001</v>
      </c>
      <c r="R159" s="642">
        <f ca="1" xml:space="preserve"> ProjectCashflows!R$213</f>
        <v>1.14868566764928</v>
      </c>
      <c r="S159" s="642">
        <f ca="1" xml:space="preserve"> ProjectCashflows!S$213</f>
        <v>1.1716593810022657</v>
      </c>
      <c r="T159" s="642">
        <f ca="1" xml:space="preserve"> ProjectCashflows!T$213</f>
        <v>1.1950925686223111</v>
      </c>
      <c r="U159" s="642">
        <f ca="1" xml:space="preserve"> ProjectCashflows!U$213</f>
        <v>1.2189944199947573</v>
      </c>
      <c r="V159" s="642">
        <f ca="1" xml:space="preserve"> ProjectCashflows!V$213</f>
        <v>1.2433743083946525</v>
      </c>
      <c r="W159" s="642">
        <f ca="1" xml:space="preserve"> ProjectCashflows!W$213</f>
        <v>1.2682417945625455</v>
      </c>
      <c r="X159" s="642">
        <f ca="1" xml:space="preserve"> ProjectCashflows!X$213</f>
        <v>1.2936066304537963</v>
      </c>
      <c r="Y159" s="642">
        <f ca="1" xml:space="preserve"> ProjectCashflows!Y$213</f>
        <v>1.3194787630628724</v>
      </c>
      <c r="Z159" s="642">
        <f ca="1" xml:space="preserve"> ProjectCashflows!Z$213</f>
        <v>1.3458683383241299</v>
      </c>
      <c r="AA159" s="642">
        <f ca="1" xml:space="preserve"> ProjectCashflows!AA$213</f>
        <v>1.3727857050906125</v>
      </c>
      <c r="AB159" s="642">
        <f ca="1" xml:space="preserve"> ProjectCashflows!AB$213</f>
        <v>1.4002414191924248</v>
      </c>
      <c r="AC159" s="642">
        <f ca="1" xml:space="preserve"> ProjectCashflows!AC$213</f>
        <v>1.4282462475762734</v>
      </c>
      <c r="AD159" s="642">
        <f ca="1" xml:space="preserve"> ProjectCashflows!AD$213</f>
        <v>1.4568111725277988</v>
      </c>
      <c r="AE159" s="642">
        <f ca="1" xml:space="preserve"> ProjectCashflows!AE$213</f>
        <v>1.4859473959783549</v>
      </c>
      <c r="AF159" s="642">
        <f ca="1" xml:space="preserve"> ProjectCashflows!AF$213</f>
        <v>1.5156663438979221</v>
      </c>
      <c r="AG159" s="642">
        <f ca="1" xml:space="preserve"> ProjectCashflows!AG$213</f>
        <v>1</v>
      </c>
      <c r="AH159" s="642">
        <f ca="1" xml:space="preserve"> ProjectCashflows!AH$213</f>
        <v>1</v>
      </c>
      <c r="AI159" s="642">
        <f ca="1" xml:space="preserve"> ProjectCashflows!AI$213</f>
        <v>1</v>
      </c>
      <c r="AJ159" s="642">
        <f ca="1" xml:space="preserve"> ProjectCashflows!AJ$213</f>
        <v>1</v>
      </c>
      <c r="AK159" s="642">
        <f ca="1" xml:space="preserve"> ProjectCashflows!AK$213</f>
        <v>1</v>
      </c>
      <c r="AL159" s="642">
        <f ca="1" xml:space="preserve"> ProjectCashflows!AL$213</f>
        <v>1</v>
      </c>
      <c r="AM159" s="642">
        <f ca="1" xml:space="preserve"> ProjectCashflows!AM$213</f>
        <v>1</v>
      </c>
      <c r="AN159" s="642">
        <f ca="1" xml:space="preserve"> ProjectCashflows!AN$213</f>
        <v>1</v>
      </c>
      <c r="AO159" s="642">
        <f ca="1" xml:space="preserve"> ProjectCashflows!AO$213</f>
        <v>1</v>
      </c>
      <c r="AP159" s="642">
        <f ca="1" xml:space="preserve"> ProjectCashflows!AP$213</f>
        <v>1</v>
      </c>
      <c r="AQ159" s="642">
        <f ca="1" xml:space="preserve"> ProjectCashflows!AQ$213</f>
        <v>1</v>
      </c>
      <c r="AR159" s="642">
        <f ca="1" xml:space="preserve"> ProjectCashflows!AR$213</f>
        <v>1</v>
      </c>
      <c r="AS159" s="642">
        <f ca="1" xml:space="preserve"> ProjectCashflows!AS$213</f>
        <v>1</v>
      </c>
      <c r="AT159" s="642">
        <f ca="1" xml:space="preserve"> ProjectCashflows!AT$213</f>
        <v>1</v>
      </c>
      <c r="AU159" s="642">
        <f ca="1" xml:space="preserve"> ProjectCashflows!AU$213</f>
        <v>1</v>
      </c>
      <c r="AV159" s="642">
        <f ca="1" xml:space="preserve"> ProjectCashflows!AV$213</f>
        <v>1</v>
      </c>
      <c r="AW159" s="642">
        <f ca="1" xml:space="preserve"> ProjectCashflows!AW$213</f>
        <v>1</v>
      </c>
      <c r="AX159" s="642">
        <f ca="1" xml:space="preserve"> ProjectCashflows!AX$213</f>
        <v>1</v>
      </c>
    </row>
    <row r="160" spans="1:50" s="434" customFormat="1" ht="15" customHeight="1">
      <c r="A160" s="451"/>
      <c r="B160" s="643"/>
      <c r="C160" s="452"/>
      <c r="D160" s="443"/>
      <c r="E160" s="432" t="str">
        <f xml:space="preserve"> E156 &amp; IF( $F157 = $F158, ": " &amp; Translate!$E$469,  ": " &amp; Translate!$E$470)</f>
        <v>Threshold for price royalty (0 = no price royalty): not inflation indexed</v>
      </c>
      <c r="F160" s="670"/>
      <c r="G160" s="670" t="str">
        <f ca="1" xml:space="preserve"> G156</f>
        <v>US$ 2021 / ounce</v>
      </c>
      <c r="H160" s="445"/>
      <c r="I160" s="443"/>
      <c r="J160" s="444"/>
      <c r="K160" s="447">
        <f t="shared" ref="K160:AX160" si="25" xml:space="preserve"> IF( $F157 = $F158, $F156 * K159, $F156)</f>
        <v>0</v>
      </c>
      <c r="L160" s="447">
        <f t="shared" si="25"/>
        <v>0</v>
      </c>
      <c r="M160" s="447">
        <f t="shared" si="25"/>
        <v>0</v>
      </c>
      <c r="N160" s="447">
        <f t="shared" si="25"/>
        <v>0</v>
      </c>
      <c r="O160" s="447">
        <f t="shared" si="25"/>
        <v>0</v>
      </c>
      <c r="P160" s="447">
        <f t="shared" si="25"/>
        <v>0</v>
      </c>
      <c r="Q160" s="447">
        <f t="shared" si="25"/>
        <v>0</v>
      </c>
      <c r="R160" s="447">
        <f t="shared" si="25"/>
        <v>0</v>
      </c>
      <c r="S160" s="447">
        <f t="shared" si="25"/>
        <v>0</v>
      </c>
      <c r="T160" s="447">
        <f t="shared" si="25"/>
        <v>0</v>
      </c>
      <c r="U160" s="447">
        <f t="shared" si="25"/>
        <v>0</v>
      </c>
      <c r="V160" s="447">
        <f t="shared" si="25"/>
        <v>0</v>
      </c>
      <c r="W160" s="447">
        <f t="shared" si="25"/>
        <v>0</v>
      </c>
      <c r="X160" s="447">
        <f t="shared" si="25"/>
        <v>0</v>
      </c>
      <c r="Y160" s="447">
        <f t="shared" si="25"/>
        <v>0</v>
      </c>
      <c r="Z160" s="447">
        <f t="shared" si="25"/>
        <v>0</v>
      </c>
      <c r="AA160" s="447">
        <f t="shared" si="25"/>
        <v>0</v>
      </c>
      <c r="AB160" s="447">
        <f t="shared" si="25"/>
        <v>0</v>
      </c>
      <c r="AC160" s="447">
        <f t="shared" si="25"/>
        <v>0</v>
      </c>
      <c r="AD160" s="447">
        <f t="shared" si="25"/>
        <v>0</v>
      </c>
      <c r="AE160" s="447">
        <f t="shared" si="25"/>
        <v>0</v>
      </c>
      <c r="AF160" s="447">
        <f t="shared" si="25"/>
        <v>0</v>
      </c>
      <c r="AG160" s="447">
        <f t="shared" si="25"/>
        <v>0</v>
      </c>
      <c r="AH160" s="447">
        <f t="shared" si="25"/>
        <v>0</v>
      </c>
      <c r="AI160" s="447">
        <f t="shared" si="25"/>
        <v>0</v>
      </c>
      <c r="AJ160" s="447">
        <f t="shared" si="25"/>
        <v>0</v>
      </c>
      <c r="AK160" s="447">
        <f t="shared" si="25"/>
        <v>0</v>
      </c>
      <c r="AL160" s="447">
        <f t="shared" si="25"/>
        <v>0</v>
      </c>
      <c r="AM160" s="447">
        <f t="shared" si="25"/>
        <v>0</v>
      </c>
      <c r="AN160" s="447">
        <f t="shared" si="25"/>
        <v>0</v>
      </c>
      <c r="AO160" s="447">
        <f t="shared" si="25"/>
        <v>0</v>
      </c>
      <c r="AP160" s="447">
        <f t="shared" si="25"/>
        <v>0</v>
      </c>
      <c r="AQ160" s="447">
        <f t="shared" si="25"/>
        <v>0</v>
      </c>
      <c r="AR160" s="447">
        <f t="shared" si="25"/>
        <v>0</v>
      </c>
      <c r="AS160" s="447">
        <f t="shared" si="25"/>
        <v>0</v>
      </c>
      <c r="AT160" s="447">
        <f t="shared" si="25"/>
        <v>0</v>
      </c>
      <c r="AU160" s="447">
        <f t="shared" si="25"/>
        <v>0</v>
      </c>
      <c r="AV160" s="447">
        <f t="shared" si="25"/>
        <v>0</v>
      </c>
      <c r="AW160" s="447">
        <f t="shared" si="25"/>
        <v>0</v>
      </c>
      <c r="AX160" s="447">
        <f t="shared" si="25"/>
        <v>0</v>
      </c>
    </row>
    <row r="161" spans="1:50" ht="15" customHeight="1">
      <c r="A161" s="347"/>
      <c r="B161" s="643"/>
      <c r="C161" s="333"/>
      <c r="D161" s="1112"/>
      <c r="E161" s="383"/>
      <c r="F161"/>
      <c r="G161"/>
      <c r="H161" s="346"/>
      <c r="I161" s="1112"/>
      <c r="J161" s="1059"/>
      <c r="K161" s="1048"/>
      <c r="L161" s="1048"/>
      <c r="M161" s="1048"/>
      <c r="N161" s="1048"/>
      <c r="O161" s="1048"/>
      <c r="P161" s="1048"/>
      <c r="Q161" s="1048"/>
      <c r="R161" s="1048"/>
      <c r="S161" s="1048"/>
      <c r="T161" s="1048"/>
      <c r="U161" s="1048"/>
      <c r="V161" s="1048"/>
      <c r="W161" s="1048"/>
      <c r="X161" s="1048"/>
      <c r="Y161" s="1048"/>
      <c r="Z161" s="1048"/>
      <c r="AA161" s="1048"/>
      <c r="AB161" s="1048"/>
      <c r="AC161" s="1048"/>
      <c r="AD161" s="1048"/>
      <c r="AE161" s="1048"/>
      <c r="AF161" s="1048"/>
      <c r="AG161" s="1048"/>
      <c r="AH161" s="1048"/>
      <c r="AI161" s="1048"/>
      <c r="AJ161" s="1048"/>
      <c r="AK161" s="1048"/>
      <c r="AL161" s="1048"/>
      <c r="AM161" s="1048"/>
      <c r="AN161" s="1048"/>
      <c r="AO161" s="1048"/>
      <c r="AP161" s="1048"/>
      <c r="AQ161" s="1048"/>
      <c r="AR161" s="1048"/>
      <c r="AS161" s="1048"/>
      <c r="AT161" s="1048"/>
      <c r="AU161" s="1048"/>
      <c r="AV161" s="1048"/>
      <c r="AW161" s="1048"/>
      <c r="AX161" s="1048"/>
    </row>
    <row r="162" spans="1:50" ht="15" customHeight="1">
      <c r="A162" s="347"/>
      <c r="B162" s="643"/>
      <c r="C162" s="333"/>
      <c r="D162" s="1112"/>
      <c r="E162" s="366" t="str">
        <f ca="1" xml:space="preserve"> ProjectCashflows!E$232</f>
        <v>Gold price realized from sales, after ELT</v>
      </c>
      <c r="F162" s="366">
        <f xml:space="preserve"> ProjectCashflows!F$232</f>
        <v>0</v>
      </c>
      <c r="G162" s="366" t="str">
        <f ca="1" xml:space="preserve"> ProjectCashflows!G$232</f>
        <v>US$ / ounce</v>
      </c>
      <c r="H162" s="366">
        <f xml:space="preserve"> ProjectCashflows!H$232</f>
        <v>0</v>
      </c>
      <c r="I162" s="366">
        <f xml:space="preserve"> ProjectCashflows!I$232</f>
        <v>0</v>
      </c>
      <c r="J162" s="366">
        <f xml:space="preserve"> ProjectCashflows!J$232</f>
        <v>0</v>
      </c>
      <c r="K162" s="366">
        <f ca="1" xml:space="preserve"> ProjectCashflows!K$232</f>
        <v>1500</v>
      </c>
      <c r="L162" s="366">
        <f ca="1" xml:space="preserve"> ProjectCashflows!L$232</f>
        <v>1530</v>
      </c>
      <c r="M162" s="366">
        <f ca="1" xml:space="preserve"> ProjectCashflows!M$232</f>
        <v>1560.6</v>
      </c>
      <c r="N162" s="366">
        <f ca="1" xml:space="preserve"> ProjectCashflows!N$232</f>
        <v>1591.8119999999999</v>
      </c>
      <c r="O162" s="366">
        <f ca="1" xml:space="preserve"> ProjectCashflows!O$232</f>
        <v>1623.64824</v>
      </c>
      <c r="P162" s="366">
        <f ca="1" xml:space="preserve"> ProjectCashflows!P$232</f>
        <v>1656.1212048</v>
      </c>
      <c r="Q162" s="366">
        <f ca="1" xml:space="preserve"> ProjectCashflows!Q$232</f>
        <v>1689.243628896</v>
      </c>
      <c r="R162" s="366">
        <f ca="1" xml:space="preserve"> ProjectCashflows!R$232</f>
        <v>1723.02850147392</v>
      </c>
      <c r="S162" s="366">
        <f ca="1" xml:space="preserve"> ProjectCashflows!S$232</f>
        <v>1757.4890715033987</v>
      </c>
      <c r="T162" s="366">
        <f ca="1" xml:space="preserve"> ProjectCashflows!T$232</f>
        <v>1792.6388529334665</v>
      </c>
      <c r="U162" s="366">
        <f ca="1" xml:space="preserve"> ProjectCashflows!U$232</f>
        <v>1828.491629992136</v>
      </c>
      <c r="V162" s="366">
        <f ca="1" xml:space="preserve"> ProjectCashflows!V$232</f>
        <v>1865.0614625919786</v>
      </c>
      <c r="W162" s="366">
        <f ca="1" xml:space="preserve"> ProjectCashflows!W$232</f>
        <v>1902.3626918438183</v>
      </c>
      <c r="X162" s="366">
        <f ca="1" xml:space="preserve"> ProjectCashflows!X$232</f>
        <v>1940.4099456806944</v>
      </c>
      <c r="Y162" s="366">
        <f ca="1" xml:space="preserve"> ProjectCashflows!Y$232</f>
        <v>1979.2181445943086</v>
      </c>
      <c r="Z162" s="366">
        <f ca="1" xml:space="preserve"> ProjectCashflows!Z$232</f>
        <v>2018.8025074861948</v>
      </c>
      <c r="AA162" s="366">
        <f ca="1" xml:space="preserve"> ProjectCashflows!AA$232</f>
        <v>2059.1785576359189</v>
      </c>
      <c r="AB162" s="366">
        <f ca="1" xml:space="preserve"> ProjectCashflows!AB$232</f>
        <v>2100.3621287886372</v>
      </c>
      <c r="AC162" s="366">
        <f ca="1" xml:space="preserve"> ProjectCashflows!AC$232</f>
        <v>2142.3693713644102</v>
      </c>
      <c r="AD162" s="366">
        <f ca="1" xml:space="preserve"> ProjectCashflows!AD$232</f>
        <v>2185.2167587916983</v>
      </c>
      <c r="AE162" s="366">
        <f ca="1" xml:space="preserve"> ProjectCashflows!AE$232</f>
        <v>2228.9210939675322</v>
      </c>
      <c r="AF162" s="366">
        <f ca="1" xml:space="preserve"> ProjectCashflows!AF$232</f>
        <v>0</v>
      </c>
      <c r="AG162" s="366">
        <f ca="1" xml:space="preserve"> ProjectCashflows!AG$232</f>
        <v>0</v>
      </c>
      <c r="AH162" s="366">
        <f ca="1" xml:space="preserve"> ProjectCashflows!AH$232</f>
        <v>0</v>
      </c>
      <c r="AI162" s="366">
        <f ca="1" xml:space="preserve"> ProjectCashflows!AI$232</f>
        <v>0</v>
      </c>
      <c r="AJ162" s="366">
        <f ca="1" xml:space="preserve"> ProjectCashflows!AJ$232</f>
        <v>0</v>
      </c>
      <c r="AK162" s="366">
        <f ca="1" xml:space="preserve"> ProjectCashflows!AK$232</f>
        <v>0</v>
      </c>
      <c r="AL162" s="366">
        <f ca="1" xml:space="preserve"> ProjectCashflows!AL$232</f>
        <v>0</v>
      </c>
      <c r="AM162" s="366">
        <f ca="1" xml:space="preserve"> ProjectCashflows!AM$232</f>
        <v>0</v>
      </c>
      <c r="AN162" s="366">
        <f ca="1" xml:space="preserve"> ProjectCashflows!AN$232</f>
        <v>0</v>
      </c>
      <c r="AO162" s="366">
        <f ca="1" xml:space="preserve"> ProjectCashflows!AO$232</f>
        <v>0</v>
      </c>
      <c r="AP162" s="366">
        <f ca="1" xml:space="preserve"> ProjectCashflows!AP$232</f>
        <v>0</v>
      </c>
      <c r="AQ162" s="366">
        <f ca="1" xml:space="preserve"> ProjectCashflows!AQ$232</f>
        <v>0</v>
      </c>
      <c r="AR162" s="366">
        <f ca="1" xml:space="preserve"> ProjectCashflows!AR$232</f>
        <v>0</v>
      </c>
      <c r="AS162" s="366">
        <f ca="1" xml:space="preserve"> ProjectCashflows!AS$232</f>
        <v>0</v>
      </c>
      <c r="AT162" s="366">
        <f ca="1" xml:space="preserve"> ProjectCashflows!AT$232</f>
        <v>0</v>
      </c>
      <c r="AU162" s="366">
        <f ca="1" xml:space="preserve"> ProjectCashflows!AU$232</f>
        <v>0</v>
      </c>
      <c r="AV162" s="366">
        <f ca="1" xml:space="preserve"> ProjectCashflows!AV$232</f>
        <v>0</v>
      </c>
      <c r="AW162" s="366">
        <f ca="1" xml:space="preserve"> ProjectCashflows!AW$232</f>
        <v>0</v>
      </c>
      <c r="AX162" s="366">
        <f ca="1" xml:space="preserve"> ProjectCashflows!AX$232</f>
        <v>0</v>
      </c>
    </row>
    <row r="163" spans="1:50">
      <c r="A163" s="1041"/>
      <c r="D163" s="1005"/>
      <c r="E163" s="1041" t="str">
        <f ca="1" xml:space="preserve"> E162 &amp; " " &amp; Translate!$E$460</f>
        <v>Gold price realized from sales, after ELT above threshold</v>
      </c>
      <c r="F163" s="1041"/>
      <c r="G163" s="1041" t="str">
        <f ca="1" xml:space="preserve"> G162</f>
        <v>US$ / ounce</v>
      </c>
      <c r="H163" s="1041"/>
      <c r="I163" s="1041"/>
      <c r="J163" s="1041"/>
      <c r="K163" s="1041">
        <f t="shared" ref="K163:AX163" ca="1" si="26" xml:space="preserve"> IF( K162 &gt; K160, K162 - K160, 0)</f>
        <v>1500</v>
      </c>
      <c r="L163" s="1041">
        <f t="shared" ca="1" si="26"/>
        <v>1530</v>
      </c>
      <c r="M163" s="1041">
        <f t="shared" ca="1" si="26"/>
        <v>1560.6</v>
      </c>
      <c r="N163" s="1041">
        <f t="shared" ca="1" si="26"/>
        <v>1591.8119999999999</v>
      </c>
      <c r="O163" s="1041">
        <f t="shared" ca="1" si="26"/>
        <v>1623.64824</v>
      </c>
      <c r="P163" s="1041">
        <f t="shared" ca="1" si="26"/>
        <v>1656.1212048</v>
      </c>
      <c r="Q163" s="1041">
        <f t="shared" ca="1" si="26"/>
        <v>1689.243628896</v>
      </c>
      <c r="R163" s="1041">
        <f t="shared" ca="1" si="26"/>
        <v>1723.02850147392</v>
      </c>
      <c r="S163" s="1041">
        <f t="shared" ca="1" si="26"/>
        <v>1757.4890715033987</v>
      </c>
      <c r="T163" s="1041">
        <f t="shared" ca="1" si="26"/>
        <v>1792.6388529334665</v>
      </c>
      <c r="U163" s="1041">
        <f t="shared" ca="1" si="26"/>
        <v>1828.491629992136</v>
      </c>
      <c r="V163" s="1041">
        <f t="shared" ca="1" si="26"/>
        <v>1865.0614625919786</v>
      </c>
      <c r="W163" s="1041">
        <f t="shared" ca="1" si="26"/>
        <v>1902.3626918438183</v>
      </c>
      <c r="X163" s="1041">
        <f t="shared" ca="1" si="26"/>
        <v>1940.4099456806944</v>
      </c>
      <c r="Y163" s="1041">
        <f t="shared" ca="1" si="26"/>
        <v>1979.2181445943086</v>
      </c>
      <c r="Z163" s="1041">
        <f t="shared" ca="1" si="26"/>
        <v>2018.8025074861948</v>
      </c>
      <c r="AA163" s="1041">
        <f t="shared" ca="1" si="26"/>
        <v>2059.1785576359189</v>
      </c>
      <c r="AB163" s="1041">
        <f t="shared" ca="1" si="26"/>
        <v>2100.3621287886372</v>
      </c>
      <c r="AC163" s="1041">
        <f t="shared" ca="1" si="26"/>
        <v>2142.3693713644102</v>
      </c>
      <c r="AD163" s="1041">
        <f t="shared" ca="1" si="26"/>
        <v>2185.2167587916983</v>
      </c>
      <c r="AE163" s="1041">
        <f t="shared" ca="1" si="26"/>
        <v>2228.9210939675322</v>
      </c>
      <c r="AF163" s="1041">
        <f t="shared" ca="1" si="26"/>
        <v>0</v>
      </c>
      <c r="AG163" s="1041">
        <f t="shared" ca="1" si="26"/>
        <v>0</v>
      </c>
      <c r="AH163" s="1041">
        <f t="shared" ca="1" si="26"/>
        <v>0</v>
      </c>
      <c r="AI163" s="1041">
        <f t="shared" ca="1" si="26"/>
        <v>0</v>
      </c>
      <c r="AJ163" s="1041">
        <f t="shared" ca="1" si="26"/>
        <v>0</v>
      </c>
      <c r="AK163" s="1041">
        <f t="shared" ca="1" si="26"/>
        <v>0</v>
      </c>
      <c r="AL163" s="1041">
        <f t="shared" ca="1" si="26"/>
        <v>0</v>
      </c>
      <c r="AM163" s="1041">
        <f t="shared" ca="1" si="26"/>
        <v>0</v>
      </c>
      <c r="AN163" s="1041">
        <f t="shared" ca="1" si="26"/>
        <v>0</v>
      </c>
      <c r="AO163" s="1041">
        <f t="shared" ca="1" si="26"/>
        <v>0</v>
      </c>
      <c r="AP163" s="1041">
        <f t="shared" ca="1" si="26"/>
        <v>0</v>
      </c>
      <c r="AQ163" s="1041">
        <f t="shared" ca="1" si="26"/>
        <v>0</v>
      </c>
      <c r="AR163" s="1041">
        <f t="shared" ca="1" si="26"/>
        <v>0</v>
      </c>
      <c r="AS163" s="1041">
        <f t="shared" ca="1" si="26"/>
        <v>0</v>
      </c>
      <c r="AT163" s="1041">
        <f t="shared" ca="1" si="26"/>
        <v>0</v>
      </c>
      <c r="AU163" s="1041">
        <f t="shared" ca="1" si="26"/>
        <v>0</v>
      </c>
      <c r="AV163" s="1041">
        <f t="shared" ca="1" si="26"/>
        <v>0</v>
      </c>
      <c r="AW163" s="1041">
        <f t="shared" ca="1" si="26"/>
        <v>0</v>
      </c>
      <c r="AX163" s="1041">
        <f t="shared" ca="1" si="26"/>
        <v>0</v>
      </c>
    </row>
    <row r="164" spans="1:50">
      <c r="A164" s="1041"/>
      <c r="D164" s="1005"/>
      <c r="E164" s="1041" t="str">
        <f>Translate!$E$179</f>
        <v>Proportion of price above threshold</v>
      </c>
      <c r="F164" s="1041"/>
      <c r="G164" s="1041" t="s">
        <v>29</v>
      </c>
      <c r="H164" s="1041"/>
      <c r="I164" s="1041"/>
      <c r="J164" s="1041"/>
      <c r="K164" s="1050">
        <f t="shared" ref="K164:AX164" si="27" xml:space="preserve"> IF( $F156 = 0, 0, IFERROR(K163 / K160, 0))</f>
        <v>0</v>
      </c>
      <c r="L164" s="1050">
        <f t="shared" si="27"/>
        <v>0</v>
      </c>
      <c r="M164" s="1050">
        <f t="shared" si="27"/>
        <v>0</v>
      </c>
      <c r="N164" s="1050">
        <f t="shared" si="27"/>
        <v>0</v>
      </c>
      <c r="O164" s="1050">
        <f t="shared" si="27"/>
        <v>0</v>
      </c>
      <c r="P164" s="1050">
        <f t="shared" si="27"/>
        <v>0</v>
      </c>
      <c r="Q164" s="1050">
        <f t="shared" si="27"/>
        <v>0</v>
      </c>
      <c r="R164" s="1050">
        <f t="shared" si="27"/>
        <v>0</v>
      </c>
      <c r="S164" s="1050">
        <f t="shared" si="27"/>
        <v>0</v>
      </c>
      <c r="T164" s="1050">
        <f t="shared" si="27"/>
        <v>0</v>
      </c>
      <c r="U164" s="1050">
        <f t="shared" si="27"/>
        <v>0</v>
      </c>
      <c r="V164" s="1050">
        <f t="shared" si="27"/>
        <v>0</v>
      </c>
      <c r="W164" s="1050">
        <f t="shared" si="27"/>
        <v>0</v>
      </c>
      <c r="X164" s="1050">
        <f t="shared" si="27"/>
        <v>0</v>
      </c>
      <c r="Y164" s="1050">
        <f t="shared" si="27"/>
        <v>0</v>
      </c>
      <c r="Z164" s="1050">
        <f t="shared" si="27"/>
        <v>0</v>
      </c>
      <c r="AA164" s="1050">
        <f t="shared" si="27"/>
        <v>0</v>
      </c>
      <c r="AB164" s="1050">
        <f t="shared" si="27"/>
        <v>0</v>
      </c>
      <c r="AC164" s="1050">
        <f t="shared" si="27"/>
        <v>0</v>
      </c>
      <c r="AD164" s="1050">
        <f t="shared" si="27"/>
        <v>0</v>
      </c>
      <c r="AE164" s="1050">
        <f t="shared" si="27"/>
        <v>0</v>
      </c>
      <c r="AF164" s="1050">
        <f t="shared" si="27"/>
        <v>0</v>
      </c>
      <c r="AG164" s="1050">
        <f t="shared" si="27"/>
        <v>0</v>
      </c>
      <c r="AH164" s="1050">
        <f t="shared" si="27"/>
        <v>0</v>
      </c>
      <c r="AI164" s="1050">
        <f t="shared" si="27"/>
        <v>0</v>
      </c>
      <c r="AJ164" s="1050">
        <f t="shared" si="27"/>
        <v>0</v>
      </c>
      <c r="AK164" s="1050">
        <f t="shared" si="27"/>
        <v>0</v>
      </c>
      <c r="AL164" s="1050">
        <f t="shared" si="27"/>
        <v>0</v>
      </c>
      <c r="AM164" s="1050">
        <f t="shared" si="27"/>
        <v>0</v>
      </c>
      <c r="AN164" s="1050">
        <f t="shared" si="27"/>
        <v>0</v>
      </c>
      <c r="AO164" s="1050">
        <f t="shared" si="27"/>
        <v>0</v>
      </c>
      <c r="AP164" s="1050">
        <f t="shared" si="27"/>
        <v>0</v>
      </c>
      <c r="AQ164" s="1050">
        <f t="shared" si="27"/>
        <v>0</v>
      </c>
      <c r="AR164" s="1050">
        <f t="shared" si="27"/>
        <v>0</v>
      </c>
      <c r="AS164" s="1050">
        <f t="shared" si="27"/>
        <v>0</v>
      </c>
      <c r="AT164" s="1050">
        <f t="shared" si="27"/>
        <v>0</v>
      </c>
      <c r="AU164" s="1050">
        <f t="shared" si="27"/>
        <v>0</v>
      </c>
      <c r="AV164" s="1050">
        <f t="shared" si="27"/>
        <v>0</v>
      </c>
      <c r="AW164" s="1050">
        <f t="shared" si="27"/>
        <v>0</v>
      </c>
      <c r="AX164" s="1050">
        <f t="shared" si="27"/>
        <v>0</v>
      </c>
    </row>
    <row r="166" spans="1:50" ht="15" customHeight="1">
      <c r="A166" s="347"/>
      <c r="B166" s="643"/>
      <c r="C166" s="333"/>
      <c r="D166" s="1112"/>
      <c r="E166" s="383" t="str">
        <f xml:space="preserve"> FiscalModel!E$20</f>
        <v>Additional royalty rate above price threshold</v>
      </c>
      <c r="F166" s="386">
        <f xml:space="preserve"> FiscalModel!F$20</f>
        <v>0</v>
      </c>
      <c r="G166" s="385" t="str">
        <f xml:space="preserve"> FiscalModel!G$20</f>
        <v>%</v>
      </c>
      <c r="H166" s="346"/>
      <c r="I166" s="1112"/>
      <c r="J166" s="1059"/>
      <c r="K166" s="1048"/>
      <c r="L166" s="1048"/>
      <c r="M166" s="1048"/>
      <c r="N166" s="1048"/>
      <c r="O166" s="1048"/>
      <c r="P166" s="1048"/>
      <c r="Q166" s="1048"/>
      <c r="R166" s="1048"/>
      <c r="S166" s="1048"/>
      <c r="T166" s="1048"/>
      <c r="U166" s="1048"/>
      <c r="V166" s="1048"/>
      <c r="W166" s="1048"/>
      <c r="X166" s="1048"/>
      <c r="Y166" s="1048"/>
      <c r="Z166" s="1048"/>
      <c r="AA166" s="1048"/>
      <c r="AB166" s="1048"/>
      <c r="AC166" s="1048"/>
      <c r="AD166" s="1048"/>
      <c r="AE166" s="1048"/>
      <c r="AF166" s="1048"/>
      <c r="AG166" s="1048"/>
      <c r="AH166" s="1048"/>
      <c r="AI166" s="1048"/>
      <c r="AJ166" s="1048"/>
      <c r="AK166" s="1048"/>
      <c r="AL166" s="1048"/>
      <c r="AM166" s="1048"/>
      <c r="AN166" s="1048"/>
      <c r="AO166" s="1048"/>
      <c r="AP166" s="1048"/>
      <c r="AQ166" s="1048"/>
      <c r="AR166" s="1048"/>
      <c r="AS166" s="1048"/>
      <c r="AT166" s="1048"/>
      <c r="AU166" s="1048"/>
      <c r="AV166" s="1048"/>
      <c r="AW166" s="1048"/>
      <c r="AX166" s="1048"/>
    </row>
    <row r="167" spans="1:50">
      <c r="A167" s="1041"/>
      <c r="D167" s="1005"/>
      <c r="E167" s="1041" t="str">
        <f>Translate!$E$180</f>
        <v>Price royalty rate</v>
      </c>
      <c r="F167" s="1041"/>
      <c r="G167" s="1041" t="s">
        <v>29</v>
      </c>
      <c r="H167" s="1041" t="str">
        <f>Translate!$E$302</f>
        <v>percentage of aggregate price</v>
      </c>
      <c r="I167" s="1041"/>
      <c r="J167" s="1041"/>
      <c r="K167" s="1050">
        <f t="shared" ref="K167:AX167" si="28" xml:space="preserve"> K164 * $F166</f>
        <v>0</v>
      </c>
      <c r="L167" s="1050">
        <f t="shared" si="28"/>
        <v>0</v>
      </c>
      <c r="M167" s="1050">
        <f t="shared" si="28"/>
        <v>0</v>
      </c>
      <c r="N167" s="1050">
        <f t="shared" si="28"/>
        <v>0</v>
      </c>
      <c r="O167" s="1050">
        <f t="shared" si="28"/>
        <v>0</v>
      </c>
      <c r="P167" s="1050">
        <f t="shared" si="28"/>
        <v>0</v>
      </c>
      <c r="Q167" s="1050">
        <f t="shared" si="28"/>
        <v>0</v>
      </c>
      <c r="R167" s="1050">
        <f t="shared" si="28"/>
        <v>0</v>
      </c>
      <c r="S167" s="1050">
        <f t="shared" si="28"/>
        <v>0</v>
      </c>
      <c r="T167" s="1050">
        <f t="shared" si="28"/>
        <v>0</v>
      </c>
      <c r="U167" s="1050">
        <f t="shared" si="28"/>
        <v>0</v>
      </c>
      <c r="V167" s="1050">
        <f t="shared" si="28"/>
        <v>0</v>
      </c>
      <c r="W167" s="1050">
        <f t="shared" si="28"/>
        <v>0</v>
      </c>
      <c r="X167" s="1050">
        <f t="shared" si="28"/>
        <v>0</v>
      </c>
      <c r="Y167" s="1050">
        <f t="shared" si="28"/>
        <v>0</v>
      </c>
      <c r="Z167" s="1050">
        <f t="shared" si="28"/>
        <v>0</v>
      </c>
      <c r="AA167" s="1050">
        <f t="shared" si="28"/>
        <v>0</v>
      </c>
      <c r="AB167" s="1050">
        <f t="shared" si="28"/>
        <v>0</v>
      </c>
      <c r="AC167" s="1050">
        <f t="shared" si="28"/>
        <v>0</v>
      </c>
      <c r="AD167" s="1050">
        <f t="shared" si="28"/>
        <v>0</v>
      </c>
      <c r="AE167" s="1050">
        <f t="shared" si="28"/>
        <v>0</v>
      </c>
      <c r="AF167" s="1050">
        <f t="shared" si="28"/>
        <v>0</v>
      </c>
      <c r="AG167" s="1050">
        <f t="shared" si="28"/>
        <v>0</v>
      </c>
      <c r="AH167" s="1050">
        <f t="shared" si="28"/>
        <v>0</v>
      </c>
      <c r="AI167" s="1050">
        <f t="shared" si="28"/>
        <v>0</v>
      </c>
      <c r="AJ167" s="1050">
        <f t="shared" si="28"/>
        <v>0</v>
      </c>
      <c r="AK167" s="1050">
        <f t="shared" si="28"/>
        <v>0</v>
      </c>
      <c r="AL167" s="1050">
        <f t="shared" si="28"/>
        <v>0</v>
      </c>
      <c r="AM167" s="1050">
        <f t="shared" si="28"/>
        <v>0</v>
      </c>
      <c r="AN167" s="1050">
        <f t="shared" si="28"/>
        <v>0</v>
      </c>
      <c r="AO167" s="1050">
        <f t="shared" si="28"/>
        <v>0</v>
      </c>
      <c r="AP167" s="1050">
        <f t="shared" si="28"/>
        <v>0</v>
      </c>
      <c r="AQ167" s="1050">
        <f t="shared" si="28"/>
        <v>0</v>
      </c>
      <c r="AR167" s="1050">
        <f t="shared" si="28"/>
        <v>0</v>
      </c>
      <c r="AS167" s="1050">
        <f t="shared" si="28"/>
        <v>0</v>
      </c>
      <c r="AT167" s="1050">
        <f t="shared" si="28"/>
        <v>0</v>
      </c>
      <c r="AU167" s="1050">
        <f t="shared" si="28"/>
        <v>0</v>
      </c>
      <c r="AV167" s="1050">
        <f t="shared" si="28"/>
        <v>0</v>
      </c>
      <c r="AW167" s="1050">
        <f t="shared" si="28"/>
        <v>0</v>
      </c>
      <c r="AX167" s="1050">
        <f t="shared" si="28"/>
        <v>0</v>
      </c>
    </row>
    <row r="168" spans="1:50" ht="15" customHeight="1">
      <c r="A168" s="347"/>
      <c r="B168" s="643"/>
      <c r="C168" s="333"/>
      <c r="D168" s="1112"/>
      <c r="E168" s="366"/>
      <c r="F168" s="366"/>
      <c r="G168" s="366"/>
      <c r="H168" s="366"/>
      <c r="I168" s="366"/>
      <c r="J168" s="366"/>
      <c r="K168" s="366"/>
      <c r="L168" s="366"/>
      <c r="M168" s="366"/>
      <c r="N168" s="366"/>
      <c r="O168" s="366"/>
      <c r="P168" s="366"/>
      <c r="Q168" s="366"/>
      <c r="R168" s="366"/>
      <c r="S168" s="366"/>
      <c r="T168" s="366"/>
      <c r="U168" s="366"/>
      <c r="V168" s="366"/>
      <c r="W168" s="366"/>
      <c r="X168" s="366"/>
      <c r="Y168" s="366"/>
      <c r="Z168" s="366"/>
      <c r="AA168" s="366"/>
      <c r="AB168" s="366"/>
      <c r="AC168" s="366"/>
      <c r="AD168" s="366"/>
      <c r="AE168" s="366"/>
      <c r="AF168" s="366"/>
      <c r="AG168" s="366"/>
      <c r="AH168" s="366"/>
      <c r="AI168" s="366"/>
      <c r="AJ168" s="366"/>
      <c r="AK168" s="366"/>
      <c r="AL168" s="366"/>
      <c r="AM168" s="366"/>
      <c r="AN168" s="366"/>
      <c r="AO168" s="366"/>
      <c r="AP168" s="366"/>
      <c r="AQ168" s="366"/>
      <c r="AR168" s="366"/>
      <c r="AS168" s="366"/>
      <c r="AT168" s="366"/>
      <c r="AU168" s="366"/>
      <c r="AV168" s="366"/>
      <c r="AW168" s="366"/>
      <c r="AX168" s="366"/>
    </row>
    <row r="169" spans="1:50" ht="15" customHeight="1">
      <c r="A169" s="347"/>
      <c r="B169" s="643" t="str">
        <f>Translate!$E$59</f>
        <v>Aggregate royalty rate</v>
      </c>
      <c r="C169" s="333"/>
      <c r="D169" s="1112"/>
      <c r="E169" s="366"/>
      <c r="F169" s="366"/>
      <c r="G169" s="366"/>
      <c r="H169" s="366"/>
      <c r="I169" s="366"/>
      <c r="J169" s="366"/>
      <c r="K169" s="366"/>
      <c r="L169" s="366"/>
      <c r="M169" s="366"/>
      <c r="N169" s="366"/>
      <c r="O169" s="366"/>
      <c r="P169" s="366"/>
      <c r="Q169" s="366"/>
      <c r="R169" s="366"/>
      <c r="S169" s="366"/>
      <c r="T169" s="366"/>
      <c r="U169" s="366"/>
      <c r="V169" s="366"/>
      <c r="W169" s="366"/>
      <c r="X169" s="366"/>
      <c r="Y169" s="366"/>
      <c r="Z169" s="366"/>
      <c r="AA169" s="366"/>
      <c r="AB169" s="366"/>
      <c r="AC169" s="366"/>
      <c r="AD169" s="366"/>
      <c r="AE169" s="366"/>
      <c r="AF169" s="366"/>
      <c r="AG169" s="366"/>
      <c r="AH169" s="366"/>
      <c r="AI169" s="366"/>
      <c r="AJ169" s="366"/>
      <c r="AK169" s="366"/>
      <c r="AL169" s="366"/>
      <c r="AM169" s="366"/>
      <c r="AN169" s="366"/>
      <c r="AO169" s="366"/>
      <c r="AP169" s="366"/>
      <c r="AQ169" s="366"/>
      <c r="AR169" s="366"/>
      <c r="AS169" s="366"/>
      <c r="AT169" s="366"/>
      <c r="AU169" s="366"/>
      <c r="AV169" s="366"/>
      <c r="AW169" s="366"/>
      <c r="AX169" s="366"/>
    </row>
    <row r="170" spans="1:50" s="478" customFormat="1">
      <c r="A170" s="1050"/>
      <c r="B170" s="707"/>
      <c r="C170" s="708"/>
      <c r="D170" s="1050"/>
      <c r="E170" s="1050" t="str">
        <f t="shared" ref="E170:AX170" si="29" xml:space="preserve"> E$153</f>
        <v>Flat royalty rate</v>
      </c>
      <c r="F170" s="1050">
        <f t="shared" si="29"/>
        <v>0</v>
      </c>
      <c r="G170" s="1050" t="str">
        <f t="shared" si="29"/>
        <v>%</v>
      </c>
      <c r="H170" s="1050">
        <f t="shared" si="29"/>
        <v>0</v>
      </c>
      <c r="I170" s="1050">
        <f t="shared" si="29"/>
        <v>0</v>
      </c>
      <c r="J170" s="1050">
        <f t="shared" si="29"/>
        <v>0</v>
      </c>
      <c r="K170" s="1050">
        <f t="shared" ca="1" si="29"/>
        <v>0</v>
      </c>
      <c r="L170" s="1050">
        <f t="shared" ca="1" si="29"/>
        <v>0</v>
      </c>
      <c r="M170" s="1050">
        <f t="shared" ca="1" si="29"/>
        <v>0</v>
      </c>
      <c r="N170" s="1050">
        <f t="shared" ca="1" si="29"/>
        <v>0</v>
      </c>
      <c r="O170" s="1050">
        <f t="shared" ca="1" si="29"/>
        <v>0.05</v>
      </c>
      <c r="P170" s="1050">
        <f t="shared" ca="1" si="29"/>
        <v>0.05</v>
      </c>
      <c r="Q170" s="1050">
        <f t="shared" ca="1" si="29"/>
        <v>0.05</v>
      </c>
      <c r="R170" s="1050">
        <f t="shared" ca="1" si="29"/>
        <v>0.05</v>
      </c>
      <c r="S170" s="1050">
        <f t="shared" ca="1" si="29"/>
        <v>0.05</v>
      </c>
      <c r="T170" s="1050">
        <f t="shared" ca="1" si="29"/>
        <v>0.05</v>
      </c>
      <c r="U170" s="1050">
        <f t="shared" ca="1" si="29"/>
        <v>0.05</v>
      </c>
      <c r="V170" s="1050">
        <f t="shared" ca="1" si="29"/>
        <v>0.05</v>
      </c>
      <c r="W170" s="1050">
        <f t="shared" ca="1" si="29"/>
        <v>0.05</v>
      </c>
      <c r="X170" s="1050">
        <f t="shared" ca="1" si="29"/>
        <v>0.05</v>
      </c>
      <c r="Y170" s="1050">
        <f t="shared" ca="1" si="29"/>
        <v>0.05</v>
      </c>
      <c r="Z170" s="1050">
        <f t="shared" ca="1" si="29"/>
        <v>0.05</v>
      </c>
      <c r="AA170" s="1050">
        <f t="shared" ca="1" si="29"/>
        <v>0.05</v>
      </c>
      <c r="AB170" s="1050">
        <f t="shared" ca="1" si="29"/>
        <v>0.05</v>
      </c>
      <c r="AC170" s="1050">
        <f t="shared" ca="1" si="29"/>
        <v>0.05</v>
      </c>
      <c r="AD170" s="1050">
        <f t="shared" ca="1" si="29"/>
        <v>0.05</v>
      </c>
      <c r="AE170" s="1050">
        <f t="shared" ca="1" si="29"/>
        <v>0.05</v>
      </c>
      <c r="AF170" s="1050">
        <f t="shared" ca="1" si="29"/>
        <v>0</v>
      </c>
      <c r="AG170" s="1050">
        <f t="shared" ca="1" si="29"/>
        <v>0</v>
      </c>
      <c r="AH170" s="1050">
        <f t="shared" ca="1" si="29"/>
        <v>0</v>
      </c>
      <c r="AI170" s="1050">
        <f t="shared" ca="1" si="29"/>
        <v>0</v>
      </c>
      <c r="AJ170" s="1050">
        <f t="shared" ca="1" si="29"/>
        <v>0</v>
      </c>
      <c r="AK170" s="1050">
        <f t="shared" ca="1" si="29"/>
        <v>0</v>
      </c>
      <c r="AL170" s="1050">
        <f t="shared" ca="1" si="29"/>
        <v>0</v>
      </c>
      <c r="AM170" s="1050">
        <f t="shared" ca="1" si="29"/>
        <v>0</v>
      </c>
      <c r="AN170" s="1050">
        <f t="shared" ca="1" si="29"/>
        <v>0</v>
      </c>
      <c r="AO170" s="1050">
        <f t="shared" ca="1" si="29"/>
        <v>0</v>
      </c>
      <c r="AP170" s="1050">
        <f t="shared" ca="1" si="29"/>
        <v>0</v>
      </c>
      <c r="AQ170" s="1050">
        <f t="shared" ca="1" si="29"/>
        <v>0</v>
      </c>
      <c r="AR170" s="1050">
        <f t="shared" ca="1" si="29"/>
        <v>0</v>
      </c>
      <c r="AS170" s="1050">
        <f t="shared" ca="1" si="29"/>
        <v>0</v>
      </c>
      <c r="AT170" s="1050">
        <f t="shared" ca="1" si="29"/>
        <v>0</v>
      </c>
      <c r="AU170" s="1050">
        <f t="shared" ca="1" si="29"/>
        <v>0</v>
      </c>
      <c r="AV170" s="1050">
        <f t="shared" ca="1" si="29"/>
        <v>0</v>
      </c>
      <c r="AW170" s="1050">
        <f t="shared" ca="1" si="29"/>
        <v>0</v>
      </c>
      <c r="AX170" s="1050">
        <f t="shared" ca="1" si="29"/>
        <v>0</v>
      </c>
    </row>
    <row r="171" spans="1:50" s="526" customFormat="1" ht="15" customHeight="1">
      <c r="A171" s="523"/>
      <c r="B171" s="524"/>
      <c r="C171" s="525"/>
      <c r="D171" s="438"/>
      <c r="E171" s="438" t="str">
        <f t="shared" ref="E171:AX171" si="30" xml:space="preserve"> E$167</f>
        <v>Price royalty rate</v>
      </c>
      <c r="F171" s="438">
        <f t="shared" si="30"/>
        <v>0</v>
      </c>
      <c r="G171" s="438" t="str">
        <f t="shared" si="30"/>
        <v>%</v>
      </c>
      <c r="H171" s="438" t="str">
        <f t="shared" si="30"/>
        <v>percentage of aggregate price</v>
      </c>
      <c r="I171" s="438">
        <f t="shared" si="30"/>
        <v>0</v>
      </c>
      <c r="J171" s="438">
        <f t="shared" si="30"/>
        <v>0</v>
      </c>
      <c r="K171" s="438">
        <f t="shared" si="30"/>
        <v>0</v>
      </c>
      <c r="L171" s="438">
        <f t="shared" si="30"/>
        <v>0</v>
      </c>
      <c r="M171" s="438">
        <f t="shared" si="30"/>
        <v>0</v>
      </c>
      <c r="N171" s="438">
        <f t="shared" si="30"/>
        <v>0</v>
      </c>
      <c r="O171" s="438">
        <f t="shared" si="30"/>
        <v>0</v>
      </c>
      <c r="P171" s="438">
        <f t="shared" si="30"/>
        <v>0</v>
      </c>
      <c r="Q171" s="438">
        <f t="shared" si="30"/>
        <v>0</v>
      </c>
      <c r="R171" s="438">
        <f t="shared" si="30"/>
        <v>0</v>
      </c>
      <c r="S171" s="438">
        <f t="shared" si="30"/>
        <v>0</v>
      </c>
      <c r="T171" s="438">
        <f t="shared" si="30"/>
        <v>0</v>
      </c>
      <c r="U171" s="438">
        <f t="shared" si="30"/>
        <v>0</v>
      </c>
      <c r="V171" s="438">
        <f t="shared" si="30"/>
        <v>0</v>
      </c>
      <c r="W171" s="438">
        <f t="shared" si="30"/>
        <v>0</v>
      </c>
      <c r="X171" s="438">
        <f t="shared" si="30"/>
        <v>0</v>
      </c>
      <c r="Y171" s="438">
        <f t="shared" si="30"/>
        <v>0</v>
      </c>
      <c r="Z171" s="438">
        <f t="shared" si="30"/>
        <v>0</v>
      </c>
      <c r="AA171" s="438">
        <f t="shared" si="30"/>
        <v>0</v>
      </c>
      <c r="AB171" s="438">
        <f t="shared" si="30"/>
        <v>0</v>
      </c>
      <c r="AC171" s="438">
        <f t="shared" si="30"/>
        <v>0</v>
      </c>
      <c r="AD171" s="438">
        <f t="shared" si="30"/>
        <v>0</v>
      </c>
      <c r="AE171" s="438">
        <f t="shared" si="30"/>
        <v>0</v>
      </c>
      <c r="AF171" s="438">
        <f t="shared" si="30"/>
        <v>0</v>
      </c>
      <c r="AG171" s="438">
        <f t="shared" si="30"/>
        <v>0</v>
      </c>
      <c r="AH171" s="438">
        <f t="shared" si="30"/>
        <v>0</v>
      </c>
      <c r="AI171" s="438">
        <f t="shared" si="30"/>
        <v>0</v>
      </c>
      <c r="AJ171" s="438">
        <f t="shared" si="30"/>
        <v>0</v>
      </c>
      <c r="AK171" s="438">
        <f t="shared" si="30"/>
        <v>0</v>
      </c>
      <c r="AL171" s="438">
        <f t="shared" si="30"/>
        <v>0</v>
      </c>
      <c r="AM171" s="438">
        <f t="shared" si="30"/>
        <v>0</v>
      </c>
      <c r="AN171" s="438">
        <f t="shared" si="30"/>
        <v>0</v>
      </c>
      <c r="AO171" s="438">
        <f t="shared" si="30"/>
        <v>0</v>
      </c>
      <c r="AP171" s="438">
        <f t="shared" si="30"/>
        <v>0</v>
      </c>
      <c r="AQ171" s="438">
        <f t="shared" si="30"/>
        <v>0</v>
      </c>
      <c r="AR171" s="438">
        <f t="shared" si="30"/>
        <v>0</v>
      </c>
      <c r="AS171" s="438">
        <f t="shared" si="30"/>
        <v>0</v>
      </c>
      <c r="AT171" s="438">
        <f t="shared" si="30"/>
        <v>0</v>
      </c>
      <c r="AU171" s="438">
        <f t="shared" si="30"/>
        <v>0</v>
      </c>
      <c r="AV171" s="438">
        <f t="shared" si="30"/>
        <v>0</v>
      </c>
      <c r="AW171" s="438">
        <f t="shared" si="30"/>
        <v>0</v>
      </c>
      <c r="AX171" s="438">
        <f t="shared" si="30"/>
        <v>0</v>
      </c>
    </row>
    <row r="172" spans="1:50" s="712" customFormat="1" ht="15" customHeight="1">
      <c r="A172" s="709"/>
      <c r="B172" s="710"/>
      <c r="C172" s="711"/>
      <c r="D172" s="709"/>
      <c r="E172" s="709" t="str">
        <f>Translate!$E$181</f>
        <v>Royalty rate</v>
      </c>
      <c r="F172" s="709"/>
      <c r="G172" s="709" t="s">
        <v>29</v>
      </c>
      <c r="H172" s="709"/>
      <c r="I172" s="709"/>
      <c r="J172" s="709"/>
      <c r="K172" s="709">
        <f t="shared" ref="K172:AX172" ca="1" si="31">SUM(K170:K171)</f>
        <v>0</v>
      </c>
      <c r="L172" s="709">
        <f t="shared" ca="1" si="31"/>
        <v>0</v>
      </c>
      <c r="M172" s="709">
        <f t="shared" ca="1" si="31"/>
        <v>0</v>
      </c>
      <c r="N172" s="709">
        <f t="shared" ca="1" si="31"/>
        <v>0</v>
      </c>
      <c r="O172" s="709">
        <f t="shared" ca="1" si="31"/>
        <v>0.05</v>
      </c>
      <c r="P172" s="709">
        <f t="shared" ca="1" si="31"/>
        <v>0.05</v>
      </c>
      <c r="Q172" s="709">
        <f t="shared" ca="1" si="31"/>
        <v>0.05</v>
      </c>
      <c r="R172" s="709">
        <f t="shared" ca="1" si="31"/>
        <v>0.05</v>
      </c>
      <c r="S172" s="709">
        <f t="shared" ca="1" si="31"/>
        <v>0.05</v>
      </c>
      <c r="T172" s="709">
        <f t="shared" ca="1" si="31"/>
        <v>0.05</v>
      </c>
      <c r="U172" s="709">
        <f t="shared" ca="1" si="31"/>
        <v>0.05</v>
      </c>
      <c r="V172" s="709">
        <f t="shared" ca="1" si="31"/>
        <v>0.05</v>
      </c>
      <c r="W172" s="709">
        <f t="shared" ca="1" si="31"/>
        <v>0.05</v>
      </c>
      <c r="X172" s="709">
        <f t="shared" ca="1" si="31"/>
        <v>0.05</v>
      </c>
      <c r="Y172" s="709">
        <f t="shared" ca="1" si="31"/>
        <v>0.05</v>
      </c>
      <c r="Z172" s="709">
        <f t="shared" ca="1" si="31"/>
        <v>0.05</v>
      </c>
      <c r="AA172" s="709">
        <f t="shared" ca="1" si="31"/>
        <v>0.05</v>
      </c>
      <c r="AB172" s="709">
        <f t="shared" ca="1" si="31"/>
        <v>0.05</v>
      </c>
      <c r="AC172" s="709">
        <f t="shared" ca="1" si="31"/>
        <v>0.05</v>
      </c>
      <c r="AD172" s="709">
        <f t="shared" ca="1" si="31"/>
        <v>0.05</v>
      </c>
      <c r="AE172" s="709">
        <f t="shared" ca="1" si="31"/>
        <v>0.05</v>
      </c>
      <c r="AF172" s="709">
        <f t="shared" ca="1" si="31"/>
        <v>0</v>
      </c>
      <c r="AG172" s="709">
        <f t="shared" ca="1" si="31"/>
        <v>0</v>
      </c>
      <c r="AH172" s="709">
        <f t="shared" ca="1" si="31"/>
        <v>0</v>
      </c>
      <c r="AI172" s="709">
        <f t="shared" ca="1" si="31"/>
        <v>0</v>
      </c>
      <c r="AJ172" s="709">
        <f t="shared" ca="1" si="31"/>
        <v>0</v>
      </c>
      <c r="AK172" s="709">
        <f t="shared" ca="1" si="31"/>
        <v>0</v>
      </c>
      <c r="AL172" s="709">
        <f t="shared" ca="1" si="31"/>
        <v>0</v>
      </c>
      <c r="AM172" s="709">
        <f t="shared" ca="1" si="31"/>
        <v>0</v>
      </c>
      <c r="AN172" s="709">
        <f t="shared" ca="1" si="31"/>
        <v>0</v>
      </c>
      <c r="AO172" s="709">
        <f t="shared" ca="1" si="31"/>
        <v>0</v>
      </c>
      <c r="AP172" s="709">
        <f t="shared" ca="1" si="31"/>
        <v>0</v>
      </c>
      <c r="AQ172" s="709">
        <f t="shared" ca="1" si="31"/>
        <v>0</v>
      </c>
      <c r="AR172" s="709">
        <f t="shared" ca="1" si="31"/>
        <v>0</v>
      </c>
      <c r="AS172" s="709">
        <f t="shared" ca="1" si="31"/>
        <v>0</v>
      </c>
      <c r="AT172" s="709">
        <f t="shared" ca="1" si="31"/>
        <v>0</v>
      </c>
      <c r="AU172" s="709">
        <f t="shared" ca="1" si="31"/>
        <v>0</v>
      </c>
      <c r="AV172" s="709">
        <f t="shared" ca="1" si="31"/>
        <v>0</v>
      </c>
      <c r="AW172" s="709">
        <f t="shared" ca="1" si="31"/>
        <v>0</v>
      </c>
      <c r="AX172" s="709">
        <f t="shared" ca="1" si="31"/>
        <v>0</v>
      </c>
    </row>
    <row r="173" spans="1:50" ht="15" customHeight="1">
      <c r="A173" s="347"/>
      <c r="B173" s="643"/>
      <c r="C173" s="333"/>
      <c r="D173" s="1112"/>
      <c r="E173" s="383"/>
      <c r="F173" s="386"/>
      <c r="G173" s="385"/>
      <c r="H173" s="346"/>
      <c r="I173" s="1112"/>
      <c r="J173" s="1059"/>
      <c r="K173" s="1048"/>
      <c r="L173" s="1048"/>
      <c r="M173" s="1048"/>
      <c r="N173" s="1048"/>
      <c r="O173" s="1048"/>
      <c r="P173" s="1048"/>
      <c r="Q173" s="1048"/>
      <c r="R173" s="1048"/>
      <c r="S173" s="1048"/>
      <c r="T173" s="1048"/>
      <c r="U173" s="1048"/>
      <c r="V173" s="1048"/>
      <c r="W173" s="1048"/>
      <c r="X173" s="1048"/>
      <c r="Y173" s="1048"/>
      <c r="Z173" s="1048"/>
      <c r="AA173" s="1048"/>
      <c r="AB173" s="1048"/>
      <c r="AC173" s="1048"/>
      <c r="AD173" s="1048"/>
      <c r="AE173" s="1048"/>
      <c r="AF173" s="1048"/>
      <c r="AG173" s="1048"/>
      <c r="AH173" s="1048"/>
      <c r="AI173" s="1048"/>
      <c r="AJ173" s="1048"/>
      <c r="AK173" s="1048"/>
      <c r="AL173" s="1048"/>
      <c r="AM173" s="1048"/>
      <c r="AN173" s="1048"/>
      <c r="AO173" s="1048"/>
      <c r="AP173" s="1048"/>
      <c r="AQ173" s="1048"/>
      <c r="AR173" s="1048"/>
      <c r="AS173" s="1048"/>
      <c r="AT173" s="1048"/>
      <c r="AU173" s="1048"/>
      <c r="AV173" s="1048"/>
      <c r="AW173" s="1048"/>
      <c r="AX173" s="1048"/>
    </row>
    <row r="174" spans="1:50" ht="15" customHeight="1">
      <c r="A174" s="397"/>
      <c r="B174" s="694"/>
      <c r="C174" s="372"/>
      <c r="D174" s="1024"/>
      <c r="E174" s="1024" t="str">
        <f>Translate!$E$25</f>
        <v>Royalty</v>
      </c>
      <c r="F174" s="1024"/>
      <c r="G174" s="22" t="str">
        <f xml:space="preserve"> Translate!E$10</f>
        <v>US$ mn</v>
      </c>
      <c r="H174" s="22"/>
      <c r="I174" s="1024">
        <f ca="1" xml:space="preserve"> SUM(K174:AX174)</f>
        <v>186.66390095677471</v>
      </c>
      <c r="J174" s="1024"/>
      <c r="K174" s="1024">
        <f t="shared" ref="K174:AX174" ca="1" si="32" xml:space="preserve"> K148 * K172</f>
        <v>0</v>
      </c>
      <c r="L174" s="1024">
        <f t="shared" ca="1" si="32"/>
        <v>0</v>
      </c>
      <c r="M174" s="1024">
        <f t="shared" ca="1" si="32"/>
        <v>0</v>
      </c>
      <c r="N174" s="1024">
        <f t="shared" ca="1" si="32"/>
        <v>0</v>
      </c>
      <c r="O174" s="1024">
        <f t="shared" ca="1" si="32"/>
        <v>0.79829371800000004</v>
      </c>
      <c r="P174" s="1024">
        <f t="shared" ca="1" si="32"/>
        <v>6.1069469427000005</v>
      </c>
      <c r="Q174" s="1024">
        <f t="shared" ca="1" si="32"/>
        <v>12.458171763108002</v>
      </c>
      <c r="R174" s="1024">
        <f t="shared" ca="1" si="32"/>
        <v>12.70733519837016</v>
      </c>
      <c r="S174" s="1024">
        <f t="shared" ca="1" si="32"/>
        <v>12.961481902337566</v>
      </c>
      <c r="T174" s="1024">
        <f t="shared" ca="1" si="32"/>
        <v>13.220711540384318</v>
      </c>
      <c r="U174" s="1024">
        <f t="shared" ca="1" si="32"/>
        <v>13.485125771192003</v>
      </c>
      <c r="V174" s="1024">
        <f t="shared" ca="1" si="32"/>
        <v>13.754828286615842</v>
      </c>
      <c r="W174" s="1024">
        <f t="shared" ca="1" si="32"/>
        <v>14.029924852348159</v>
      </c>
      <c r="X174" s="1024">
        <f t="shared" ca="1" si="32"/>
        <v>14.310523349395121</v>
      </c>
      <c r="Y174" s="1024">
        <f t="shared" ca="1" si="32"/>
        <v>14.596733816383029</v>
      </c>
      <c r="Z174" s="1024">
        <f t="shared" ca="1" si="32"/>
        <v>14.888668492710687</v>
      </c>
      <c r="AA174" s="1024">
        <f t="shared" ca="1" si="32"/>
        <v>12.655368218804085</v>
      </c>
      <c r="AB174" s="1024">
        <f t="shared" ca="1" si="32"/>
        <v>10.326780466544134</v>
      </c>
      <c r="AC174" s="1024">
        <f t="shared" ca="1" si="32"/>
        <v>7.8999870569062622</v>
      </c>
      <c r="AD174" s="1024">
        <f t="shared" ca="1" si="32"/>
        <v>6.9835885583051356</v>
      </c>
      <c r="AE174" s="1024">
        <f t="shared" ca="1" si="32"/>
        <v>5.4794310226701839</v>
      </c>
      <c r="AF174" s="1024">
        <f t="shared" ca="1" si="32"/>
        <v>0</v>
      </c>
      <c r="AG174" s="1024">
        <f t="shared" ca="1" si="32"/>
        <v>0</v>
      </c>
      <c r="AH174" s="1024">
        <f t="shared" ca="1" si="32"/>
        <v>0</v>
      </c>
      <c r="AI174" s="1024">
        <f t="shared" ca="1" si="32"/>
        <v>0</v>
      </c>
      <c r="AJ174" s="1024">
        <f t="shared" ca="1" si="32"/>
        <v>0</v>
      </c>
      <c r="AK174" s="1024">
        <f t="shared" ca="1" si="32"/>
        <v>0</v>
      </c>
      <c r="AL174" s="1024">
        <f t="shared" ca="1" si="32"/>
        <v>0</v>
      </c>
      <c r="AM174" s="1024">
        <f t="shared" ca="1" si="32"/>
        <v>0</v>
      </c>
      <c r="AN174" s="1024">
        <f t="shared" ca="1" si="32"/>
        <v>0</v>
      </c>
      <c r="AO174" s="1024">
        <f t="shared" ca="1" si="32"/>
        <v>0</v>
      </c>
      <c r="AP174" s="1024">
        <f t="shared" ca="1" si="32"/>
        <v>0</v>
      </c>
      <c r="AQ174" s="1024">
        <f t="shared" ca="1" si="32"/>
        <v>0</v>
      </c>
      <c r="AR174" s="1024">
        <f t="shared" ca="1" si="32"/>
        <v>0</v>
      </c>
      <c r="AS174" s="1024">
        <f t="shared" ca="1" si="32"/>
        <v>0</v>
      </c>
      <c r="AT174" s="1024">
        <f t="shared" ca="1" si="32"/>
        <v>0</v>
      </c>
      <c r="AU174" s="1024">
        <f t="shared" ca="1" si="32"/>
        <v>0</v>
      </c>
      <c r="AV174" s="1024">
        <f t="shared" ca="1" si="32"/>
        <v>0</v>
      </c>
      <c r="AW174" s="1024">
        <f t="shared" ca="1" si="32"/>
        <v>0</v>
      </c>
      <c r="AX174" s="1024">
        <f t="shared" ca="1" si="32"/>
        <v>0</v>
      </c>
    </row>
    <row r="175" spans="1:50" ht="15" customHeight="1">
      <c r="A175" s="347"/>
      <c r="B175" s="643"/>
      <c r="C175" s="333"/>
      <c r="D175" s="1112"/>
      <c r="E175" s="1024"/>
      <c r="F175" s="1059"/>
      <c r="G175" s="346"/>
      <c r="H175" s="346"/>
      <c r="I175" s="1112"/>
      <c r="J175" s="1059"/>
      <c r="K175" s="1048"/>
      <c r="L175" s="1048"/>
      <c r="M175" s="1048"/>
      <c r="N175" s="1048"/>
      <c r="O175" s="1048"/>
      <c r="P175" s="1048"/>
      <c r="Q175" s="1048"/>
      <c r="R175" s="1048"/>
      <c r="S175" s="1048"/>
      <c r="T175" s="1048"/>
      <c r="U175" s="1048"/>
      <c r="V175" s="1048"/>
      <c r="W175" s="1048"/>
      <c r="X175" s="1048"/>
      <c r="Y175" s="1048"/>
      <c r="Z175" s="1048"/>
      <c r="AA175" s="1048"/>
      <c r="AB175" s="1048"/>
      <c r="AC175" s="1048"/>
      <c r="AD175" s="1048"/>
      <c r="AE175" s="1048"/>
      <c r="AF175" s="1048"/>
      <c r="AG175" s="1048"/>
      <c r="AH175" s="1048"/>
      <c r="AI175" s="1048"/>
      <c r="AJ175" s="1048"/>
      <c r="AK175" s="1048"/>
      <c r="AL175" s="1048"/>
      <c r="AM175" s="1048"/>
      <c r="AN175" s="1048"/>
      <c r="AO175" s="1048"/>
      <c r="AP175" s="1048"/>
      <c r="AQ175" s="1048"/>
      <c r="AR175" s="1048"/>
      <c r="AS175" s="1048"/>
      <c r="AT175" s="1048"/>
      <c r="AU175" s="1048"/>
      <c r="AV175" s="1048"/>
      <c r="AW175" s="1048"/>
      <c r="AX175" s="1048"/>
    </row>
    <row r="176" spans="1:50" ht="15" customHeight="1">
      <c r="A176" s="347"/>
      <c r="B176" s="643" t="str">
        <f>Translate!$E$60</f>
        <v>Net revenues after royalty</v>
      </c>
      <c r="C176" s="333"/>
      <c r="D176" s="1112"/>
      <c r="E176" s="1024"/>
      <c r="F176" s="1059"/>
      <c r="G176" s="346"/>
      <c r="H176" s="346"/>
      <c r="I176" s="1112"/>
      <c r="J176" s="1059"/>
      <c r="K176" s="1048"/>
      <c r="L176" s="1048"/>
      <c r="M176" s="1048"/>
      <c r="N176" s="1048"/>
      <c r="O176" s="1048"/>
      <c r="P176" s="1048"/>
      <c r="Q176" s="1048"/>
      <c r="R176" s="1048"/>
      <c r="S176" s="1048"/>
      <c r="T176" s="1048"/>
      <c r="U176" s="1048"/>
      <c r="V176" s="1048"/>
      <c r="W176" s="1048"/>
      <c r="X176" s="1048"/>
      <c r="Y176" s="1048"/>
      <c r="Z176" s="1048"/>
      <c r="AA176" s="1048"/>
      <c r="AB176" s="1048"/>
      <c r="AC176" s="1048"/>
      <c r="AD176" s="1048"/>
      <c r="AE176" s="1048"/>
      <c r="AF176" s="1048"/>
      <c r="AG176" s="1048"/>
      <c r="AH176" s="1048"/>
      <c r="AI176" s="1048"/>
      <c r="AJ176" s="1048"/>
      <c r="AK176" s="1048"/>
      <c r="AL176" s="1048"/>
      <c r="AM176" s="1048"/>
      <c r="AN176" s="1048"/>
      <c r="AO176" s="1048"/>
      <c r="AP176" s="1048"/>
      <c r="AQ176" s="1048"/>
      <c r="AR176" s="1048"/>
      <c r="AS176" s="1048"/>
      <c r="AT176" s="1048"/>
      <c r="AU176" s="1048"/>
      <c r="AV176" s="1048"/>
      <c r="AW176" s="1048"/>
      <c r="AX176" s="1048"/>
    </row>
    <row r="177" spans="1:50" ht="15" customHeight="1">
      <c r="A177" s="347"/>
      <c r="B177" s="643"/>
      <c r="C177" s="333"/>
      <c r="D177" s="1112"/>
      <c r="E177" s="366" t="str">
        <f xml:space="preserve"> ProjectCashflows!E$236</f>
        <v>Sales revenues: net, after ELT</v>
      </c>
      <c r="F177" s="366">
        <f xml:space="preserve"> ProjectCashflows!F$236</f>
        <v>0</v>
      </c>
      <c r="G177" s="366" t="str">
        <f xml:space="preserve"> ProjectCashflows!G$236</f>
        <v>US$ mn</v>
      </c>
      <c r="H177" s="366">
        <f xml:space="preserve"> ProjectCashflows!H$236</f>
        <v>0</v>
      </c>
      <c r="I177" s="366">
        <f ca="1" xml:space="preserve"> ProjectCashflows!I$236</f>
        <v>3733.2780191354932</v>
      </c>
      <c r="J177" s="366">
        <f xml:space="preserve"> ProjectCashflows!J$236</f>
        <v>0</v>
      </c>
      <c r="K177" s="366">
        <f ca="1" xml:space="preserve"> ProjectCashflows!K$236</f>
        <v>0</v>
      </c>
      <c r="L177" s="366">
        <f ca="1" xml:space="preserve"> ProjectCashflows!L$236</f>
        <v>0</v>
      </c>
      <c r="M177" s="366">
        <f ca="1" xml:space="preserve"> ProjectCashflows!M$236</f>
        <v>0</v>
      </c>
      <c r="N177" s="366">
        <f ca="1" xml:space="preserve"> ProjectCashflows!N$236</f>
        <v>0</v>
      </c>
      <c r="O177" s="366">
        <f ca="1" xml:space="preserve"> ProjectCashflows!O$236</f>
        <v>15.965874359999999</v>
      </c>
      <c r="P177" s="366">
        <f ca="1" xml:space="preserve"> ProjectCashflows!P$236</f>
        <v>122.138938854</v>
      </c>
      <c r="Q177" s="366">
        <f ca="1" xml:space="preserve"> ProjectCashflows!Q$236</f>
        <v>249.16343526216002</v>
      </c>
      <c r="R177" s="366">
        <f ca="1" xml:space="preserve"> ProjectCashflows!R$236</f>
        <v>254.14670396740317</v>
      </c>
      <c r="S177" s="366">
        <f ca="1" xml:space="preserve"> ProjectCashflows!S$236</f>
        <v>259.22963804675129</v>
      </c>
      <c r="T177" s="366">
        <f ca="1" xml:space="preserve"> ProjectCashflows!T$236</f>
        <v>264.41423080768635</v>
      </c>
      <c r="U177" s="366">
        <f ca="1" xml:space="preserve"> ProjectCashflows!U$236</f>
        <v>269.70251542384005</v>
      </c>
      <c r="V177" s="366">
        <f ca="1" xml:space="preserve"> ProjectCashflows!V$236</f>
        <v>275.09656573231683</v>
      </c>
      <c r="W177" s="366">
        <f ca="1" xml:space="preserve"> ProjectCashflows!W$236</f>
        <v>280.59849704696319</v>
      </c>
      <c r="X177" s="366">
        <f ca="1" xml:space="preserve"> ProjectCashflows!X$236</f>
        <v>286.21046698790241</v>
      </c>
      <c r="Y177" s="366">
        <f ca="1" xml:space="preserve"> ProjectCashflows!Y$236</f>
        <v>291.93467632766055</v>
      </c>
      <c r="Z177" s="366">
        <f ca="1" xml:space="preserve"> ProjectCashflows!Z$236</f>
        <v>297.77336985421374</v>
      </c>
      <c r="AA177" s="366">
        <f ca="1" xml:space="preserve"> ProjectCashflows!AA$236</f>
        <v>253.1073643760817</v>
      </c>
      <c r="AB177" s="366">
        <f ca="1" xml:space="preserve"> ProjectCashflows!AB$236</f>
        <v>206.53560933088266</v>
      </c>
      <c r="AC177" s="366">
        <f ca="1" xml:space="preserve"> ProjectCashflows!AC$236</f>
        <v>157.99974113812524</v>
      </c>
      <c r="AD177" s="366">
        <f ca="1" xml:space="preserve"> ProjectCashflows!AD$236</f>
        <v>139.6717711661027</v>
      </c>
      <c r="AE177" s="366">
        <f ca="1" xml:space="preserve"> ProjectCashflows!AE$236</f>
        <v>109.58862045340366</v>
      </c>
      <c r="AF177" s="366">
        <f ca="1" xml:space="preserve"> ProjectCashflows!AF$236</f>
        <v>0</v>
      </c>
      <c r="AG177" s="366">
        <f ca="1" xml:space="preserve"> ProjectCashflows!AG$236</f>
        <v>0</v>
      </c>
      <c r="AH177" s="366">
        <f ca="1" xml:space="preserve"> ProjectCashflows!AH$236</f>
        <v>0</v>
      </c>
      <c r="AI177" s="366">
        <f ca="1" xml:space="preserve"> ProjectCashflows!AI$236</f>
        <v>0</v>
      </c>
      <c r="AJ177" s="366">
        <f ca="1" xml:space="preserve"> ProjectCashflows!AJ$236</f>
        <v>0</v>
      </c>
      <c r="AK177" s="366">
        <f ca="1" xml:space="preserve"> ProjectCashflows!AK$236</f>
        <v>0</v>
      </c>
      <c r="AL177" s="366">
        <f ca="1" xml:space="preserve"> ProjectCashflows!AL$236</f>
        <v>0</v>
      </c>
      <c r="AM177" s="366">
        <f ca="1" xml:space="preserve"> ProjectCashflows!AM$236</f>
        <v>0</v>
      </c>
      <c r="AN177" s="366">
        <f ca="1" xml:space="preserve"> ProjectCashflows!AN$236</f>
        <v>0</v>
      </c>
      <c r="AO177" s="366">
        <f ca="1" xml:space="preserve"> ProjectCashflows!AO$236</f>
        <v>0</v>
      </c>
      <c r="AP177" s="366">
        <f ca="1" xml:space="preserve"> ProjectCashflows!AP$236</f>
        <v>0</v>
      </c>
      <c r="AQ177" s="366">
        <f ca="1" xml:space="preserve"> ProjectCashflows!AQ$236</f>
        <v>0</v>
      </c>
      <c r="AR177" s="366">
        <f ca="1" xml:space="preserve"> ProjectCashflows!AR$236</f>
        <v>0</v>
      </c>
      <c r="AS177" s="366">
        <f ca="1" xml:space="preserve"> ProjectCashflows!AS$236</f>
        <v>0</v>
      </c>
      <c r="AT177" s="366">
        <f ca="1" xml:space="preserve"> ProjectCashflows!AT$236</f>
        <v>0</v>
      </c>
      <c r="AU177" s="366">
        <f ca="1" xml:space="preserve"> ProjectCashflows!AU$236</f>
        <v>0</v>
      </c>
      <c r="AV177" s="366">
        <f ca="1" xml:space="preserve"> ProjectCashflows!AV$236</f>
        <v>0</v>
      </c>
      <c r="AW177" s="366">
        <f ca="1" xml:space="preserve"> ProjectCashflows!AW$236</f>
        <v>0</v>
      </c>
      <c r="AX177" s="366">
        <f ca="1" xml:space="preserve"> ProjectCashflows!AX$236</f>
        <v>0</v>
      </c>
    </row>
    <row r="178" spans="1:50" ht="15" customHeight="1">
      <c r="A178" s="347"/>
      <c r="B178" s="643"/>
      <c r="C178" s="333"/>
      <c r="D178" s="1112"/>
      <c r="E178" s="1024" t="str">
        <f t="shared" ref="E178:AX178" si="33" xml:space="preserve"> E$174</f>
        <v>Royalty</v>
      </c>
      <c r="F178" s="1024">
        <f t="shared" si="33"/>
        <v>0</v>
      </c>
      <c r="G178" s="1024" t="str">
        <f t="shared" si="33"/>
        <v>US$ mn</v>
      </c>
      <c r="H178" s="1024">
        <f t="shared" si="33"/>
        <v>0</v>
      </c>
      <c r="I178" s="1024">
        <f t="shared" ca="1" si="33"/>
        <v>186.66390095677471</v>
      </c>
      <c r="J178" s="1024">
        <f t="shared" si="33"/>
        <v>0</v>
      </c>
      <c r="K178" s="1024">
        <f t="shared" ca="1" si="33"/>
        <v>0</v>
      </c>
      <c r="L178" s="1024">
        <f t="shared" ca="1" si="33"/>
        <v>0</v>
      </c>
      <c r="M178" s="1024">
        <f t="shared" ca="1" si="33"/>
        <v>0</v>
      </c>
      <c r="N178" s="1024">
        <f t="shared" ca="1" si="33"/>
        <v>0</v>
      </c>
      <c r="O178" s="1024">
        <f t="shared" ca="1" si="33"/>
        <v>0.79829371800000004</v>
      </c>
      <c r="P178" s="1024">
        <f t="shared" ca="1" si="33"/>
        <v>6.1069469427000005</v>
      </c>
      <c r="Q178" s="1024">
        <f t="shared" ca="1" si="33"/>
        <v>12.458171763108002</v>
      </c>
      <c r="R178" s="1024">
        <f t="shared" ca="1" si="33"/>
        <v>12.70733519837016</v>
      </c>
      <c r="S178" s="1024">
        <f t="shared" ca="1" si="33"/>
        <v>12.961481902337566</v>
      </c>
      <c r="T178" s="1024">
        <f t="shared" ca="1" si="33"/>
        <v>13.220711540384318</v>
      </c>
      <c r="U178" s="1024">
        <f t="shared" ca="1" si="33"/>
        <v>13.485125771192003</v>
      </c>
      <c r="V178" s="1024">
        <f t="shared" ca="1" si="33"/>
        <v>13.754828286615842</v>
      </c>
      <c r="W178" s="1024">
        <f t="shared" ca="1" si="33"/>
        <v>14.029924852348159</v>
      </c>
      <c r="X178" s="1024">
        <f t="shared" ca="1" si="33"/>
        <v>14.310523349395121</v>
      </c>
      <c r="Y178" s="1024">
        <f t="shared" ca="1" si="33"/>
        <v>14.596733816383029</v>
      </c>
      <c r="Z178" s="1024">
        <f t="shared" ca="1" si="33"/>
        <v>14.888668492710687</v>
      </c>
      <c r="AA178" s="1024">
        <f t="shared" ca="1" si="33"/>
        <v>12.655368218804085</v>
      </c>
      <c r="AB178" s="1024">
        <f t="shared" ca="1" si="33"/>
        <v>10.326780466544134</v>
      </c>
      <c r="AC178" s="1024">
        <f t="shared" ca="1" si="33"/>
        <v>7.8999870569062622</v>
      </c>
      <c r="AD178" s="1024">
        <f t="shared" ca="1" si="33"/>
        <v>6.9835885583051356</v>
      </c>
      <c r="AE178" s="1024">
        <f t="shared" ca="1" si="33"/>
        <v>5.4794310226701839</v>
      </c>
      <c r="AF178" s="1024">
        <f t="shared" ca="1" si="33"/>
        <v>0</v>
      </c>
      <c r="AG178" s="1024">
        <f t="shared" ca="1" si="33"/>
        <v>0</v>
      </c>
      <c r="AH178" s="1024">
        <f t="shared" ca="1" si="33"/>
        <v>0</v>
      </c>
      <c r="AI178" s="1024">
        <f t="shared" ca="1" si="33"/>
        <v>0</v>
      </c>
      <c r="AJ178" s="1024">
        <f t="shared" ca="1" si="33"/>
        <v>0</v>
      </c>
      <c r="AK178" s="1024">
        <f t="shared" ca="1" si="33"/>
        <v>0</v>
      </c>
      <c r="AL178" s="1024">
        <f t="shared" ca="1" si="33"/>
        <v>0</v>
      </c>
      <c r="AM178" s="1024">
        <f t="shared" ca="1" si="33"/>
        <v>0</v>
      </c>
      <c r="AN178" s="1024">
        <f t="shared" ca="1" si="33"/>
        <v>0</v>
      </c>
      <c r="AO178" s="1024">
        <f t="shared" ca="1" si="33"/>
        <v>0</v>
      </c>
      <c r="AP178" s="1024">
        <f t="shared" ca="1" si="33"/>
        <v>0</v>
      </c>
      <c r="AQ178" s="1024">
        <f t="shared" ca="1" si="33"/>
        <v>0</v>
      </c>
      <c r="AR178" s="1024">
        <f t="shared" ca="1" si="33"/>
        <v>0</v>
      </c>
      <c r="AS178" s="1024">
        <f t="shared" ca="1" si="33"/>
        <v>0</v>
      </c>
      <c r="AT178" s="1024">
        <f t="shared" ca="1" si="33"/>
        <v>0</v>
      </c>
      <c r="AU178" s="1024">
        <f t="shared" ca="1" si="33"/>
        <v>0</v>
      </c>
      <c r="AV178" s="1024">
        <f t="shared" ca="1" si="33"/>
        <v>0</v>
      </c>
      <c r="AW178" s="1024">
        <f t="shared" ca="1" si="33"/>
        <v>0</v>
      </c>
      <c r="AX178" s="1024">
        <f t="shared" ca="1" si="33"/>
        <v>0</v>
      </c>
    </row>
    <row r="179" spans="1:50" ht="15" customHeight="1">
      <c r="A179" s="347"/>
      <c r="B179" s="643"/>
      <c r="C179" s="333"/>
      <c r="D179" s="1112"/>
      <c r="E179" s="1024" t="str">
        <f xml:space="preserve"> E142 &amp;  " " &amp; Translate!$E$458</f>
        <v>Sales revenues: net, after ELT revenues after royalty</v>
      </c>
      <c r="F179" s="1059"/>
      <c r="G179" s="1059" t="str">
        <f xml:space="preserve"> G141</f>
        <v>US$ mn</v>
      </c>
      <c r="H179" s="1059"/>
      <c r="I179" s="1059">
        <f ca="1" xml:space="preserve"> SUM(K179:AX179)</f>
        <v>3546.6141181787193</v>
      </c>
      <c r="J179" s="1059"/>
      <c r="K179" s="1059">
        <f t="shared" ref="K179:AX179" ca="1" si="34" xml:space="preserve"> K177 - K178</f>
        <v>0</v>
      </c>
      <c r="L179" s="1059">
        <f t="shared" ca="1" si="34"/>
        <v>0</v>
      </c>
      <c r="M179" s="1059">
        <f t="shared" ca="1" si="34"/>
        <v>0</v>
      </c>
      <c r="N179" s="1059">
        <f t="shared" ca="1" si="34"/>
        <v>0</v>
      </c>
      <c r="O179" s="1059">
        <f t="shared" ca="1" si="34"/>
        <v>15.167580641999999</v>
      </c>
      <c r="P179" s="1059">
        <f t="shared" ca="1" si="34"/>
        <v>116.0319919113</v>
      </c>
      <c r="Q179" s="1059">
        <f t="shared" ca="1" si="34"/>
        <v>236.70526349905202</v>
      </c>
      <c r="R179" s="1059">
        <f t="shared" ca="1" si="34"/>
        <v>241.43936876903302</v>
      </c>
      <c r="S179" s="1059">
        <f t="shared" ca="1" si="34"/>
        <v>246.26815614441372</v>
      </c>
      <c r="T179" s="1059">
        <f t="shared" ca="1" si="34"/>
        <v>251.19351926730204</v>
      </c>
      <c r="U179" s="1059">
        <f t="shared" ca="1" si="34"/>
        <v>256.21738965264808</v>
      </c>
      <c r="V179" s="1059">
        <f t="shared" ca="1" si="34"/>
        <v>261.34173744570097</v>
      </c>
      <c r="W179" s="1059">
        <f t="shared" ca="1" si="34"/>
        <v>266.56857219461506</v>
      </c>
      <c r="X179" s="1059">
        <f t="shared" ca="1" si="34"/>
        <v>271.8999436385073</v>
      </c>
      <c r="Y179" s="1059">
        <f t="shared" ca="1" si="34"/>
        <v>277.3379425112775</v>
      </c>
      <c r="Z179" s="1059">
        <f t="shared" ca="1" si="34"/>
        <v>282.88470136150306</v>
      </c>
      <c r="AA179" s="1059">
        <f t="shared" ca="1" si="34"/>
        <v>240.45199615727762</v>
      </c>
      <c r="AB179" s="1059">
        <f t="shared" ca="1" si="34"/>
        <v>196.20882886433853</v>
      </c>
      <c r="AC179" s="1059">
        <f t="shared" ca="1" si="34"/>
        <v>150.09975408121898</v>
      </c>
      <c r="AD179" s="1059">
        <f t="shared" ca="1" si="34"/>
        <v>132.68818260779756</v>
      </c>
      <c r="AE179" s="1059">
        <f t="shared" ca="1" si="34"/>
        <v>104.10918943073348</v>
      </c>
      <c r="AF179" s="1059">
        <f t="shared" ca="1" si="34"/>
        <v>0</v>
      </c>
      <c r="AG179" s="1059">
        <f t="shared" ca="1" si="34"/>
        <v>0</v>
      </c>
      <c r="AH179" s="1059">
        <f t="shared" ca="1" si="34"/>
        <v>0</v>
      </c>
      <c r="AI179" s="1059">
        <f t="shared" ca="1" si="34"/>
        <v>0</v>
      </c>
      <c r="AJ179" s="1059">
        <f t="shared" ca="1" si="34"/>
        <v>0</v>
      </c>
      <c r="AK179" s="1059">
        <f t="shared" ca="1" si="34"/>
        <v>0</v>
      </c>
      <c r="AL179" s="1059">
        <f t="shared" ca="1" si="34"/>
        <v>0</v>
      </c>
      <c r="AM179" s="1059">
        <f t="shared" ca="1" si="34"/>
        <v>0</v>
      </c>
      <c r="AN179" s="1059">
        <f t="shared" ca="1" si="34"/>
        <v>0</v>
      </c>
      <c r="AO179" s="1059">
        <f t="shared" ca="1" si="34"/>
        <v>0</v>
      </c>
      <c r="AP179" s="1059">
        <f t="shared" ca="1" si="34"/>
        <v>0</v>
      </c>
      <c r="AQ179" s="1059">
        <f t="shared" ca="1" si="34"/>
        <v>0</v>
      </c>
      <c r="AR179" s="1059">
        <f t="shared" ca="1" si="34"/>
        <v>0</v>
      </c>
      <c r="AS179" s="1059">
        <f t="shared" ca="1" si="34"/>
        <v>0</v>
      </c>
      <c r="AT179" s="1059">
        <f t="shared" ca="1" si="34"/>
        <v>0</v>
      </c>
      <c r="AU179" s="1059">
        <f t="shared" ca="1" si="34"/>
        <v>0</v>
      </c>
      <c r="AV179" s="1059">
        <f t="shared" ca="1" si="34"/>
        <v>0</v>
      </c>
      <c r="AW179" s="1059">
        <f t="shared" ca="1" si="34"/>
        <v>0</v>
      </c>
      <c r="AX179" s="1059">
        <f t="shared" ca="1" si="34"/>
        <v>0</v>
      </c>
    </row>
    <row r="180" spans="1:50" ht="15" customHeight="1">
      <c r="A180" s="347"/>
      <c r="B180" s="643"/>
      <c r="C180" s="333"/>
      <c r="D180" s="1112"/>
      <c r="E180" s="1024"/>
      <c r="F180" s="1059"/>
      <c r="G180" s="1059"/>
      <c r="H180" s="1059"/>
      <c r="I180" s="1059"/>
      <c r="J180" s="1059"/>
      <c r="K180" s="1059"/>
      <c r="L180" s="1059"/>
      <c r="M180" s="1059"/>
      <c r="N180" s="1059"/>
      <c r="O180" s="1059"/>
      <c r="P180" s="1059"/>
      <c r="Q180" s="1059"/>
      <c r="R180" s="1059"/>
      <c r="S180" s="1059"/>
      <c r="T180" s="1059"/>
      <c r="U180" s="1059"/>
      <c r="V180" s="1059"/>
      <c r="W180" s="1059"/>
      <c r="X180" s="1059"/>
      <c r="Y180" s="1059"/>
      <c r="Z180" s="1059"/>
      <c r="AA180" s="1059"/>
      <c r="AB180" s="1059"/>
      <c r="AC180" s="1059"/>
      <c r="AD180" s="1059"/>
      <c r="AE180" s="1059"/>
      <c r="AF180" s="1059"/>
      <c r="AG180" s="1059"/>
      <c r="AH180" s="1059"/>
      <c r="AI180" s="1059"/>
      <c r="AJ180" s="1059"/>
      <c r="AK180" s="1059"/>
      <c r="AL180" s="1059"/>
      <c r="AM180" s="1059"/>
      <c r="AN180" s="1059"/>
      <c r="AO180" s="1059"/>
      <c r="AP180" s="1059"/>
      <c r="AQ180" s="1059"/>
      <c r="AR180" s="1059"/>
      <c r="AS180" s="1059"/>
      <c r="AT180" s="1059"/>
      <c r="AU180" s="1059"/>
      <c r="AV180" s="1059"/>
      <c r="AW180" s="1059"/>
      <c r="AX180" s="1059"/>
    </row>
    <row r="181" spans="1:50" ht="15" customHeight="1">
      <c r="A181" s="351" t="str">
        <f>Translate!$E$26</f>
        <v>Carbon tax</v>
      </c>
      <c r="B181" s="686"/>
      <c r="C181" s="352"/>
      <c r="D181" s="353"/>
      <c r="E181" s="3"/>
      <c r="F181" s="351"/>
      <c r="G181" s="351"/>
      <c r="H181" s="351"/>
      <c r="I181" s="351"/>
      <c r="J181" s="351"/>
      <c r="K181" s="351"/>
      <c r="L181" s="351"/>
      <c r="M181" s="351"/>
      <c r="N181" s="351"/>
      <c r="O181" s="351"/>
      <c r="P181" s="351"/>
      <c r="Q181" s="351"/>
      <c r="R181" s="351"/>
      <c r="S181" s="351"/>
      <c r="T181" s="351"/>
      <c r="U181" s="351"/>
      <c r="V181" s="351"/>
      <c r="W181" s="351"/>
      <c r="X181" s="351"/>
      <c r="Y181" s="351"/>
      <c r="Z181" s="351"/>
      <c r="AA181" s="351"/>
      <c r="AB181" s="351"/>
      <c r="AC181" s="351"/>
      <c r="AD181" s="351"/>
      <c r="AE181" s="351"/>
      <c r="AF181" s="351"/>
      <c r="AG181" s="351"/>
      <c r="AH181" s="351"/>
      <c r="AI181" s="351"/>
      <c r="AJ181" s="351"/>
      <c r="AK181" s="351"/>
      <c r="AL181" s="351"/>
      <c r="AM181" s="351"/>
      <c r="AN181" s="351"/>
      <c r="AO181" s="351"/>
      <c r="AP181" s="351"/>
      <c r="AQ181" s="351"/>
      <c r="AR181" s="351"/>
      <c r="AS181" s="351"/>
      <c r="AT181" s="351"/>
      <c r="AU181" s="351"/>
      <c r="AV181" s="351"/>
      <c r="AW181" s="351"/>
      <c r="AX181" s="351"/>
    </row>
    <row r="182" spans="1:50" s="764" customFormat="1" ht="15" customHeight="1">
      <c r="A182" s="347"/>
      <c r="B182" s="643"/>
      <c r="C182" s="333"/>
      <c r="D182" s="1112"/>
      <c r="E182" s="1024"/>
      <c r="F182" s="1024"/>
      <c r="G182" s="1024"/>
      <c r="H182" s="1024"/>
      <c r="I182" s="1024"/>
      <c r="J182" s="1024"/>
      <c r="K182" s="1024"/>
      <c r="L182" s="1024"/>
      <c r="M182" s="1024"/>
      <c r="N182" s="1024"/>
      <c r="O182" s="1024"/>
      <c r="P182" s="1024"/>
      <c r="Q182" s="1024"/>
      <c r="R182" s="1024"/>
      <c r="S182" s="1024"/>
      <c r="T182" s="1024"/>
      <c r="U182" s="1024"/>
      <c r="V182" s="1024"/>
      <c r="W182" s="1024"/>
      <c r="X182" s="1024"/>
      <c r="Y182" s="1024"/>
      <c r="Z182" s="1024"/>
      <c r="AA182" s="1024"/>
      <c r="AB182" s="1024"/>
      <c r="AC182" s="1024"/>
      <c r="AD182" s="1024"/>
      <c r="AE182" s="1024"/>
      <c r="AF182" s="1024"/>
      <c r="AG182" s="1024"/>
      <c r="AH182" s="1024"/>
      <c r="AI182" s="1024"/>
      <c r="AJ182" s="1024"/>
      <c r="AK182" s="1024"/>
      <c r="AL182" s="1024"/>
      <c r="AM182" s="1024"/>
      <c r="AN182" s="1024"/>
      <c r="AO182" s="1024"/>
      <c r="AP182" s="1024"/>
      <c r="AQ182" s="1024"/>
      <c r="AR182" s="1024"/>
      <c r="AS182" s="1024"/>
      <c r="AT182" s="1024"/>
      <c r="AU182" s="1024"/>
      <c r="AV182" s="1024"/>
      <c r="AW182" s="1024"/>
      <c r="AX182" s="1024"/>
    </row>
    <row r="183" spans="1:50" s="764" customFormat="1" ht="15" customHeight="1">
      <c r="A183" s="347"/>
      <c r="B183" s="643" t="str">
        <f>Translate!$E$61</f>
        <v>Determination of tax base</v>
      </c>
      <c r="C183" s="333"/>
      <c r="D183" s="1112"/>
      <c r="E183" s="1024"/>
      <c r="F183" s="1024"/>
      <c r="G183" s="1024"/>
      <c r="H183" s="1024"/>
      <c r="I183" s="1024"/>
      <c r="J183" s="1024"/>
      <c r="K183" s="1024"/>
      <c r="L183" s="1024"/>
      <c r="M183" s="1024"/>
      <c r="N183" s="1024"/>
      <c r="O183" s="1024"/>
      <c r="P183" s="1024"/>
      <c r="Q183" s="1024"/>
      <c r="R183" s="1024"/>
      <c r="S183" s="1024"/>
      <c r="T183" s="1024"/>
      <c r="U183" s="1024"/>
      <c r="V183" s="1024"/>
      <c r="W183" s="1024"/>
      <c r="X183" s="1024"/>
      <c r="Y183" s="1024"/>
      <c r="Z183" s="1024"/>
      <c r="AA183" s="1024"/>
      <c r="AB183" s="1024"/>
      <c r="AC183" s="1024"/>
      <c r="AD183" s="1024"/>
      <c r="AE183" s="1024"/>
      <c r="AF183" s="1024"/>
      <c r="AG183" s="1024"/>
      <c r="AH183" s="1024"/>
      <c r="AI183" s="1024"/>
      <c r="AJ183" s="1024"/>
      <c r="AK183" s="1024"/>
      <c r="AL183" s="1024"/>
      <c r="AM183" s="1024"/>
      <c r="AN183" s="1024"/>
      <c r="AO183" s="1024"/>
      <c r="AP183" s="1024"/>
      <c r="AQ183" s="1024"/>
      <c r="AR183" s="1024"/>
      <c r="AS183" s="1024"/>
      <c r="AT183" s="1024"/>
      <c r="AU183" s="1024"/>
      <c r="AV183" s="1024"/>
      <c r="AW183" s="1024"/>
      <c r="AX183" s="1024"/>
    </row>
    <row r="184" spans="1:50" s="764" customFormat="1" ht="15" customHeight="1">
      <c r="A184" s="347"/>
      <c r="B184" s="643"/>
      <c r="C184" s="333"/>
      <c r="D184" s="1112"/>
      <c r="E184" s="383" t="str">
        <f>E$33</f>
        <v>Carbon tax imposed on scope 3 emissions levied on investor</v>
      </c>
      <c r="F184" s="383" t="str">
        <f>F$33</f>
        <v>yes</v>
      </c>
      <c r="G184" s="383" t="str">
        <f>G$33</f>
        <v>Option</v>
      </c>
      <c r="H184" s="1024"/>
      <c r="I184" s="1024"/>
      <c r="J184" s="1024"/>
      <c r="K184" s="1024"/>
      <c r="L184" s="1024"/>
      <c r="M184" s="1024"/>
      <c r="N184" s="1024"/>
      <c r="O184" s="1024"/>
      <c r="P184" s="1024"/>
      <c r="Q184" s="1024"/>
      <c r="R184" s="1024"/>
      <c r="S184" s="1024"/>
      <c r="T184" s="1024"/>
      <c r="U184" s="1024"/>
      <c r="V184" s="1024"/>
      <c r="W184" s="1024"/>
      <c r="X184" s="1024"/>
      <c r="Y184" s="1024"/>
      <c r="Z184" s="1024"/>
      <c r="AA184" s="1024"/>
      <c r="AB184" s="1024"/>
      <c r="AC184" s="1024"/>
      <c r="AD184" s="1024"/>
      <c r="AE184" s="1024"/>
      <c r="AF184" s="1024"/>
      <c r="AG184" s="1024"/>
      <c r="AH184" s="1024"/>
      <c r="AI184" s="1024"/>
      <c r="AJ184" s="1024"/>
      <c r="AK184" s="1024"/>
      <c r="AL184" s="1024"/>
      <c r="AM184" s="1024"/>
      <c r="AN184" s="1024"/>
      <c r="AO184" s="1024"/>
      <c r="AP184" s="1024"/>
      <c r="AQ184" s="1024"/>
      <c r="AR184" s="1024"/>
      <c r="AS184" s="1024"/>
      <c r="AT184" s="1024"/>
      <c r="AU184" s="1024"/>
      <c r="AV184" s="1024"/>
      <c r="AW184" s="1024"/>
      <c r="AX184" s="1024"/>
    </row>
    <row r="185" spans="1:50" s="764" customFormat="1" ht="15" customHeight="1">
      <c r="A185" s="347"/>
      <c r="B185" s="643"/>
      <c r="C185" s="333"/>
      <c r="D185" s="1112"/>
      <c r="E185" s="366" t="str">
        <f>Inputs!E$81</f>
        <v>Label: yes</v>
      </c>
      <c r="F185" s="645" t="str">
        <f>Inputs!F$81</f>
        <v>yes</v>
      </c>
      <c r="G185" s="366" t="str">
        <f>Inputs!G$81</f>
        <v>Label</v>
      </c>
      <c r="H185" s="1024"/>
      <c r="I185" s="1024"/>
      <c r="J185" s="1024"/>
      <c r="K185" s="1024"/>
      <c r="L185" s="1024"/>
      <c r="M185" s="1024"/>
      <c r="N185" s="1024"/>
      <c r="O185" s="1024"/>
      <c r="P185" s="1024"/>
      <c r="Q185" s="1024"/>
      <c r="R185" s="1024"/>
      <c r="S185" s="1024"/>
      <c r="T185" s="1024"/>
      <c r="U185" s="1024"/>
      <c r="V185" s="1024"/>
      <c r="W185" s="1024"/>
      <c r="X185" s="1024"/>
      <c r="Y185" s="1024"/>
      <c r="Z185" s="1024"/>
      <c r="AA185" s="1024"/>
      <c r="AB185" s="1024"/>
      <c r="AC185" s="1024"/>
      <c r="AD185" s="1024"/>
      <c r="AE185" s="1024"/>
      <c r="AF185" s="1024"/>
      <c r="AG185" s="1024"/>
      <c r="AH185" s="1024"/>
      <c r="AI185" s="1024"/>
      <c r="AJ185" s="1024"/>
      <c r="AK185" s="1024"/>
      <c r="AL185" s="1024"/>
      <c r="AM185" s="1024"/>
      <c r="AN185" s="1024"/>
      <c r="AO185" s="1024"/>
      <c r="AP185" s="1024"/>
      <c r="AQ185" s="1024"/>
      <c r="AR185" s="1024"/>
      <c r="AS185" s="1024"/>
      <c r="AT185" s="1024"/>
      <c r="AU185" s="1024"/>
      <c r="AV185" s="1024"/>
      <c r="AW185" s="1024"/>
      <c r="AX185" s="1024"/>
    </row>
    <row r="186" spans="1:50" s="764" customFormat="1" ht="15" customHeight="1">
      <c r="A186" s="347"/>
      <c r="B186" s="643"/>
      <c r="C186" s="333"/>
      <c r="D186" s="1112"/>
      <c r="E186" s="366" t="str">
        <f xml:space="preserve"> ProjectCashflows!E$282</f>
        <v>Scope 3: GHG emissions from coal combusted</v>
      </c>
      <c r="F186" s="366">
        <f xml:space="preserve"> ProjectCashflows!F$282</f>
        <v>0</v>
      </c>
      <c r="G186" s="366" t="str">
        <f xml:space="preserve"> ProjectCashflows!G$282</f>
        <v>Mn t CO2 eq</v>
      </c>
      <c r="H186" s="366">
        <f xml:space="preserve"> ProjectCashflows!H$282</f>
        <v>0</v>
      </c>
      <c r="I186" s="366">
        <f ca="1" xml:space="preserve"> ProjectCashflows!I$282</f>
        <v>0</v>
      </c>
      <c r="J186" s="366">
        <f xml:space="preserve"> ProjectCashflows!J$282</f>
        <v>0</v>
      </c>
      <c r="K186" s="366">
        <f ca="1" xml:space="preserve"> ProjectCashflows!K$282</f>
        <v>0</v>
      </c>
      <c r="L186" s="366">
        <f ca="1" xml:space="preserve"> ProjectCashflows!L$282</f>
        <v>0</v>
      </c>
      <c r="M186" s="366">
        <f ca="1" xml:space="preserve"> ProjectCashflows!M$282</f>
        <v>0</v>
      </c>
      <c r="N186" s="366">
        <f ca="1" xml:space="preserve"> ProjectCashflows!N$282</f>
        <v>0</v>
      </c>
      <c r="O186" s="366">
        <f ca="1" xml:space="preserve"> ProjectCashflows!O$282</f>
        <v>0</v>
      </c>
      <c r="P186" s="366">
        <f ca="1" xml:space="preserve"> ProjectCashflows!P$282</f>
        <v>0</v>
      </c>
      <c r="Q186" s="366">
        <f ca="1" xml:space="preserve"> ProjectCashflows!Q$282</f>
        <v>0</v>
      </c>
      <c r="R186" s="366">
        <f ca="1" xml:space="preserve"> ProjectCashflows!R$282</f>
        <v>0</v>
      </c>
      <c r="S186" s="366">
        <f ca="1" xml:space="preserve"> ProjectCashflows!S$282</f>
        <v>0</v>
      </c>
      <c r="T186" s="366">
        <f ca="1" xml:space="preserve"> ProjectCashflows!T$282</f>
        <v>0</v>
      </c>
      <c r="U186" s="366">
        <f ca="1" xml:space="preserve"> ProjectCashflows!U$282</f>
        <v>0</v>
      </c>
      <c r="V186" s="366">
        <f ca="1" xml:space="preserve"> ProjectCashflows!V$282</f>
        <v>0</v>
      </c>
      <c r="W186" s="366">
        <f ca="1" xml:space="preserve"> ProjectCashflows!W$282</f>
        <v>0</v>
      </c>
      <c r="X186" s="366">
        <f ca="1" xml:space="preserve"> ProjectCashflows!X$282</f>
        <v>0</v>
      </c>
      <c r="Y186" s="366">
        <f ca="1" xml:space="preserve"> ProjectCashflows!Y$282</f>
        <v>0</v>
      </c>
      <c r="Z186" s="366">
        <f ca="1" xml:space="preserve"> ProjectCashflows!Z$282</f>
        <v>0</v>
      </c>
      <c r="AA186" s="366">
        <f ca="1" xml:space="preserve"> ProjectCashflows!AA$282</f>
        <v>0</v>
      </c>
      <c r="AB186" s="366">
        <f ca="1" xml:space="preserve"> ProjectCashflows!AB$282</f>
        <v>0</v>
      </c>
      <c r="AC186" s="366">
        <f ca="1" xml:space="preserve"> ProjectCashflows!AC$282</f>
        <v>0</v>
      </c>
      <c r="AD186" s="366">
        <f ca="1" xml:space="preserve"> ProjectCashflows!AD$282</f>
        <v>0</v>
      </c>
      <c r="AE186" s="366">
        <f ca="1" xml:space="preserve"> ProjectCashflows!AE$282</f>
        <v>0</v>
      </c>
      <c r="AF186" s="366">
        <f ca="1" xml:space="preserve"> ProjectCashflows!AF$282</f>
        <v>0</v>
      </c>
      <c r="AG186" s="366">
        <f ca="1" xml:space="preserve"> ProjectCashflows!AG$282</f>
        <v>0</v>
      </c>
      <c r="AH186" s="366">
        <f ca="1" xml:space="preserve"> ProjectCashflows!AH$282</f>
        <v>0</v>
      </c>
      <c r="AI186" s="366">
        <f ca="1" xml:space="preserve"> ProjectCashflows!AI$282</f>
        <v>0</v>
      </c>
      <c r="AJ186" s="366">
        <f ca="1" xml:space="preserve"> ProjectCashflows!AJ$282</f>
        <v>0</v>
      </c>
      <c r="AK186" s="366">
        <f ca="1" xml:space="preserve"> ProjectCashflows!AK$282</f>
        <v>0</v>
      </c>
      <c r="AL186" s="366">
        <f ca="1" xml:space="preserve"> ProjectCashflows!AL$282</f>
        <v>0</v>
      </c>
      <c r="AM186" s="366">
        <f ca="1" xml:space="preserve"> ProjectCashflows!AM$282</f>
        <v>0</v>
      </c>
      <c r="AN186" s="366">
        <f ca="1" xml:space="preserve"> ProjectCashflows!AN$282</f>
        <v>0</v>
      </c>
      <c r="AO186" s="366">
        <f ca="1" xml:space="preserve"> ProjectCashflows!AO$282</f>
        <v>0</v>
      </c>
      <c r="AP186" s="366">
        <f ca="1" xml:space="preserve"> ProjectCashflows!AP$282</f>
        <v>0</v>
      </c>
      <c r="AQ186" s="366">
        <f ca="1" xml:space="preserve"> ProjectCashflows!AQ$282</f>
        <v>0</v>
      </c>
      <c r="AR186" s="366">
        <f ca="1" xml:space="preserve"> ProjectCashflows!AR$282</f>
        <v>0</v>
      </c>
      <c r="AS186" s="366">
        <f ca="1" xml:space="preserve"> ProjectCashflows!AS$282</f>
        <v>0</v>
      </c>
      <c r="AT186" s="366">
        <f ca="1" xml:space="preserve"> ProjectCashflows!AT$282</f>
        <v>0</v>
      </c>
      <c r="AU186" s="366">
        <f ca="1" xml:space="preserve"> ProjectCashflows!AU$282</f>
        <v>0</v>
      </c>
      <c r="AV186" s="366">
        <f ca="1" xml:space="preserve"> ProjectCashflows!AV$282</f>
        <v>0</v>
      </c>
      <c r="AW186" s="366">
        <f ca="1" xml:space="preserve"> ProjectCashflows!AW$282</f>
        <v>0</v>
      </c>
      <c r="AX186" s="366">
        <f ca="1" xml:space="preserve"> ProjectCashflows!AX$282</f>
        <v>0</v>
      </c>
    </row>
    <row r="187" spans="1:50" s="765" customFormat="1" ht="15" customHeight="1">
      <c r="A187" s="423"/>
      <c r="B187" s="928"/>
      <c r="C187" s="424"/>
      <c r="D187" s="1097"/>
      <c r="E187" s="1024" t="str">
        <f>Translate!$E$182</f>
        <v>Total GHG emissions applicable for carbon tax</v>
      </c>
      <c r="F187" s="1059"/>
      <c r="G187" s="1058" t="str">
        <f xml:space="preserve"> Translate!E$729</f>
        <v>Mn t CO2 eq</v>
      </c>
      <c r="H187" s="1058"/>
      <c r="I187" s="1059">
        <f ca="1" xml:space="preserve"> SUM(K187:AX187)</f>
        <v>0</v>
      </c>
      <c r="J187" s="1059"/>
      <c r="K187" s="1059">
        <f ca="1" xml:space="preserve"> K186 * ($F184 = $F185)</f>
        <v>0</v>
      </c>
      <c r="L187" s="1059">
        <f t="shared" ref="L187:AX187" ca="1" si="35" xml:space="preserve"> L186 * ($F184 = $F185)</f>
        <v>0</v>
      </c>
      <c r="M187" s="1059">
        <f t="shared" ca="1" si="35"/>
        <v>0</v>
      </c>
      <c r="N187" s="1059">
        <f t="shared" ca="1" si="35"/>
        <v>0</v>
      </c>
      <c r="O187" s="1059">
        <f t="shared" ca="1" si="35"/>
        <v>0</v>
      </c>
      <c r="P187" s="1059">
        <f t="shared" ca="1" si="35"/>
        <v>0</v>
      </c>
      <c r="Q187" s="1059">
        <f t="shared" ca="1" si="35"/>
        <v>0</v>
      </c>
      <c r="R187" s="1059">
        <f t="shared" ca="1" si="35"/>
        <v>0</v>
      </c>
      <c r="S187" s="1059">
        <f t="shared" ca="1" si="35"/>
        <v>0</v>
      </c>
      <c r="T187" s="1059">
        <f t="shared" ca="1" si="35"/>
        <v>0</v>
      </c>
      <c r="U187" s="1059">
        <f t="shared" ca="1" si="35"/>
        <v>0</v>
      </c>
      <c r="V187" s="1059">
        <f t="shared" ca="1" si="35"/>
        <v>0</v>
      </c>
      <c r="W187" s="1059">
        <f t="shared" ca="1" si="35"/>
        <v>0</v>
      </c>
      <c r="X187" s="1059">
        <f t="shared" ca="1" si="35"/>
        <v>0</v>
      </c>
      <c r="Y187" s="1059">
        <f t="shared" ca="1" si="35"/>
        <v>0</v>
      </c>
      <c r="Z187" s="1059">
        <f t="shared" ca="1" si="35"/>
        <v>0</v>
      </c>
      <c r="AA187" s="1059">
        <f t="shared" ca="1" si="35"/>
        <v>0</v>
      </c>
      <c r="AB187" s="1059">
        <f t="shared" ca="1" si="35"/>
        <v>0</v>
      </c>
      <c r="AC187" s="1059">
        <f t="shared" ca="1" si="35"/>
        <v>0</v>
      </c>
      <c r="AD187" s="1059">
        <f t="shared" ca="1" si="35"/>
        <v>0</v>
      </c>
      <c r="AE187" s="1059">
        <f t="shared" ca="1" si="35"/>
        <v>0</v>
      </c>
      <c r="AF187" s="1059">
        <f t="shared" ca="1" si="35"/>
        <v>0</v>
      </c>
      <c r="AG187" s="1059">
        <f t="shared" ca="1" si="35"/>
        <v>0</v>
      </c>
      <c r="AH187" s="1059">
        <f t="shared" ca="1" si="35"/>
        <v>0</v>
      </c>
      <c r="AI187" s="1059">
        <f t="shared" ca="1" si="35"/>
        <v>0</v>
      </c>
      <c r="AJ187" s="1059">
        <f t="shared" ca="1" si="35"/>
        <v>0</v>
      </c>
      <c r="AK187" s="1059">
        <f t="shared" ca="1" si="35"/>
        <v>0</v>
      </c>
      <c r="AL187" s="1059">
        <f t="shared" ca="1" si="35"/>
        <v>0</v>
      </c>
      <c r="AM187" s="1059">
        <f t="shared" ca="1" si="35"/>
        <v>0</v>
      </c>
      <c r="AN187" s="1059">
        <f t="shared" ca="1" si="35"/>
        <v>0</v>
      </c>
      <c r="AO187" s="1059">
        <f t="shared" ca="1" si="35"/>
        <v>0</v>
      </c>
      <c r="AP187" s="1059">
        <f t="shared" ca="1" si="35"/>
        <v>0</v>
      </c>
      <c r="AQ187" s="1059">
        <f t="shared" ca="1" si="35"/>
        <v>0</v>
      </c>
      <c r="AR187" s="1059">
        <f t="shared" ca="1" si="35"/>
        <v>0</v>
      </c>
      <c r="AS187" s="1059">
        <f t="shared" ca="1" si="35"/>
        <v>0</v>
      </c>
      <c r="AT187" s="1059">
        <f t="shared" ca="1" si="35"/>
        <v>0</v>
      </c>
      <c r="AU187" s="1059">
        <f t="shared" ca="1" si="35"/>
        <v>0</v>
      </c>
      <c r="AV187" s="1059">
        <f t="shared" ca="1" si="35"/>
        <v>0</v>
      </c>
      <c r="AW187" s="1059">
        <f t="shared" ca="1" si="35"/>
        <v>0</v>
      </c>
      <c r="AX187" s="1059">
        <f t="shared" ca="1" si="35"/>
        <v>0</v>
      </c>
    </row>
    <row r="188" spans="1:50" s="764" customFormat="1" ht="15" customHeight="1">
      <c r="A188" s="347"/>
      <c r="B188" s="643"/>
      <c r="C188" s="333"/>
      <c r="D188" s="1112"/>
      <c r="E188" s="366"/>
      <c r="F188" s="366"/>
      <c r="G188" s="366"/>
      <c r="H188" s="366"/>
      <c r="I188" s="366"/>
      <c r="J188" s="366"/>
      <c r="K188" s="366"/>
      <c r="L188" s="366"/>
      <c r="M188" s="366"/>
      <c r="N188" s="366"/>
      <c r="O188" s="366"/>
      <c r="P188" s="366"/>
      <c r="Q188" s="366"/>
      <c r="R188" s="366"/>
      <c r="S188" s="366"/>
      <c r="T188" s="366"/>
      <c r="U188" s="366"/>
      <c r="V188" s="366"/>
      <c r="W188" s="366"/>
      <c r="X188" s="366"/>
      <c r="Y188" s="366"/>
      <c r="Z188" s="366"/>
      <c r="AA188" s="366"/>
      <c r="AB188" s="366"/>
      <c r="AC188" s="366"/>
      <c r="AD188" s="366"/>
      <c r="AE188" s="366"/>
      <c r="AF188" s="366"/>
      <c r="AG188" s="366"/>
      <c r="AH188" s="366"/>
      <c r="AI188" s="366"/>
      <c r="AJ188" s="366"/>
      <c r="AK188" s="366"/>
      <c r="AL188" s="366"/>
      <c r="AM188" s="366"/>
      <c r="AN188" s="366"/>
      <c r="AO188" s="366"/>
      <c r="AP188" s="366"/>
      <c r="AQ188" s="366"/>
      <c r="AR188" s="366"/>
      <c r="AS188" s="366"/>
      <c r="AT188" s="366"/>
      <c r="AU188" s="366"/>
      <c r="AV188" s="366"/>
      <c r="AW188" s="366"/>
      <c r="AX188" s="366"/>
    </row>
    <row r="189" spans="1:50" s="765" customFormat="1">
      <c r="A189" s="1041"/>
      <c r="B189" s="1" t="str">
        <f>Translate!$E$62</f>
        <v>Tax applicable</v>
      </c>
      <c r="C189" s="381"/>
      <c r="D189" s="1005"/>
      <c r="E189" s="1041"/>
      <c r="F189" s="1005"/>
      <c r="G189" s="1041"/>
      <c r="H189" s="1041"/>
      <c r="I189" s="1041"/>
      <c r="J189" s="1041"/>
      <c r="K189" s="1041"/>
      <c r="L189" s="1041"/>
      <c r="M189" s="1041"/>
      <c r="N189" s="1041"/>
      <c r="O189" s="1041"/>
      <c r="P189" s="1041"/>
      <c r="Q189" s="1041"/>
      <c r="R189" s="1041"/>
      <c r="S189" s="1041"/>
      <c r="T189" s="1041"/>
      <c r="U189" s="1041"/>
      <c r="V189" s="1041"/>
      <c r="W189" s="1041"/>
      <c r="X189" s="1041"/>
      <c r="Y189" s="1041"/>
      <c r="Z189" s="1041"/>
      <c r="AA189" s="1041"/>
      <c r="AB189" s="1041"/>
      <c r="AC189" s="1041"/>
      <c r="AD189" s="1041"/>
      <c r="AE189" s="1041"/>
      <c r="AF189" s="1041"/>
      <c r="AG189" s="1041"/>
      <c r="AH189" s="1041"/>
      <c r="AI189" s="1041"/>
      <c r="AJ189" s="1041"/>
      <c r="AK189" s="1041"/>
      <c r="AL189" s="1041"/>
      <c r="AM189" s="1041"/>
      <c r="AN189" s="1041"/>
      <c r="AO189" s="1041"/>
      <c r="AP189" s="1041"/>
      <c r="AQ189" s="1041"/>
      <c r="AR189" s="1041"/>
      <c r="AS189" s="1041"/>
      <c r="AT189" s="1041"/>
      <c r="AU189" s="1041"/>
      <c r="AV189" s="1041"/>
      <c r="AW189" s="1041"/>
      <c r="AX189" s="1041"/>
    </row>
    <row r="190" spans="1:50" s="740" customFormat="1">
      <c r="A190" s="737"/>
      <c r="B190" s="738"/>
      <c r="C190" s="739"/>
      <c r="D190" s="737"/>
      <c r="E190" s="737" t="str">
        <f xml:space="preserve"> ProjectCashflows!E$48</f>
        <v>Model calendar years</v>
      </c>
      <c r="F190" s="737">
        <f xml:space="preserve"> ProjectCashflows!F$48</f>
        <v>0</v>
      </c>
      <c r="G190" s="737" t="str">
        <f xml:space="preserve"> ProjectCashflows!G$48</f>
        <v>Years</v>
      </c>
      <c r="H190" s="737">
        <f xml:space="preserve"> ProjectCashflows!H$48</f>
        <v>0</v>
      </c>
      <c r="I190" s="737">
        <f xml:space="preserve"> ProjectCashflows!I$48</f>
        <v>0</v>
      </c>
      <c r="J190" s="737">
        <f xml:space="preserve"> ProjectCashflows!J$48</f>
        <v>0</v>
      </c>
      <c r="K190" s="737">
        <f xml:space="preserve"> ProjectCashflows!K$48</f>
        <v>2021</v>
      </c>
      <c r="L190" s="737">
        <f xml:space="preserve"> ProjectCashflows!L$48</f>
        <v>2022</v>
      </c>
      <c r="M190" s="737">
        <f xml:space="preserve"> ProjectCashflows!M$48</f>
        <v>2023</v>
      </c>
      <c r="N190" s="737">
        <f xml:space="preserve"> ProjectCashflows!N$48</f>
        <v>2024</v>
      </c>
      <c r="O190" s="737">
        <f xml:space="preserve"> ProjectCashflows!O$48</f>
        <v>2025</v>
      </c>
      <c r="P190" s="737">
        <f xml:space="preserve"> ProjectCashflows!P$48</f>
        <v>2026</v>
      </c>
      <c r="Q190" s="737">
        <f xml:space="preserve"> ProjectCashflows!Q$48</f>
        <v>2027</v>
      </c>
      <c r="R190" s="737">
        <f xml:space="preserve"> ProjectCashflows!R$48</f>
        <v>2028</v>
      </c>
      <c r="S190" s="737">
        <f xml:space="preserve"> ProjectCashflows!S$48</f>
        <v>2029</v>
      </c>
      <c r="T190" s="737">
        <f xml:space="preserve"> ProjectCashflows!T$48</f>
        <v>2030</v>
      </c>
      <c r="U190" s="737">
        <f xml:space="preserve"> ProjectCashflows!U$48</f>
        <v>2031</v>
      </c>
      <c r="V190" s="737">
        <f xml:space="preserve"> ProjectCashflows!V$48</f>
        <v>2032</v>
      </c>
      <c r="W190" s="737">
        <f xml:space="preserve"> ProjectCashflows!W$48</f>
        <v>2033</v>
      </c>
      <c r="X190" s="737">
        <f xml:space="preserve"> ProjectCashflows!X$48</f>
        <v>2034</v>
      </c>
      <c r="Y190" s="737">
        <f xml:space="preserve"> ProjectCashflows!Y$48</f>
        <v>2035</v>
      </c>
      <c r="Z190" s="737">
        <f xml:space="preserve"> ProjectCashflows!Z$48</f>
        <v>2036</v>
      </c>
      <c r="AA190" s="737">
        <f xml:space="preserve"> ProjectCashflows!AA$48</f>
        <v>2037</v>
      </c>
      <c r="AB190" s="737">
        <f xml:space="preserve"> ProjectCashflows!AB$48</f>
        <v>2038</v>
      </c>
      <c r="AC190" s="737">
        <f xml:space="preserve"> ProjectCashflows!AC$48</f>
        <v>2039</v>
      </c>
      <c r="AD190" s="737">
        <f xml:space="preserve"> ProjectCashflows!AD$48</f>
        <v>2040</v>
      </c>
      <c r="AE190" s="737">
        <f xml:space="preserve"> ProjectCashflows!AE$48</f>
        <v>2041</v>
      </c>
      <c r="AF190" s="737">
        <f xml:space="preserve"> ProjectCashflows!AF$48</f>
        <v>2042</v>
      </c>
      <c r="AG190" s="737">
        <f xml:space="preserve"> ProjectCashflows!AG$48</f>
        <v>2043</v>
      </c>
      <c r="AH190" s="737">
        <f xml:space="preserve"> ProjectCashflows!AH$48</f>
        <v>2044</v>
      </c>
      <c r="AI190" s="737">
        <f xml:space="preserve"> ProjectCashflows!AI$48</f>
        <v>2045</v>
      </c>
      <c r="AJ190" s="737">
        <f xml:space="preserve"> ProjectCashflows!AJ$48</f>
        <v>2046</v>
      </c>
      <c r="AK190" s="737">
        <f xml:space="preserve"> ProjectCashflows!AK$48</f>
        <v>2047</v>
      </c>
      <c r="AL190" s="737">
        <f xml:space="preserve"> ProjectCashflows!AL$48</f>
        <v>2048</v>
      </c>
      <c r="AM190" s="737">
        <f xml:space="preserve"> ProjectCashflows!AM$48</f>
        <v>2049</v>
      </c>
      <c r="AN190" s="737">
        <f xml:space="preserve"> ProjectCashflows!AN$48</f>
        <v>2050</v>
      </c>
      <c r="AO190" s="737">
        <f xml:space="preserve"> ProjectCashflows!AO$48</f>
        <v>2051</v>
      </c>
      <c r="AP190" s="737">
        <f xml:space="preserve"> ProjectCashflows!AP$48</f>
        <v>2052</v>
      </c>
      <c r="AQ190" s="737">
        <f xml:space="preserve"> ProjectCashflows!AQ$48</f>
        <v>2053</v>
      </c>
      <c r="AR190" s="737">
        <f xml:space="preserve"> ProjectCashflows!AR$48</f>
        <v>2054</v>
      </c>
      <c r="AS190" s="737">
        <f xml:space="preserve"> ProjectCashflows!AS$48</f>
        <v>2055</v>
      </c>
      <c r="AT190" s="737">
        <f xml:space="preserve"> ProjectCashflows!AT$48</f>
        <v>2056</v>
      </c>
      <c r="AU190" s="737">
        <f xml:space="preserve"> ProjectCashflows!AU$48</f>
        <v>2057</v>
      </c>
      <c r="AV190" s="737">
        <f xml:space="preserve"> ProjectCashflows!AV$48</f>
        <v>2058</v>
      </c>
      <c r="AW190" s="737">
        <f xml:space="preserve"> ProjectCashflows!AW$48</f>
        <v>2059</v>
      </c>
      <c r="AX190" s="737">
        <f xml:space="preserve"> ProjectCashflows!AX$48</f>
        <v>2060</v>
      </c>
    </row>
    <row r="191" spans="1:50" s="929" customFormat="1">
      <c r="A191" s="1113"/>
      <c r="B191" s="741"/>
      <c r="C191" s="742"/>
      <c r="D191" s="1113"/>
      <c r="E191" s="743" t="str">
        <f xml:space="preserve"> E$27</f>
        <v>Start year of carbon tax (0=from beginning)</v>
      </c>
      <c r="F191" s="743">
        <f xml:space="preserve"> F$27</f>
        <v>0</v>
      </c>
      <c r="G191" s="743" t="str">
        <f xml:space="preserve"> G$27</f>
        <v>Calendar year</v>
      </c>
      <c r="H191" s="1113"/>
      <c r="I191" s="1113"/>
      <c r="J191" s="1113"/>
      <c r="K191" s="1113"/>
      <c r="L191" s="1113"/>
      <c r="M191" s="1113"/>
      <c r="N191" s="1113"/>
      <c r="O191" s="1113"/>
      <c r="P191" s="1113"/>
      <c r="Q191" s="1113"/>
      <c r="R191" s="1113"/>
      <c r="S191" s="1113"/>
      <c r="T191" s="1113"/>
      <c r="U191" s="1113"/>
      <c r="V191" s="1113"/>
      <c r="W191" s="1113"/>
      <c r="X191" s="1113"/>
      <c r="Y191" s="1113"/>
      <c r="Z191" s="1113"/>
      <c r="AA191" s="1113"/>
      <c r="AB191" s="1113"/>
      <c r="AC191" s="1113"/>
      <c r="AD191" s="1113"/>
      <c r="AE191" s="1113"/>
      <c r="AF191" s="1113"/>
      <c r="AG191" s="1113"/>
      <c r="AH191" s="1113"/>
      <c r="AI191" s="1113"/>
      <c r="AJ191" s="1113"/>
      <c r="AK191" s="1113"/>
      <c r="AL191" s="1113"/>
      <c r="AM191" s="1113"/>
      <c r="AN191" s="1113"/>
      <c r="AO191" s="1113"/>
      <c r="AP191" s="1113"/>
      <c r="AQ191" s="1113"/>
      <c r="AR191" s="1113"/>
      <c r="AS191" s="1113"/>
      <c r="AT191" s="1113"/>
      <c r="AU191" s="1113"/>
      <c r="AV191" s="1113"/>
      <c r="AW191" s="1113"/>
      <c r="AX191" s="1113"/>
    </row>
    <row r="192" spans="1:50" s="735" customFormat="1">
      <c r="A192" s="744"/>
      <c r="B192" s="745"/>
      <c r="C192" s="746"/>
      <c r="D192" s="744"/>
      <c r="E192" s="744" t="str">
        <f>E191 &amp; " " &amp; Translate!$E$461</f>
        <v>Start year of carbon tax (0=from beginning) adjusted</v>
      </c>
      <c r="F192" s="747">
        <f xml:space="preserve"> IF( F191 = 0, K190, F191)</f>
        <v>2021</v>
      </c>
      <c r="G192" s="744" t="str">
        <f>G191</f>
        <v>Calendar year</v>
      </c>
      <c r="H192" s="744"/>
      <c r="I192" s="744"/>
      <c r="J192" s="744"/>
      <c r="K192" s="744"/>
      <c r="L192" s="744"/>
      <c r="M192" s="744"/>
      <c r="N192" s="744"/>
      <c r="O192" s="744"/>
      <c r="P192" s="744"/>
      <c r="Q192" s="744"/>
      <c r="R192" s="744"/>
      <c r="S192" s="744"/>
      <c r="T192" s="744"/>
      <c r="U192" s="744"/>
      <c r="V192" s="744"/>
      <c r="W192" s="744"/>
      <c r="X192" s="744"/>
      <c r="Y192" s="744"/>
      <c r="Z192" s="744"/>
      <c r="AA192" s="744"/>
      <c r="AB192" s="744"/>
      <c r="AC192" s="744"/>
      <c r="AD192" s="744"/>
      <c r="AE192" s="744"/>
      <c r="AF192" s="744"/>
      <c r="AG192" s="744"/>
      <c r="AH192" s="744"/>
      <c r="AI192" s="744"/>
      <c r="AJ192" s="744"/>
      <c r="AK192" s="744"/>
      <c r="AL192" s="744"/>
      <c r="AM192" s="744"/>
      <c r="AN192" s="744"/>
      <c r="AO192" s="744"/>
      <c r="AP192" s="744"/>
      <c r="AQ192" s="744"/>
      <c r="AR192" s="744"/>
      <c r="AS192" s="744"/>
      <c r="AT192" s="744"/>
      <c r="AU192" s="744"/>
      <c r="AV192" s="744"/>
      <c r="AW192" s="744"/>
      <c r="AX192" s="744"/>
    </row>
    <row r="193" spans="1:50" s="713" customFormat="1">
      <c r="A193" s="1036"/>
      <c r="B193" s="748"/>
      <c r="C193" s="372"/>
      <c r="D193" s="1114"/>
      <c r="E193" s="1036" t="str">
        <f>Translate!$E$183</f>
        <v>Carbon tax rate applicable</v>
      </c>
      <c r="F193" s="1114"/>
      <c r="G193" s="1036" t="str">
        <f>Translate!$E$586</f>
        <v>Flag</v>
      </c>
      <c r="H193" s="1036"/>
      <c r="I193" s="1036">
        <f xml:space="preserve"> SUM(K193:BH193)</f>
        <v>40</v>
      </c>
      <c r="J193" s="1036"/>
      <c r="K193" s="1036">
        <f xml:space="preserve"> (K190 &gt;= $F192) * 1</f>
        <v>1</v>
      </c>
      <c r="L193" s="1036">
        <f t="shared" ref="L193:AX193" si="36" xml:space="preserve"> (L190 &gt;= $F192) * 1</f>
        <v>1</v>
      </c>
      <c r="M193" s="1036">
        <f t="shared" si="36"/>
        <v>1</v>
      </c>
      <c r="N193" s="1036">
        <f t="shared" si="36"/>
        <v>1</v>
      </c>
      <c r="O193" s="1036">
        <f t="shared" si="36"/>
        <v>1</v>
      </c>
      <c r="P193" s="1036">
        <f t="shared" si="36"/>
        <v>1</v>
      </c>
      <c r="Q193" s="1036">
        <f t="shared" si="36"/>
        <v>1</v>
      </c>
      <c r="R193" s="1036">
        <f t="shared" si="36"/>
        <v>1</v>
      </c>
      <c r="S193" s="1036">
        <f t="shared" si="36"/>
        <v>1</v>
      </c>
      <c r="T193" s="1036">
        <f t="shared" si="36"/>
        <v>1</v>
      </c>
      <c r="U193" s="1036">
        <f t="shared" si="36"/>
        <v>1</v>
      </c>
      <c r="V193" s="1036">
        <f t="shared" si="36"/>
        <v>1</v>
      </c>
      <c r="W193" s="1036">
        <f t="shared" si="36"/>
        <v>1</v>
      </c>
      <c r="X193" s="1036">
        <f t="shared" si="36"/>
        <v>1</v>
      </c>
      <c r="Y193" s="1036">
        <f t="shared" si="36"/>
        <v>1</v>
      </c>
      <c r="Z193" s="1036">
        <f t="shared" si="36"/>
        <v>1</v>
      </c>
      <c r="AA193" s="1036">
        <f t="shared" si="36"/>
        <v>1</v>
      </c>
      <c r="AB193" s="1036">
        <f t="shared" si="36"/>
        <v>1</v>
      </c>
      <c r="AC193" s="1036">
        <f t="shared" si="36"/>
        <v>1</v>
      </c>
      <c r="AD193" s="1036">
        <f t="shared" si="36"/>
        <v>1</v>
      </c>
      <c r="AE193" s="1036">
        <f t="shared" si="36"/>
        <v>1</v>
      </c>
      <c r="AF193" s="1036">
        <f t="shared" si="36"/>
        <v>1</v>
      </c>
      <c r="AG193" s="1036">
        <f t="shared" si="36"/>
        <v>1</v>
      </c>
      <c r="AH193" s="1036">
        <f t="shared" si="36"/>
        <v>1</v>
      </c>
      <c r="AI193" s="1036">
        <f t="shared" si="36"/>
        <v>1</v>
      </c>
      <c r="AJ193" s="1036">
        <f t="shared" si="36"/>
        <v>1</v>
      </c>
      <c r="AK193" s="1036">
        <f t="shared" si="36"/>
        <v>1</v>
      </c>
      <c r="AL193" s="1036">
        <f t="shared" si="36"/>
        <v>1</v>
      </c>
      <c r="AM193" s="1036">
        <f t="shared" si="36"/>
        <v>1</v>
      </c>
      <c r="AN193" s="1036">
        <f t="shared" si="36"/>
        <v>1</v>
      </c>
      <c r="AO193" s="1036">
        <f t="shared" si="36"/>
        <v>1</v>
      </c>
      <c r="AP193" s="1036">
        <f t="shared" si="36"/>
        <v>1</v>
      </c>
      <c r="AQ193" s="1036">
        <f t="shared" si="36"/>
        <v>1</v>
      </c>
      <c r="AR193" s="1036">
        <f t="shared" si="36"/>
        <v>1</v>
      </c>
      <c r="AS193" s="1036">
        <f t="shared" si="36"/>
        <v>1</v>
      </c>
      <c r="AT193" s="1036">
        <f t="shared" si="36"/>
        <v>1</v>
      </c>
      <c r="AU193" s="1036">
        <f t="shared" si="36"/>
        <v>1</v>
      </c>
      <c r="AV193" s="1036">
        <f t="shared" si="36"/>
        <v>1</v>
      </c>
      <c r="AW193" s="1036">
        <f t="shared" si="36"/>
        <v>1</v>
      </c>
      <c r="AX193" s="1036">
        <f t="shared" si="36"/>
        <v>1</v>
      </c>
    </row>
    <row r="194" spans="1:50" s="765" customFormat="1">
      <c r="A194" s="1041"/>
      <c r="B194" s="1"/>
      <c r="C194" s="381"/>
      <c r="D194" s="1005"/>
      <c r="E194" s="1041" t="str">
        <f>Translate!$E$184</f>
        <v>Year of carbon tax</v>
      </c>
      <c r="F194" s="1005"/>
      <c r="G194" s="1041" t="str">
        <f>Translate!$E$586</f>
        <v>Flag</v>
      </c>
      <c r="H194" s="1041"/>
      <c r="I194" s="1041"/>
      <c r="J194" s="1115"/>
      <c r="K194" s="1041">
        <f xml:space="preserve"> K190 - $F192 + 1</f>
        <v>1</v>
      </c>
      <c r="L194" s="1041">
        <f t="shared" ref="L194:AX194" si="37" xml:space="preserve"> L190 - $F192 + 1</f>
        <v>2</v>
      </c>
      <c r="M194" s="1041">
        <f t="shared" si="37"/>
        <v>3</v>
      </c>
      <c r="N194" s="1041">
        <f t="shared" si="37"/>
        <v>4</v>
      </c>
      <c r="O194" s="1041">
        <f t="shared" si="37"/>
        <v>5</v>
      </c>
      <c r="P194" s="1041">
        <f t="shared" si="37"/>
        <v>6</v>
      </c>
      <c r="Q194" s="1041">
        <f t="shared" si="37"/>
        <v>7</v>
      </c>
      <c r="R194" s="1041">
        <f t="shared" si="37"/>
        <v>8</v>
      </c>
      <c r="S194" s="1041">
        <f t="shared" si="37"/>
        <v>9</v>
      </c>
      <c r="T194" s="1041">
        <f t="shared" si="37"/>
        <v>10</v>
      </c>
      <c r="U194" s="1041">
        <f t="shared" si="37"/>
        <v>11</v>
      </c>
      <c r="V194" s="1041">
        <f t="shared" si="37"/>
        <v>12</v>
      </c>
      <c r="W194" s="1041">
        <f t="shared" si="37"/>
        <v>13</v>
      </c>
      <c r="X194" s="1041">
        <f t="shared" si="37"/>
        <v>14</v>
      </c>
      <c r="Y194" s="1041">
        <f t="shared" si="37"/>
        <v>15</v>
      </c>
      <c r="Z194" s="1041">
        <f t="shared" si="37"/>
        <v>16</v>
      </c>
      <c r="AA194" s="1041">
        <f t="shared" si="37"/>
        <v>17</v>
      </c>
      <c r="AB194" s="1041">
        <f t="shared" si="37"/>
        <v>18</v>
      </c>
      <c r="AC194" s="1041">
        <f t="shared" si="37"/>
        <v>19</v>
      </c>
      <c r="AD194" s="1041">
        <f t="shared" si="37"/>
        <v>20</v>
      </c>
      <c r="AE194" s="1041">
        <f t="shared" si="37"/>
        <v>21</v>
      </c>
      <c r="AF194" s="1041">
        <f t="shared" si="37"/>
        <v>22</v>
      </c>
      <c r="AG194" s="1041">
        <f t="shared" si="37"/>
        <v>23</v>
      </c>
      <c r="AH194" s="1041">
        <f t="shared" si="37"/>
        <v>24</v>
      </c>
      <c r="AI194" s="1041">
        <f t="shared" si="37"/>
        <v>25</v>
      </c>
      <c r="AJ194" s="1041">
        <f t="shared" si="37"/>
        <v>26</v>
      </c>
      <c r="AK194" s="1041">
        <f t="shared" si="37"/>
        <v>27</v>
      </c>
      <c r="AL194" s="1041">
        <f t="shared" si="37"/>
        <v>28</v>
      </c>
      <c r="AM194" s="1041">
        <f t="shared" si="37"/>
        <v>29</v>
      </c>
      <c r="AN194" s="1041">
        <f t="shared" si="37"/>
        <v>30</v>
      </c>
      <c r="AO194" s="1041">
        <f t="shared" si="37"/>
        <v>31</v>
      </c>
      <c r="AP194" s="1041">
        <f t="shared" si="37"/>
        <v>32</v>
      </c>
      <c r="AQ194" s="1041">
        <f t="shared" si="37"/>
        <v>33</v>
      </c>
      <c r="AR194" s="1041">
        <f t="shared" si="37"/>
        <v>34</v>
      </c>
      <c r="AS194" s="1041">
        <f t="shared" si="37"/>
        <v>35</v>
      </c>
      <c r="AT194" s="1041">
        <f t="shared" si="37"/>
        <v>36</v>
      </c>
      <c r="AU194" s="1041">
        <f t="shared" si="37"/>
        <v>37</v>
      </c>
      <c r="AV194" s="1041">
        <f t="shared" si="37"/>
        <v>38</v>
      </c>
      <c r="AW194" s="1041">
        <f t="shared" si="37"/>
        <v>39</v>
      </c>
      <c r="AX194" s="1041">
        <f t="shared" si="37"/>
        <v>40</v>
      </c>
    </row>
    <row r="195" spans="1:50" s="765" customFormat="1">
      <c r="A195" s="1041"/>
      <c r="B195" s="1"/>
      <c r="C195" s="381"/>
      <c r="D195" s="1005"/>
      <c r="E195" s="1041"/>
      <c r="F195" s="1005"/>
      <c r="G195" s="1041"/>
      <c r="H195" s="1041"/>
      <c r="I195" s="1041"/>
      <c r="J195" s="1041"/>
      <c r="K195" s="1041"/>
      <c r="L195" s="1041"/>
      <c r="M195" s="1041"/>
      <c r="N195" s="1041"/>
      <c r="O195" s="1041"/>
      <c r="P195" s="1041"/>
      <c r="Q195" s="1041"/>
      <c r="R195" s="1041"/>
      <c r="S195" s="1041"/>
      <c r="T195" s="1041"/>
      <c r="U195" s="1041"/>
      <c r="V195" s="1041"/>
      <c r="W195" s="1041"/>
      <c r="X195" s="1041"/>
      <c r="Y195" s="1041"/>
      <c r="Z195" s="1041"/>
      <c r="AA195" s="1041"/>
      <c r="AB195" s="1041"/>
      <c r="AC195" s="1041"/>
      <c r="AD195" s="1041"/>
      <c r="AE195" s="1041"/>
      <c r="AF195" s="1041"/>
      <c r="AG195" s="1041"/>
      <c r="AH195" s="1041"/>
      <c r="AI195" s="1041"/>
      <c r="AJ195" s="1041"/>
      <c r="AK195" s="1041"/>
      <c r="AL195" s="1041"/>
      <c r="AM195" s="1041"/>
      <c r="AN195" s="1041"/>
      <c r="AO195" s="1041"/>
      <c r="AP195" s="1041"/>
      <c r="AQ195" s="1041"/>
      <c r="AR195" s="1041"/>
      <c r="AS195" s="1041"/>
      <c r="AT195" s="1041"/>
      <c r="AU195" s="1041"/>
      <c r="AV195" s="1041"/>
      <c r="AW195" s="1041"/>
      <c r="AX195" s="1041"/>
    </row>
    <row r="196" spans="1:50" s="765" customFormat="1">
      <c r="A196" s="1041"/>
      <c r="B196" s="1" t="str">
        <f>Translate!$E$63</f>
        <v>Tax inflation index</v>
      </c>
      <c r="C196" s="381"/>
      <c r="D196" s="1005"/>
      <c r="E196" s="1041"/>
      <c r="F196" s="1005"/>
      <c r="G196" s="1041"/>
      <c r="H196" s="1041"/>
      <c r="I196" s="1041"/>
      <c r="J196" s="1041"/>
      <c r="K196" s="1041"/>
      <c r="L196" s="1041"/>
      <c r="M196" s="1041"/>
      <c r="N196" s="1041"/>
      <c r="O196" s="1041"/>
      <c r="P196" s="1041"/>
      <c r="Q196" s="1041"/>
      <c r="R196" s="1041"/>
      <c r="S196" s="1041"/>
      <c r="T196" s="1041"/>
      <c r="U196" s="1041"/>
      <c r="V196" s="1041"/>
      <c r="W196" s="1041"/>
      <c r="X196" s="1041"/>
      <c r="Y196" s="1041"/>
      <c r="Z196" s="1041"/>
      <c r="AA196" s="1041"/>
      <c r="AB196" s="1041"/>
      <c r="AC196" s="1041"/>
      <c r="AD196" s="1041"/>
      <c r="AE196" s="1041"/>
      <c r="AF196" s="1041"/>
      <c r="AG196" s="1041"/>
      <c r="AH196" s="1041"/>
      <c r="AI196" s="1041"/>
      <c r="AJ196" s="1041"/>
      <c r="AK196" s="1041"/>
      <c r="AL196" s="1041"/>
      <c r="AM196" s="1041"/>
      <c r="AN196" s="1041"/>
      <c r="AO196" s="1041"/>
      <c r="AP196" s="1041"/>
      <c r="AQ196" s="1041"/>
      <c r="AR196" s="1041"/>
      <c r="AS196" s="1041"/>
      <c r="AT196" s="1041"/>
      <c r="AU196" s="1041"/>
      <c r="AV196" s="1041"/>
      <c r="AW196" s="1041"/>
      <c r="AX196" s="1041"/>
    </row>
    <row r="197" spans="1:50" s="929" customFormat="1">
      <c r="A197" s="1113"/>
      <c r="B197" s="741"/>
      <c r="C197" s="742"/>
      <c r="D197" s="1113"/>
      <c r="E197" s="743" t="str">
        <f xml:space="preserve"> E$28</f>
        <v>Carbon tax in real or nominal terms</v>
      </c>
      <c r="F197" s="743" t="str">
        <f xml:space="preserve"> F$28</f>
        <v>nominal</v>
      </c>
      <c r="G197" s="743" t="str">
        <f t="shared" ref="G197:H197" si="38" xml:space="preserve"> G$28</f>
        <v>Option</v>
      </c>
      <c r="H197" s="743" t="str">
        <f t="shared" si="38"/>
        <v>Real, nominal; assumed nominal if empty</v>
      </c>
      <c r="I197" s="1113"/>
      <c r="J197" s="1113"/>
      <c r="K197" s="1113"/>
      <c r="L197" s="1113"/>
      <c r="M197" s="1113"/>
      <c r="N197" s="1113"/>
      <c r="O197" s="1113"/>
      <c r="P197" s="1113"/>
      <c r="Q197" s="1113"/>
      <c r="R197" s="1113"/>
      <c r="S197" s="1113"/>
      <c r="T197" s="1113"/>
      <c r="U197" s="1113"/>
      <c r="V197" s="1113"/>
      <c r="W197" s="1113"/>
      <c r="X197" s="1113"/>
      <c r="Y197" s="1113"/>
      <c r="Z197" s="1113"/>
      <c r="AA197" s="1113"/>
      <c r="AB197" s="1113"/>
      <c r="AC197" s="1113"/>
      <c r="AD197" s="1113"/>
      <c r="AE197" s="1113"/>
      <c r="AF197" s="1113"/>
      <c r="AG197" s="1113"/>
      <c r="AH197" s="1113"/>
      <c r="AI197" s="1113"/>
      <c r="AJ197" s="1113"/>
      <c r="AK197" s="1113"/>
      <c r="AL197" s="1113"/>
      <c r="AM197" s="1113"/>
      <c r="AN197" s="1113"/>
      <c r="AO197" s="1113"/>
      <c r="AP197" s="1113"/>
      <c r="AQ197" s="1113"/>
      <c r="AR197" s="1113"/>
      <c r="AS197" s="1113"/>
      <c r="AT197" s="1113"/>
      <c r="AU197" s="1113"/>
      <c r="AV197" s="1113"/>
      <c r="AW197" s="1113"/>
      <c r="AX197" s="1113"/>
    </row>
    <row r="198" spans="1:50" s="765" customFormat="1">
      <c r="A198" s="1041"/>
      <c r="B198" s="1"/>
      <c r="C198" s="381"/>
      <c r="D198" s="1005"/>
      <c r="E198" s="1041" t="str">
        <f>Translate!$E$185 &amp; " " &amp; Translate!$E$351 &amp; " 1"</f>
        <v>Carbon tax - inflation Option 1</v>
      </c>
      <c r="F198" s="930" t="str">
        <f xml:space="preserve"> Inputs!F$86</f>
        <v>nominal</v>
      </c>
      <c r="G198" s="1041" t="str">
        <f>Translate!$E$351</f>
        <v>Option</v>
      </c>
      <c r="H198" s="1041"/>
      <c r="I198" s="1041"/>
      <c r="J198" s="1041"/>
      <c r="K198" s="1041"/>
      <c r="L198" s="1041"/>
      <c r="M198" s="1041"/>
      <c r="N198" s="1041"/>
      <c r="O198" s="1041"/>
      <c r="P198" s="1041"/>
      <c r="Q198" s="1041"/>
      <c r="R198" s="1041"/>
      <c r="S198" s="1041"/>
      <c r="T198" s="1041"/>
      <c r="U198" s="1041"/>
      <c r="V198" s="1041"/>
      <c r="W198" s="1041"/>
      <c r="X198" s="1041"/>
      <c r="Y198" s="1041"/>
      <c r="Z198" s="1041"/>
      <c r="AA198" s="1041"/>
      <c r="AB198" s="1041"/>
      <c r="AC198" s="1041"/>
      <c r="AD198" s="1041"/>
      <c r="AE198" s="1041"/>
      <c r="AF198" s="1041"/>
      <c r="AG198" s="1041"/>
      <c r="AH198" s="1041"/>
      <c r="AI198" s="1041"/>
      <c r="AJ198" s="1041"/>
      <c r="AK198" s="1041"/>
      <c r="AL198" s="1041"/>
      <c r="AM198" s="1041"/>
      <c r="AN198" s="1041"/>
      <c r="AO198" s="1041"/>
      <c r="AP198" s="1041"/>
      <c r="AQ198" s="1041"/>
      <c r="AR198" s="1041"/>
      <c r="AS198" s="1041"/>
      <c r="AT198" s="1041"/>
      <c r="AU198" s="1041"/>
      <c r="AV198" s="1041"/>
      <c r="AW198" s="1041"/>
      <c r="AX198" s="1041"/>
    </row>
    <row r="199" spans="1:50" s="765" customFormat="1">
      <c r="A199" s="1041"/>
      <c r="B199" s="1"/>
      <c r="C199" s="381"/>
      <c r="D199" s="1005"/>
      <c r="E199" s="1041" t="str">
        <f>Translate!$E$185 &amp; " " &amp; Translate!$E$351 &amp; " 2"</f>
        <v>Carbon tax - inflation Option 2</v>
      </c>
      <c r="F199" s="930" t="str">
        <f xml:space="preserve"> Inputs!F$85</f>
        <v>real</v>
      </c>
      <c r="G199" s="1041" t="str">
        <f>Translate!$E$351</f>
        <v>Option</v>
      </c>
      <c r="H199" s="1041"/>
      <c r="I199" s="1041"/>
      <c r="J199" s="1041"/>
      <c r="K199" s="1041"/>
      <c r="L199" s="1041"/>
      <c r="M199" s="1041"/>
      <c r="N199" s="1041"/>
      <c r="O199" s="1041"/>
      <c r="P199" s="1041"/>
      <c r="Q199" s="1041"/>
      <c r="R199" s="1041"/>
      <c r="S199" s="1041"/>
      <c r="T199" s="1041"/>
      <c r="U199" s="1041"/>
      <c r="V199" s="1041"/>
      <c r="W199" s="1041"/>
      <c r="X199" s="1041"/>
      <c r="Y199" s="1041"/>
      <c r="Z199" s="1041"/>
      <c r="AA199" s="1041"/>
      <c r="AB199" s="1041"/>
      <c r="AC199" s="1041"/>
      <c r="AD199" s="1041"/>
      <c r="AE199" s="1041"/>
      <c r="AF199" s="1041"/>
      <c r="AG199" s="1041"/>
      <c r="AH199" s="1041"/>
      <c r="AI199" s="1041"/>
      <c r="AJ199" s="1041"/>
      <c r="AK199" s="1041"/>
      <c r="AL199" s="1041"/>
      <c r="AM199" s="1041"/>
      <c r="AN199" s="1041"/>
      <c r="AO199" s="1041"/>
      <c r="AP199" s="1041"/>
      <c r="AQ199" s="1041"/>
      <c r="AR199" s="1041"/>
      <c r="AS199" s="1041"/>
      <c r="AT199" s="1041"/>
      <c r="AU199" s="1041"/>
      <c r="AV199" s="1041"/>
      <c r="AW199" s="1041"/>
      <c r="AX199" s="1041"/>
    </row>
    <row r="200" spans="1:50" s="765" customFormat="1">
      <c r="A200" s="1041"/>
      <c r="B200" s="1"/>
      <c r="C200" s="381"/>
      <c r="D200" s="1005"/>
      <c r="E200" s="1041"/>
      <c r="F200" s="1005"/>
      <c r="G200" s="1041"/>
      <c r="H200" s="1041"/>
      <c r="I200" s="1041"/>
      <c r="J200" s="1041"/>
      <c r="K200" s="1041"/>
      <c r="L200" s="1041"/>
      <c r="M200" s="1041"/>
      <c r="N200" s="1041"/>
      <c r="O200" s="1041"/>
      <c r="P200" s="1041"/>
      <c r="Q200" s="1041"/>
      <c r="R200" s="1041"/>
      <c r="S200" s="1041"/>
      <c r="T200" s="1041"/>
      <c r="U200" s="1041"/>
      <c r="V200" s="1041"/>
      <c r="W200" s="1041"/>
      <c r="X200" s="1041"/>
      <c r="Y200" s="1041"/>
      <c r="Z200" s="1041"/>
      <c r="AA200" s="1041"/>
      <c r="AB200" s="1041"/>
      <c r="AC200" s="1041"/>
      <c r="AD200" s="1041"/>
      <c r="AE200" s="1041"/>
      <c r="AF200" s="1041"/>
      <c r="AG200" s="1041"/>
      <c r="AH200" s="1041"/>
      <c r="AI200" s="1041"/>
      <c r="AJ200" s="1041"/>
      <c r="AK200" s="1041"/>
      <c r="AL200" s="1041"/>
      <c r="AM200" s="1041"/>
      <c r="AN200" s="1041"/>
      <c r="AO200" s="1041"/>
      <c r="AP200" s="1041"/>
      <c r="AQ200" s="1041"/>
      <c r="AR200" s="1041"/>
      <c r="AS200" s="1041"/>
      <c r="AT200" s="1041"/>
      <c r="AU200" s="1041"/>
      <c r="AV200" s="1041"/>
      <c r="AW200" s="1041"/>
      <c r="AX200" s="1041"/>
    </row>
    <row r="201" spans="1:50" s="740" customFormat="1">
      <c r="A201" s="737"/>
      <c r="B201" s="738"/>
      <c r="C201" s="739"/>
      <c r="D201" s="737"/>
      <c r="E201" s="737" t="str">
        <f xml:space="preserve"> ProjectCashflows!E$48</f>
        <v>Model calendar years</v>
      </c>
      <c r="F201" s="737">
        <f xml:space="preserve"> ProjectCashflows!F$48</f>
        <v>0</v>
      </c>
      <c r="G201" s="737" t="str">
        <f xml:space="preserve"> ProjectCashflows!G$48</f>
        <v>Years</v>
      </c>
      <c r="H201" s="737">
        <f xml:space="preserve"> ProjectCashflows!H$48</f>
        <v>0</v>
      </c>
      <c r="I201" s="737">
        <f xml:space="preserve"> ProjectCashflows!I$48</f>
        <v>0</v>
      </c>
      <c r="J201" s="737">
        <f xml:space="preserve"> ProjectCashflows!J$48</f>
        <v>0</v>
      </c>
      <c r="K201" s="737">
        <f xml:space="preserve"> ProjectCashflows!K$48</f>
        <v>2021</v>
      </c>
      <c r="L201" s="737">
        <f xml:space="preserve"> ProjectCashflows!L$48</f>
        <v>2022</v>
      </c>
      <c r="M201" s="737">
        <f xml:space="preserve"> ProjectCashflows!M$48</f>
        <v>2023</v>
      </c>
      <c r="N201" s="737">
        <f xml:space="preserve"> ProjectCashflows!N$48</f>
        <v>2024</v>
      </c>
      <c r="O201" s="737">
        <f xml:space="preserve"> ProjectCashflows!O$48</f>
        <v>2025</v>
      </c>
      <c r="P201" s="737">
        <f xml:space="preserve"> ProjectCashflows!P$48</f>
        <v>2026</v>
      </c>
      <c r="Q201" s="737">
        <f xml:space="preserve"> ProjectCashflows!Q$48</f>
        <v>2027</v>
      </c>
      <c r="R201" s="737">
        <f xml:space="preserve"> ProjectCashflows!R$48</f>
        <v>2028</v>
      </c>
      <c r="S201" s="737">
        <f xml:space="preserve"> ProjectCashflows!S$48</f>
        <v>2029</v>
      </c>
      <c r="T201" s="737">
        <f xml:space="preserve"> ProjectCashflows!T$48</f>
        <v>2030</v>
      </c>
      <c r="U201" s="737">
        <f xml:space="preserve"> ProjectCashflows!U$48</f>
        <v>2031</v>
      </c>
      <c r="V201" s="737">
        <f xml:space="preserve"> ProjectCashflows!V$48</f>
        <v>2032</v>
      </c>
      <c r="W201" s="737">
        <f xml:space="preserve"> ProjectCashflows!W$48</f>
        <v>2033</v>
      </c>
      <c r="X201" s="737">
        <f xml:space="preserve"> ProjectCashflows!X$48</f>
        <v>2034</v>
      </c>
      <c r="Y201" s="737">
        <f xml:space="preserve"> ProjectCashflows!Y$48</f>
        <v>2035</v>
      </c>
      <c r="Z201" s="737">
        <f xml:space="preserve"> ProjectCashflows!Z$48</f>
        <v>2036</v>
      </c>
      <c r="AA201" s="737">
        <f xml:space="preserve"> ProjectCashflows!AA$48</f>
        <v>2037</v>
      </c>
      <c r="AB201" s="737">
        <f xml:space="preserve"> ProjectCashflows!AB$48</f>
        <v>2038</v>
      </c>
      <c r="AC201" s="737">
        <f xml:space="preserve"> ProjectCashflows!AC$48</f>
        <v>2039</v>
      </c>
      <c r="AD201" s="737">
        <f xml:space="preserve"> ProjectCashflows!AD$48</f>
        <v>2040</v>
      </c>
      <c r="AE201" s="737">
        <f xml:space="preserve"> ProjectCashflows!AE$48</f>
        <v>2041</v>
      </c>
      <c r="AF201" s="737">
        <f xml:space="preserve"> ProjectCashflows!AF$48</f>
        <v>2042</v>
      </c>
      <c r="AG201" s="737">
        <f xml:space="preserve"> ProjectCashflows!AG$48</f>
        <v>2043</v>
      </c>
      <c r="AH201" s="737">
        <f xml:space="preserve"> ProjectCashflows!AH$48</f>
        <v>2044</v>
      </c>
      <c r="AI201" s="737">
        <f xml:space="preserve"> ProjectCashflows!AI$48</f>
        <v>2045</v>
      </c>
      <c r="AJ201" s="737">
        <f xml:space="preserve"> ProjectCashflows!AJ$48</f>
        <v>2046</v>
      </c>
      <c r="AK201" s="737">
        <f xml:space="preserve"> ProjectCashflows!AK$48</f>
        <v>2047</v>
      </c>
      <c r="AL201" s="737">
        <f xml:space="preserve"> ProjectCashflows!AL$48</f>
        <v>2048</v>
      </c>
      <c r="AM201" s="737">
        <f xml:space="preserve"> ProjectCashflows!AM$48</f>
        <v>2049</v>
      </c>
      <c r="AN201" s="737">
        <f xml:space="preserve"> ProjectCashflows!AN$48</f>
        <v>2050</v>
      </c>
      <c r="AO201" s="737">
        <f xml:space="preserve"> ProjectCashflows!AO$48</f>
        <v>2051</v>
      </c>
      <c r="AP201" s="737">
        <f xml:space="preserve"> ProjectCashflows!AP$48</f>
        <v>2052</v>
      </c>
      <c r="AQ201" s="737">
        <f xml:space="preserve"> ProjectCashflows!AQ$48</f>
        <v>2053</v>
      </c>
      <c r="AR201" s="737">
        <f xml:space="preserve"> ProjectCashflows!AR$48</f>
        <v>2054</v>
      </c>
      <c r="AS201" s="737">
        <f xml:space="preserve"> ProjectCashflows!AS$48</f>
        <v>2055</v>
      </c>
      <c r="AT201" s="737">
        <f xml:space="preserve"> ProjectCashflows!AT$48</f>
        <v>2056</v>
      </c>
      <c r="AU201" s="737">
        <f xml:space="preserve"> ProjectCashflows!AU$48</f>
        <v>2057</v>
      </c>
      <c r="AV201" s="737">
        <f xml:space="preserve"> ProjectCashflows!AV$48</f>
        <v>2058</v>
      </c>
      <c r="AW201" s="737">
        <f xml:space="preserve"> ProjectCashflows!AW$48</f>
        <v>2059</v>
      </c>
      <c r="AX201" s="737">
        <f xml:space="preserve"> ProjectCashflows!AX$48</f>
        <v>2060</v>
      </c>
    </row>
    <row r="202" spans="1:50" s="752" customFormat="1">
      <c r="A202" s="749"/>
      <c r="B202" s="750"/>
      <c r="C202" s="751"/>
      <c r="D202" s="749"/>
      <c r="E202" s="749" t="str">
        <f xml:space="preserve"> ProjectCashflows!E$213</f>
        <v>Inflation index</v>
      </c>
      <c r="F202" s="749">
        <f xml:space="preserve"> ProjectCashflows!F$213</f>
        <v>0</v>
      </c>
      <c r="G202" s="749" t="str">
        <f xml:space="preserve"> ProjectCashflows!G$213</f>
        <v>Index</v>
      </c>
      <c r="H202" s="749" t="str">
        <f xml:space="preserve"> ProjectCashflows!H$213</f>
        <v>base year is first project year</v>
      </c>
      <c r="I202" s="749">
        <f xml:space="preserve"> ProjectCashflows!I$213</f>
        <v>0</v>
      </c>
      <c r="J202" s="749">
        <f xml:space="preserve"> ProjectCashflows!J$213</f>
        <v>0</v>
      </c>
      <c r="K202" s="749">
        <f ca="1" xml:space="preserve"> ProjectCashflows!K$213</f>
        <v>1</v>
      </c>
      <c r="L202" s="749">
        <f ca="1" xml:space="preserve"> ProjectCashflows!L$213</f>
        <v>1.02</v>
      </c>
      <c r="M202" s="749">
        <f ca="1" xml:space="preserve"> ProjectCashflows!M$213</f>
        <v>1.0404</v>
      </c>
      <c r="N202" s="749">
        <f ca="1" xml:space="preserve"> ProjectCashflows!N$213</f>
        <v>1.0612079999999999</v>
      </c>
      <c r="O202" s="749">
        <f ca="1" xml:space="preserve"> ProjectCashflows!O$213</f>
        <v>1.08243216</v>
      </c>
      <c r="P202" s="749">
        <f ca="1" xml:space="preserve"> ProjectCashflows!P$213</f>
        <v>1.1040808032</v>
      </c>
      <c r="Q202" s="749">
        <f ca="1" xml:space="preserve"> ProjectCashflows!Q$213</f>
        <v>1.1261624192640001</v>
      </c>
      <c r="R202" s="749">
        <f ca="1" xml:space="preserve"> ProjectCashflows!R$213</f>
        <v>1.14868566764928</v>
      </c>
      <c r="S202" s="749">
        <f ca="1" xml:space="preserve"> ProjectCashflows!S$213</f>
        <v>1.1716593810022657</v>
      </c>
      <c r="T202" s="749">
        <f ca="1" xml:space="preserve"> ProjectCashflows!T$213</f>
        <v>1.1950925686223111</v>
      </c>
      <c r="U202" s="749">
        <f ca="1" xml:space="preserve"> ProjectCashflows!U$213</f>
        <v>1.2189944199947573</v>
      </c>
      <c r="V202" s="749">
        <f ca="1" xml:space="preserve"> ProjectCashflows!V$213</f>
        <v>1.2433743083946525</v>
      </c>
      <c r="W202" s="749">
        <f ca="1" xml:space="preserve"> ProjectCashflows!W$213</f>
        <v>1.2682417945625455</v>
      </c>
      <c r="X202" s="749">
        <f ca="1" xml:space="preserve"> ProjectCashflows!X$213</f>
        <v>1.2936066304537963</v>
      </c>
      <c r="Y202" s="749">
        <f ca="1" xml:space="preserve"> ProjectCashflows!Y$213</f>
        <v>1.3194787630628724</v>
      </c>
      <c r="Z202" s="749">
        <f ca="1" xml:space="preserve"> ProjectCashflows!Z$213</f>
        <v>1.3458683383241299</v>
      </c>
      <c r="AA202" s="749">
        <f ca="1" xml:space="preserve"> ProjectCashflows!AA$213</f>
        <v>1.3727857050906125</v>
      </c>
      <c r="AB202" s="749">
        <f ca="1" xml:space="preserve"> ProjectCashflows!AB$213</f>
        <v>1.4002414191924248</v>
      </c>
      <c r="AC202" s="749">
        <f ca="1" xml:space="preserve"> ProjectCashflows!AC$213</f>
        <v>1.4282462475762734</v>
      </c>
      <c r="AD202" s="749">
        <f ca="1" xml:space="preserve"> ProjectCashflows!AD$213</f>
        <v>1.4568111725277988</v>
      </c>
      <c r="AE202" s="749">
        <f ca="1" xml:space="preserve"> ProjectCashflows!AE$213</f>
        <v>1.4859473959783549</v>
      </c>
      <c r="AF202" s="749">
        <f ca="1" xml:space="preserve"> ProjectCashflows!AF$213</f>
        <v>1.5156663438979221</v>
      </c>
      <c r="AG202" s="749">
        <f ca="1" xml:space="preserve"> ProjectCashflows!AG$213</f>
        <v>1</v>
      </c>
      <c r="AH202" s="749">
        <f ca="1" xml:space="preserve"> ProjectCashflows!AH$213</f>
        <v>1</v>
      </c>
      <c r="AI202" s="749">
        <f ca="1" xml:space="preserve"> ProjectCashflows!AI$213</f>
        <v>1</v>
      </c>
      <c r="AJ202" s="749">
        <f ca="1" xml:space="preserve"> ProjectCashflows!AJ$213</f>
        <v>1</v>
      </c>
      <c r="AK202" s="749">
        <f ca="1" xml:space="preserve"> ProjectCashflows!AK$213</f>
        <v>1</v>
      </c>
      <c r="AL202" s="749">
        <f ca="1" xml:space="preserve"> ProjectCashflows!AL$213</f>
        <v>1</v>
      </c>
      <c r="AM202" s="749">
        <f ca="1" xml:space="preserve"> ProjectCashflows!AM$213</f>
        <v>1</v>
      </c>
      <c r="AN202" s="749">
        <f ca="1" xml:space="preserve"> ProjectCashflows!AN$213</f>
        <v>1</v>
      </c>
      <c r="AO202" s="749">
        <f ca="1" xml:space="preserve"> ProjectCashflows!AO$213</f>
        <v>1</v>
      </c>
      <c r="AP202" s="749">
        <f ca="1" xml:space="preserve"> ProjectCashflows!AP$213</f>
        <v>1</v>
      </c>
      <c r="AQ202" s="749">
        <f ca="1" xml:space="preserve"> ProjectCashflows!AQ$213</f>
        <v>1</v>
      </c>
      <c r="AR202" s="749">
        <f ca="1" xml:space="preserve"> ProjectCashflows!AR$213</f>
        <v>1</v>
      </c>
      <c r="AS202" s="749">
        <f ca="1" xml:space="preserve"> ProjectCashflows!AS$213</f>
        <v>1</v>
      </c>
      <c r="AT202" s="749">
        <f ca="1" xml:space="preserve"> ProjectCashflows!AT$213</f>
        <v>1</v>
      </c>
      <c r="AU202" s="749">
        <f ca="1" xml:space="preserve"> ProjectCashflows!AU$213</f>
        <v>1</v>
      </c>
      <c r="AV202" s="749">
        <f ca="1" xml:space="preserve"> ProjectCashflows!AV$213</f>
        <v>1</v>
      </c>
      <c r="AW202" s="749">
        <f ca="1" xml:space="preserve"> ProjectCashflows!AW$213</f>
        <v>1</v>
      </c>
      <c r="AX202" s="749">
        <f ca="1" xml:space="preserve"> ProjectCashflows!AX$213</f>
        <v>1</v>
      </c>
    </row>
    <row r="203" spans="1:50" s="752" customFormat="1">
      <c r="A203" s="749"/>
      <c r="B203" s="750"/>
      <c r="C203" s="751"/>
      <c r="D203" s="749"/>
      <c r="E203" s="749"/>
      <c r="F203" s="753"/>
      <c r="G203" s="749"/>
      <c r="H203" s="749"/>
      <c r="I203" s="749"/>
      <c r="J203" s="749"/>
      <c r="K203" s="749"/>
      <c r="L203" s="749"/>
      <c r="M203" s="749"/>
      <c r="N203" s="749"/>
      <c r="O203" s="749"/>
      <c r="P203" s="749"/>
      <c r="Q203" s="749"/>
      <c r="R203" s="749"/>
      <c r="S203" s="749"/>
      <c r="T203" s="749"/>
      <c r="U203" s="749"/>
      <c r="V203" s="749"/>
      <c r="W203" s="749"/>
      <c r="X203" s="749"/>
      <c r="Y203" s="749"/>
      <c r="Z203" s="749"/>
      <c r="AA203" s="749"/>
      <c r="AB203" s="749"/>
      <c r="AC203" s="749"/>
      <c r="AD203" s="749"/>
      <c r="AE203" s="749"/>
      <c r="AF203" s="749"/>
      <c r="AG203" s="749"/>
      <c r="AH203" s="749"/>
      <c r="AI203" s="749"/>
      <c r="AJ203" s="749"/>
      <c r="AK203" s="749"/>
      <c r="AL203" s="749"/>
      <c r="AM203" s="749"/>
      <c r="AN203" s="749"/>
      <c r="AO203" s="749"/>
      <c r="AP203" s="749"/>
      <c r="AQ203" s="749"/>
      <c r="AR203" s="749"/>
      <c r="AS203" s="749"/>
      <c r="AT203" s="749"/>
      <c r="AU203" s="749"/>
      <c r="AV203" s="749"/>
      <c r="AW203" s="749"/>
      <c r="AX203" s="749"/>
    </row>
    <row r="204" spans="1:50" s="757" customFormat="1">
      <c r="A204" s="754"/>
      <c r="B204" s="755"/>
      <c r="C204" s="756"/>
      <c r="D204" s="754"/>
      <c r="E204" s="448" t="str">
        <f xml:space="preserve"> Inputs!E$45</f>
        <v>Inflation rate</v>
      </c>
      <c r="F204" s="448">
        <f xml:space="preserve"> Inputs!F$45</f>
        <v>0.02</v>
      </c>
      <c r="G204" s="448" t="str">
        <f xml:space="preserve"> Inputs!G$45</f>
        <v>%</v>
      </c>
      <c r="H204" s="780" t="str">
        <f>Translate!$E$303</f>
        <v>assume this is the inflation rate if the carbon tax start year is before the model start year</v>
      </c>
      <c r="I204" s="754"/>
      <c r="J204" s="754"/>
      <c r="K204" s="754"/>
      <c r="L204" s="754"/>
      <c r="M204" s="754"/>
      <c r="N204" s="754"/>
      <c r="O204" s="754"/>
      <c r="P204" s="754"/>
      <c r="Q204" s="754"/>
      <c r="R204" s="754"/>
      <c r="S204" s="754"/>
      <c r="T204" s="754"/>
      <c r="U204" s="754"/>
      <c r="V204" s="754"/>
      <c r="W204" s="754"/>
      <c r="X204" s="754"/>
      <c r="Y204" s="754"/>
      <c r="Z204" s="754"/>
      <c r="AA204" s="754"/>
      <c r="AB204" s="754"/>
      <c r="AC204" s="754"/>
      <c r="AD204" s="754"/>
      <c r="AE204" s="754"/>
      <c r="AF204" s="754"/>
      <c r="AG204" s="754"/>
      <c r="AH204" s="754"/>
      <c r="AI204" s="754"/>
      <c r="AJ204" s="754"/>
      <c r="AK204" s="754"/>
      <c r="AL204" s="754"/>
      <c r="AM204" s="754"/>
      <c r="AN204" s="754"/>
      <c r="AO204" s="754"/>
      <c r="AP204" s="754"/>
      <c r="AQ204" s="754"/>
      <c r="AR204" s="754"/>
      <c r="AS204" s="754"/>
      <c r="AT204" s="754"/>
      <c r="AU204" s="754"/>
      <c r="AV204" s="754"/>
      <c r="AW204" s="754"/>
      <c r="AX204" s="754"/>
    </row>
    <row r="205" spans="1:50" s="757" customFormat="1">
      <c r="A205" s="754"/>
      <c r="B205" s="755"/>
      <c r="C205" s="756"/>
      <c r="D205" s="754"/>
      <c r="E205" s="754" t="str">
        <f>Translate!$E$186</f>
        <v>Inflation since carbon tax start year</v>
      </c>
      <c r="F205" s="754">
        <f xml:space="preserve"> MIN( 1, 1 / (1 + F204) ^ (K201 - F192))</f>
        <v>1</v>
      </c>
      <c r="G205" s="754" t="str">
        <f>Translate!$E$608</f>
        <v>Index</v>
      </c>
      <c r="H205" s="754"/>
      <c r="I205" s="754"/>
      <c r="J205" s="754"/>
      <c r="K205" s="754"/>
      <c r="L205" s="754"/>
      <c r="M205" s="754"/>
      <c r="N205" s="754"/>
      <c r="O205" s="754"/>
      <c r="P205" s="754"/>
      <c r="Q205" s="754"/>
      <c r="R205" s="754"/>
      <c r="S205" s="754"/>
      <c r="T205" s="754"/>
      <c r="U205" s="754"/>
      <c r="V205" s="754"/>
      <c r="W205" s="754"/>
      <c r="X205" s="754"/>
      <c r="Y205" s="754"/>
      <c r="Z205" s="754"/>
      <c r="AA205" s="754"/>
      <c r="AB205" s="754"/>
      <c r="AC205" s="754"/>
      <c r="AD205" s="754"/>
      <c r="AE205" s="754"/>
      <c r="AF205" s="754"/>
      <c r="AG205" s="754"/>
      <c r="AH205" s="754"/>
      <c r="AI205" s="754"/>
      <c r="AJ205" s="754"/>
      <c r="AK205" s="754"/>
      <c r="AL205" s="754"/>
      <c r="AM205" s="754"/>
      <c r="AN205" s="754"/>
      <c r="AO205" s="754"/>
      <c r="AP205" s="754"/>
      <c r="AQ205" s="754"/>
      <c r="AR205" s="754"/>
      <c r="AS205" s="754"/>
      <c r="AT205" s="754"/>
      <c r="AU205" s="754"/>
      <c r="AV205" s="754"/>
      <c r="AW205" s="754"/>
      <c r="AX205" s="754"/>
    </row>
    <row r="206" spans="1:50" s="757" customFormat="1">
      <c r="A206" s="754"/>
      <c r="B206" s="755"/>
      <c r="C206" s="756"/>
      <c r="D206" s="754"/>
      <c r="E206" s="754" t="str">
        <f xml:space="preserve"> E202 &amp; " " &amp; Translate!$E$462</f>
        <v>Inflation index in first tax year</v>
      </c>
      <c r="F206" s="754">
        <f ca="1" xml:space="preserve"> INDEX( K202:AX202, MATCH( $F192, K201:AX201, 0))</f>
        <v>1</v>
      </c>
      <c r="G206" s="754" t="str">
        <f>Translate!$E$608</f>
        <v>Index</v>
      </c>
      <c r="H206" s="754"/>
      <c r="I206" s="754"/>
      <c r="J206" s="754"/>
      <c r="K206" s="754"/>
      <c r="L206" s="754"/>
      <c r="M206" s="754"/>
      <c r="N206" s="754"/>
      <c r="O206" s="754"/>
      <c r="P206" s="754"/>
      <c r="Q206" s="754"/>
      <c r="R206" s="754"/>
      <c r="S206" s="754"/>
      <c r="T206" s="754"/>
      <c r="U206" s="754"/>
      <c r="V206" s="754"/>
      <c r="W206" s="754"/>
      <c r="X206" s="754"/>
      <c r="Y206" s="754"/>
      <c r="Z206" s="754"/>
      <c r="AA206" s="754"/>
      <c r="AB206" s="754"/>
      <c r="AC206" s="754"/>
      <c r="AD206" s="754"/>
      <c r="AE206" s="754"/>
      <c r="AF206" s="754"/>
      <c r="AG206" s="754"/>
      <c r="AH206" s="754"/>
      <c r="AI206" s="754"/>
      <c r="AJ206" s="754"/>
      <c r="AK206" s="754"/>
      <c r="AL206" s="754"/>
      <c r="AM206" s="754"/>
      <c r="AN206" s="754"/>
      <c r="AO206" s="754"/>
      <c r="AP206" s="754"/>
      <c r="AQ206" s="754"/>
      <c r="AR206" s="754"/>
      <c r="AS206" s="754"/>
      <c r="AT206" s="754"/>
      <c r="AU206" s="754"/>
      <c r="AV206" s="754"/>
      <c r="AW206" s="754"/>
      <c r="AX206" s="754"/>
    </row>
    <row r="207" spans="1:50" s="757" customFormat="1">
      <c r="A207" s="754"/>
      <c r="B207" s="755"/>
      <c r="C207" s="756"/>
      <c r="D207" s="754"/>
      <c r="E207" s="754"/>
      <c r="F207" s="754"/>
      <c r="G207" s="754"/>
      <c r="H207" s="754"/>
      <c r="I207" s="754"/>
      <c r="J207" s="754"/>
      <c r="K207" s="754"/>
      <c r="L207" s="754"/>
      <c r="M207" s="754"/>
      <c r="N207" s="754"/>
      <c r="O207" s="754"/>
      <c r="P207" s="754"/>
      <c r="Q207" s="754"/>
      <c r="R207" s="754"/>
      <c r="S207" s="754"/>
      <c r="T207" s="754"/>
      <c r="U207" s="754"/>
      <c r="V207" s="754"/>
      <c r="W207" s="754"/>
      <c r="X207" s="754"/>
      <c r="Y207" s="754"/>
      <c r="Z207" s="754"/>
      <c r="AA207" s="754"/>
      <c r="AB207" s="754"/>
      <c r="AC207" s="754"/>
      <c r="AD207" s="754"/>
      <c r="AE207" s="754"/>
      <c r="AF207" s="754"/>
      <c r="AG207" s="754"/>
      <c r="AH207" s="754"/>
      <c r="AI207" s="754"/>
      <c r="AJ207" s="754"/>
      <c r="AK207" s="754"/>
      <c r="AL207" s="754"/>
      <c r="AM207" s="754"/>
      <c r="AN207" s="754"/>
      <c r="AO207" s="754"/>
      <c r="AP207" s="754"/>
      <c r="AQ207" s="754"/>
      <c r="AR207" s="754"/>
      <c r="AS207" s="754"/>
      <c r="AT207" s="754"/>
      <c r="AU207" s="754"/>
      <c r="AV207" s="754"/>
      <c r="AW207" s="754"/>
      <c r="AX207" s="754"/>
    </row>
    <row r="208" spans="1:50" s="760" customFormat="1">
      <c r="A208" s="1116"/>
      <c r="B208" s="758"/>
      <c r="C208" s="759"/>
      <c r="D208" s="1116"/>
      <c r="E208" s="1116" t="str">
        <f>Translate!$E$187</f>
        <v>Carbon tax inflation index</v>
      </c>
      <c r="F208" s="1117"/>
      <c r="G208" s="1116" t="str">
        <f>Translate!$E$608</f>
        <v>Index</v>
      </c>
      <c r="H208" s="1116"/>
      <c r="I208" s="1116"/>
      <c r="J208" s="1116"/>
      <c r="K208" s="1116">
        <f ca="1" xml:space="preserve"> K202 / IF( $F192 &lt; $K201, $F205, $F206)</f>
        <v>1</v>
      </c>
      <c r="L208" s="1116">
        <f t="shared" ref="L208:AX208" ca="1" si="39" xml:space="preserve"> L202 / IF( $F192 &lt; $K201, $F205, $F206)</f>
        <v>1.02</v>
      </c>
      <c r="M208" s="1116">
        <f t="shared" ca="1" si="39"/>
        <v>1.0404</v>
      </c>
      <c r="N208" s="1116">
        <f t="shared" ca="1" si="39"/>
        <v>1.0612079999999999</v>
      </c>
      <c r="O208" s="1116">
        <f t="shared" ca="1" si="39"/>
        <v>1.08243216</v>
      </c>
      <c r="P208" s="1116">
        <f t="shared" ca="1" si="39"/>
        <v>1.1040808032</v>
      </c>
      <c r="Q208" s="1116">
        <f t="shared" ca="1" si="39"/>
        <v>1.1261624192640001</v>
      </c>
      <c r="R208" s="1116">
        <f t="shared" ca="1" si="39"/>
        <v>1.14868566764928</v>
      </c>
      <c r="S208" s="1116">
        <f t="shared" ca="1" si="39"/>
        <v>1.1716593810022657</v>
      </c>
      <c r="T208" s="1116">
        <f t="shared" ca="1" si="39"/>
        <v>1.1950925686223111</v>
      </c>
      <c r="U208" s="1116">
        <f t="shared" ca="1" si="39"/>
        <v>1.2189944199947573</v>
      </c>
      <c r="V208" s="1116">
        <f t="shared" ca="1" si="39"/>
        <v>1.2433743083946525</v>
      </c>
      <c r="W208" s="1116">
        <f t="shared" ca="1" si="39"/>
        <v>1.2682417945625455</v>
      </c>
      <c r="X208" s="1116">
        <f t="shared" ca="1" si="39"/>
        <v>1.2936066304537963</v>
      </c>
      <c r="Y208" s="1116">
        <f t="shared" ca="1" si="39"/>
        <v>1.3194787630628724</v>
      </c>
      <c r="Z208" s="1116">
        <f t="shared" ca="1" si="39"/>
        <v>1.3458683383241299</v>
      </c>
      <c r="AA208" s="1116">
        <f t="shared" ca="1" si="39"/>
        <v>1.3727857050906125</v>
      </c>
      <c r="AB208" s="1116">
        <f t="shared" ca="1" si="39"/>
        <v>1.4002414191924248</v>
      </c>
      <c r="AC208" s="1116">
        <f t="shared" ca="1" si="39"/>
        <v>1.4282462475762734</v>
      </c>
      <c r="AD208" s="1116">
        <f t="shared" ca="1" si="39"/>
        <v>1.4568111725277988</v>
      </c>
      <c r="AE208" s="1116">
        <f t="shared" ca="1" si="39"/>
        <v>1.4859473959783549</v>
      </c>
      <c r="AF208" s="1116">
        <f t="shared" ca="1" si="39"/>
        <v>1.5156663438979221</v>
      </c>
      <c r="AG208" s="1116">
        <f t="shared" ca="1" si="39"/>
        <v>1</v>
      </c>
      <c r="AH208" s="1116">
        <f t="shared" ca="1" si="39"/>
        <v>1</v>
      </c>
      <c r="AI208" s="1116">
        <f t="shared" ca="1" si="39"/>
        <v>1</v>
      </c>
      <c r="AJ208" s="1116">
        <f t="shared" ca="1" si="39"/>
        <v>1</v>
      </c>
      <c r="AK208" s="1116">
        <f t="shared" ca="1" si="39"/>
        <v>1</v>
      </c>
      <c r="AL208" s="1116">
        <f t="shared" ca="1" si="39"/>
        <v>1</v>
      </c>
      <c r="AM208" s="1116">
        <f t="shared" ca="1" si="39"/>
        <v>1</v>
      </c>
      <c r="AN208" s="1116">
        <f t="shared" ca="1" si="39"/>
        <v>1</v>
      </c>
      <c r="AO208" s="1116">
        <f t="shared" ca="1" si="39"/>
        <v>1</v>
      </c>
      <c r="AP208" s="1116">
        <f t="shared" ca="1" si="39"/>
        <v>1</v>
      </c>
      <c r="AQ208" s="1116">
        <f t="shared" ca="1" si="39"/>
        <v>1</v>
      </c>
      <c r="AR208" s="1116">
        <f t="shared" ca="1" si="39"/>
        <v>1</v>
      </c>
      <c r="AS208" s="1116">
        <f t="shared" ca="1" si="39"/>
        <v>1</v>
      </c>
      <c r="AT208" s="1116">
        <f t="shared" ca="1" si="39"/>
        <v>1</v>
      </c>
      <c r="AU208" s="1116">
        <f t="shared" ca="1" si="39"/>
        <v>1</v>
      </c>
      <c r="AV208" s="1116">
        <f t="shared" ca="1" si="39"/>
        <v>1</v>
      </c>
      <c r="AW208" s="1116">
        <f t="shared" ca="1" si="39"/>
        <v>1</v>
      </c>
      <c r="AX208" s="1116">
        <f t="shared" ca="1" si="39"/>
        <v>1</v>
      </c>
    </row>
    <row r="209" spans="1:50" s="763" customFormat="1">
      <c r="A209" s="1118"/>
      <c r="B209" s="761"/>
      <c r="C209" s="762"/>
      <c r="D209" s="1118"/>
      <c r="E209" s="1118" t="str">
        <f xml:space="preserve"> E208 &amp; " " &amp; Translate!$E$465</f>
        <v>Carbon tax inflation index applicable</v>
      </c>
      <c r="F209" s="1119"/>
      <c r="G209" s="1118" t="str">
        <f>G208</f>
        <v>Index</v>
      </c>
      <c r="H209" s="1118"/>
      <c r="I209" s="1118"/>
      <c r="J209" s="1118"/>
      <c r="K209" s="1118">
        <f t="shared" ref="K209:AX209" si="40" xml:space="preserve"> IF( $F197 = $F199, K208, 1)</f>
        <v>1</v>
      </c>
      <c r="L209" s="1118">
        <f t="shared" si="40"/>
        <v>1</v>
      </c>
      <c r="M209" s="1118">
        <f t="shared" si="40"/>
        <v>1</v>
      </c>
      <c r="N209" s="1118">
        <f t="shared" si="40"/>
        <v>1</v>
      </c>
      <c r="O209" s="1118">
        <f t="shared" si="40"/>
        <v>1</v>
      </c>
      <c r="P209" s="1118">
        <f t="shared" si="40"/>
        <v>1</v>
      </c>
      <c r="Q209" s="1118">
        <f t="shared" si="40"/>
        <v>1</v>
      </c>
      <c r="R209" s="1118">
        <f t="shared" si="40"/>
        <v>1</v>
      </c>
      <c r="S209" s="1118">
        <f t="shared" si="40"/>
        <v>1</v>
      </c>
      <c r="T209" s="1118">
        <f t="shared" si="40"/>
        <v>1</v>
      </c>
      <c r="U209" s="1118">
        <f t="shared" si="40"/>
        <v>1</v>
      </c>
      <c r="V209" s="1118">
        <f t="shared" si="40"/>
        <v>1</v>
      </c>
      <c r="W209" s="1118">
        <f t="shared" si="40"/>
        <v>1</v>
      </c>
      <c r="X209" s="1118">
        <f t="shared" si="40"/>
        <v>1</v>
      </c>
      <c r="Y209" s="1118">
        <f t="shared" si="40"/>
        <v>1</v>
      </c>
      <c r="Z209" s="1118">
        <f t="shared" si="40"/>
        <v>1</v>
      </c>
      <c r="AA209" s="1118">
        <f t="shared" si="40"/>
        <v>1</v>
      </c>
      <c r="AB209" s="1118">
        <f t="shared" si="40"/>
        <v>1</v>
      </c>
      <c r="AC209" s="1118">
        <f t="shared" si="40"/>
        <v>1</v>
      </c>
      <c r="AD209" s="1118">
        <f t="shared" si="40"/>
        <v>1</v>
      </c>
      <c r="AE209" s="1118">
        <f t="shared" si="40"/>
        <v>1</v>
      </c>
      <c r="AF209" s="1118">
        <f t="shared" si="40"/>
        <v>1</v>
      </c>
      <c r="AG209" s="1118">
        <f t="shared" si="40"/>
        <v>1</v>
      </c>
      <c r="AH209" s="1118">
        <f t="shared" si="40"/>
        <v>1</v>
      </c>
      <c r="AI209" s="1118">
        <f t="shared" si="40"/>
        <v>1</v>
      </c>
      <c r="AJ209" s="1118">
        <f t="shared" si="40"/>
        <v>1</v>
      </c>
      <c r="AK209" s="1118">
        <f t="shared" si="40"/>
        <v>1</v>
      </c>
      <c r="AL209" s="1118">
        <f t="shared" si="40"/>
        <v>1</v>
      </c>
      <c r="AM209" s="1118">
        <f t="shared" si="40"/>
        <v>1</v>
      </c>
      <c r="AN209" s="1118">
        <f t="shared" si="40"/>
        <v>1</v>
      </c>
      <c r="AO209" s="1118">
        <f t="shared" si="40"/>
        <v>1</v>
      </c>
      <c r="AP209" s="1118">
        <f t="shared" si="40"/>
        <v>1</v>
      </c>
      <c r="AQ209" s="1118">
        <f t="shared" si="40"/>
        <v>1</v>
      </c>
      <c r="AR209" s="1118">
        <f t="shared" si="40"/>
        <v>1</v>
      </c>
      <c r="AS209" s="1118">
        <f t="shared" si="40"/>
        <v>1</v>
      </c>
      <c r="AT209" s="1118">
        <f t="shared" si="40"/>
        <v>1</v>
      </c>
      <c r="AU209" s="1118">
        <f t="shared" si="40"/>
        <v>1</v>
      </c>
      <c r="AV209" s="1118">
        <f t="shared" si="40"/>
        <v>1</v>
      </c>
      <c r="AW209" s="1118">
        <f t="shared" si="40"/>
        <v>1</v>
      </c>
      <c r="AX209" s="1118">
        <f t="shared" si="40"/>
        <v>1</v>
      </c>
    </row>
    <row r="210" spans="1:50" s="765" customFormat="1">
      <c r="A210" s="1041"/>
      <c r="B210" s="1"/>
      <c r="C210" s="381"/>
      <c r="D210" s="1005"/>
      <c r="E210" s="1041"/>
      <c r="F210" s="1005"/>
      <c r="G210" s="1041"/>
      <c r="H210" s="1041"/>
      <c r="I210" s="1041"/>
      <c r="J210" s="1041"/>
      <c r="K210" s="1041"/>
      <c r="L210" s="1041"/>
      <c r="M210" s="1041"/>
      <c r="N210" s="1041"/>
      <c r="O210" s="1041"/>
      <c r="P210" s="1041"/>
      <c r="Q210" s="1041"/>
      <c r="R210" s="1041"/>
      <c r="S210" s="1041"/>
      <c r="T210" s="1041"/>
      <c r="U210" s="1041"/>
      <c r="V210" s="1041"/>
      <c r="W210" s="1041"/>
      <c r="X210" s="1041"/>
      <c r="Y210" s="1041"/>
      <c r="Z210" s="1041"/>
      <c r="AA210" s="1041"/>
      <c r="AB210" s="1041"/>
      <c r="AC210" s="1041"/>
      <c r="AD210" s="1041"/>
      <c r="AE210" s="1041"/>
      <c r="AF210" s="1041"/>
      <c r="AG210" s="1041"/>
      <c r="AH210" s="1041"/>
      <c r="AI210" s="1041"/>
      <c r="AJ210" s="1041"/>
      <c r="AK210" s="1041"/>
      <c r="AL210" s="1041"/>
      <c r="AM210" s="1041"/>
      <c r="AN210" s="1041"/>
      <c r="AO210" s="1041"/>
      <c r="AP210" s="1041"/>
      <c r="AQ210" s="1041"/>
      <c r="AR210" s="1041"/>
      <c r="AS210" s="1041"/>
      <c r="AT210" s="1041"/>
      <c r="AU210" s="1041"/>
      <c r="AV210" s="1041"/>
      <c r="AW210" s="1041"/>
      <c r="AX210" s="1041"/>
    </row>
    <row r="211" spans="1:50" s="765" customFormat="1">
      <c r="A211" s="1041"/>
      <c r="B211" s="1" t="str">
        <f>Translate!$E$64</f>
        <v>Tax rate - percentage</v>
      </c>
      <c r="C211" s="381"/>
      <c r="D211" s="1005"/>
      <c r="E211" s="1041"/>
      <c r="F211" s="1005"/>
      <c r="G211" s="1041"/>
      <c r="H211" s="1041"/>
      <c r="I211" s="1041"/>
      <c r="J211" s="1041"/>
      <c r="K211" s="1041"/>
      <c r="L211" s="1041"/>
      <c r="M211" s="1041"/>
      <c r="N211" s="1041"/>
      <c r="O211" s="1041"/>
      <c r="P211" s="1041"/>
      <c r="Q211" s="1041"/>
      <c r="R211" s="1041"/>
      <c r="S211" s="1041"/>
      <c r="T211" s="1041"/>
      <c r="U211" s="1041"/>
      <c r="V211" s="1041"/>
      <c r="W211" s="1041"/>
      <c r="X211" s="1041"/>
      <c r="Y211" s="1041"/>
      <c r="Z211" s="1041"/>
      <c r="AA211" s="1041"/>
      <c r="AB211" s="1041"/>
      <c r="AC211" s="1041"/>
      <c r="AD211" s="1041"/>
      <c r="AE211" s="1041"/>
      <c r="AF211" s="1041"/>
      <c r="AG211" s="1041"/>
      <c r="AH211" s="1041"/>
      <c r="AI211" s="1041"/>
      <c r="AJ211" s="1041"/>
      <c r="AK211" s="1041"/>
      <c r="AL211" s="1041"/>
      <c r="AM211" s="1041"/>
      <c r="AN211" s="1041"/>
      <c r="AO211" s="1041"/>
      <c r="AP211" s="1041"/>
      <c r="AQ211" s="1041"/>
      <c r="AR211" s="1041"/>
      <c r="AS211" s="1041"/>
      <c r="AT211" s="1041"/>
      <c r="AU211" s="1041"/>
      <c r="AV211" s="1041"/>
      <c r="AW211" s="1041"/>
      <c r="AX211" s="1041"/>
    </row>
    <row r="212" spans="1:50" s="765" customFormat="1">
      <c r="A212" s="1041"/>
      <c r="B212" s="1"/>
      <c r="C212" s="381"/>
      <c r="D212" s="1005"/>
      <c r="E212" s="1041" t="str">
        <f xml:space="preserve"> E194</f>
        <v>Year of carbon tax</v>
      </c>
      <c r="F212" s="1041">
        <f t="shared" ref="F212:AX212" si="41" xml:space="preserve"> F194</f>
        <v>0</v>
      </c>
      <c r="G212" s="1041" t="str">
        <f t="shared" si="41"/>
        <v>Flag</v>
      </c>
      <c r="H212" s="1041">
        <f t="shared" si="41"/>
        <v>0</v>
      </c>
      <c r="I212" s="1041">
        <f t="shared" si="41"/>
        <v>0</v>
      </c>
      <c r="J212" s="1041">
        <f t="shared" si="41"/>
        <v>0</v>
      </c>
      <c r="K212" s="1041">
        <f t="shared" si="41"/>
        <v>1</v>
      </c>
      <c r="L212" s="1041">
        <f t="shared" si="41"/>
        <v>2</v>
      </c>
      <c r="M212" s="1041">
        <f t="shared" si="41"/>
        <v>3</v>
      </c>
      <c r="N212" s="1041">
        <f t="shared" si="41"/>
        <v>4</v>
      </c>
      <c r="O212" s="1041">
        <f t="shared" si="41"/>
        <v>5</v>
      </c>
      <c r="P212" s="1041">
        <f t="shared" si="41"/>
        <v>6</v>
      </c>
      <c r="Q212" s="1041">
        <f t="shared" si="41"/>
        <v>7</v>
      </c>
      <c r="R212" s="1041">
        <f t="shared" si="41"/>
        <v>8</v>
      </c>
      <c r="S212" s="1041">
        <f t="shared" si="41"/>
        <v>9</v>
      </c>
      <c r="T212" s="1041">
        <f t="shared" si="41"/>
        <v>10</v>
      </c>
      <c r="U212" s="1041">
        <f t="shared" si="41"/>
        <v>11</v>
      </c>
      <c r="V212" s="1041">
        <f t="shared" si="41"/>
        <v>12</v>
      </c>
      <c r="W212" s="1041">
        <f t="shared" si="41"/>
        <v>13</v>
      </c>
      <c r="X212" s="1041">
        <f t="shared" si="41"/>
        <v>14</v>
      </c>
      <c r="Y212" s="1041">
        <f t="shared" si="41"/>
        <v>15</v>
      </c>
      <c r="Z212" s="1041">
        <f t="shared" si="41"/>
        <v>16</v>
      </c>
      <c r="AA212" s="1041">
        <f t="shared" si="41"/>
        <v>17</v>
      </c>
      <c r="AB212" s="1041">
        <f t="shared" si="41"/>
        <v>18</v>
      </c>
      <c r="AC212" s="1041">
        <f t="shared" si="41"/>
        <v>19</v>
      </c>
      <c r="AD212" s="1041">
        <f t="shared" si="41"/>
        <v>20</v>
      </c>
      <c r="AE212" s="1041">
        <f t="shared" si="41"/>
        <v>21</v>
      </c>
      <c r="AF212" s="1041">
        <f t="shared" si="41"/>
        <v>22</v>
      </c>
      <c r="AG212" s="1041">
        <f t="shared" si="41"/>
        <v>23</v>
      </c>
      <c r="AH212" s="1041">
        <f t="shared" si="41"/>
        <v>24</v>
      </c>
      <c r="AI212" s="1041">
        <f t="shared" si="41"/>
        <v>25</v>
      </c>
      <c r="AJ212" s="1041">
        <f t="shared" si="41"/>
        <v>26</v>
      </c>
      <c r="AK212" s="1041">
        <f t="shared" si="41"/>
        <v>27</v>
      </c>
      <c r="AL212" s="1041">
        <f t="shared" si="41"/>
        <v>28</v>
      </c>
      <c r="AM212" s="1041">
        <f t="shared" si="41"/>
        <v>29</v>
      </c>
      <c r="AN212" s="1041">
        <f t="shared" si="41"/>
        <v>30</v>
      </c>
      <c r="AO212" s="1041">
        <f t="shared" si="41"/>
        <v>31</v>
      </c>
      <c r="AP212" s="1041">
        <f t="shared" si="41"/>
        <v>32</v>
      </c>
      <c r="AQ212" s="1041">
        <f t="shared" si="41"/>
        <v>33</v>
      </c>
      <c r="AR212" s="1041">
        <f t="shared" si="41"/>
        <v>34</v>
      </c>
      <c r="AS212" s="1041">
        <f t="shared" si="41"/>
        <v>35</v>
      </c>
      <c r="AT212" s="1041">
        <f t="shared" si="41"/>
        <v>36</v>
      </c>
      <c r="AU212" s="1041">
        <f t="shared" si="41"/>
        <v>37</v>
      </c>
      <c r="AV212" s="1041">
        <f t="shared" si="41"/>
        <v>38</v>
      </c>
      <c r="AW212" s="1041">
        <f t="shared" si="41"/>
        <v>39</v>
      </c>
      <c r="AX212" s="1041">
        <f t="shared" si="41"/>
        <v>40</v>
      </c>
    </row>
    <row r="213" spans="1:50" s="765" customFormat="1">
      <c r="A213" s="1041"/>
      <c r="B213" s="1"/>
      <c r="C213" s="381"/>
      <c r="D213" s="1005"/>
      <c r="E213" s="766" t="str">
        <f xml:space="preserve"> E$26</f>
        <v>Tax per ton of CO2 eq emitted in start year</v>
      </c>
      <c r="F213" s="766">
        <f xml:space="preserve"> F$26</f>
        <v>20</v>
      </c>
      <c r="G213" s="766" t="str">
        <f xml:space="preserve"> G$26</f>
        <v>US$ / t CO2 eq</v>
      </c>
      <c r="H213" s="1041"/>
      <c r="I213" s="1041"/>
      <c r="J213" s="1041"/>
      <c r="K213" s="1041"/>
      <c r="L213" s="1041"/>
      <c r="M213" s="1041"/>
      <c r="N213" s="1041"/>
      <c r="O213" s="1041"/>
      <c r="P213" s="1041"/>
      <c r="Q213" s="1041"/>
      <c r="R213" s="1041"/>
      <c r="S213" s="1041"/>
      <c r="T213" s="1041"/>
      <c r="U213" s="1041"/>
      <c r="V213" s="1041"/>
      <c r="W213" s="1041"/>
      <c r="X213" s="1041"/>
      <c r="Y213" s="1041"/>
      <c r="Z213" s="1041"/>
      <c r="AA213" s="1041"/>
      <c r="AB213" s="1041"/>
      <c r="AC213" s="1041"/>
      <c r="AD213" s="1041"/>
      <c r="AE213" s="1041"/>
      <c r="AF213" s="1041"/>
      <c r="AG213" s="1041"/>
      <c r="AH213" s="1041"/>
      <c r="AI213" s="1041"/>
      <c r="AJ213" s="1041"/>
      <c r="AK213" s="1041"/>
      <c r="AL213" s="1041"/>
      <c r="AM213" s="1041"/>
      <c r="AN213" s="1041"/>
      <c r="AO213" s="1041"/>
      <c r="AP213" s="1041"/>
      <c r="AQ213" s="1041"/>
      <c r="AR213" s="1041"/>
      <c r="AS213" s="1041"/>
      <c r="AT213" s="1041"/>
      <c r="AU213" s="1041"/>
      <c r="AV213" s="1041"/>
      <c r="AW213" s="1041"/>
      <c r="AX213" s="1041"/>
    </row>
    <row r="214" spans="1:50" s="769" customFormat="1">
      <c r="A214" s="1050"/>
      <c r="B214" s="479"/>
      <c r="C214" s="708"/>
      <c r="D214" s="1050"/>
      <c r="E214" s="768" t="str">
        <f xml:space="preserve"> E$30</f>
        <v>Percentage - annual increase above inflation</v>
      </c>
      <c r="F214" s="768">
        <f xml:space="preserve"> F$30</f>
        <v>0</v>
      </c>
      <c r="G214" s="768" t="str">
        <f xml:space="preserve"> G$30</f>
        <v>%</v>
      </c>
      <c r="H214" s="1050"/>
      <c r="I214" s="1050"/>
      <c r="J214" s="1050"/>
      <c r="K214" s="1050"/>
      <c r="L214" s="1050"/>
      <c r="M214" s="1050"/>
      <c r="N214" s="1050"/>
      <c r="O214" s="1050"/>
      <c r="P214" s="1050"/>
      <c r="Q214" s="1050"/>
      <c r="R214" s="1050"/>
      <c r="S214" s="1050"/>
      <c r="T214" s="1050"/>
      <c r="U214" s="1050"/>
      <c r="V214" s="1050"/>
      <c r="W214" s="1050"/>
      <c r="X214" s="1050"/>
      <c r="Y214" s="1050"/>
      <c r="Z214" s="1050"/>
      <c r="AA214" s="1050"/>
      <c r="AB214" s="1050"/>
      <c r="AC214" s="1050"/>
      <c r="AD214" s="1050"/>
      <c r="AE214" s="1050"/>
      <c r="AF214" s="1050"/>
      <c r="AG214" s="1050"/>
      <c r="AH214" s="1050"/>
      <c r="AI214" s="1050"/>
      <c r="AJ214" s="1050"/>
      <c r="AK214" s="1050"/>
      <c r="AL214" s="1050"/>
      <c r="AM214" s="1050"/>
      <c r="AN214" s="1050"/>
      <c r="AO214" s="1050"/>
      <c r="AP214" s="1050"/>
      <c r="AQ214" s="1050"/>
      <c r="AR214" s="1050"/>
      <c r="AS214" s="1050"/>
      <c r="AT214" s="1050"/>
      <c r="AU214" s="1050"/>
      <c r="AV214" s="1050"/>
      <c r="AW214" s="1050"/>
      <c r="AX214" s="1050"/>
    </row>
    <row r="215" spans="1:50" s="432" customFormat="1">
      <c r="A215" s="429"/>
      <c r="B215" s="694"/>
      <c r="C215" s="430"/>
      <c r="D215" s="770"/>
      <c r="E215" s="429" t="str">
        <f>Translate!$E$188</f>
        <v>Carbon tax - percentage method; before inflation adjustment</v>
      </c>
      <c r="F215" s="770"/>
      <c r="G215" s="429" t="str">
        <f xml:space="preserve"> Translate!E$730</f>
        <v>US$ / t CO2 eq</v>
      </c>
      <c r="H215" s="429"/>
      <c r="I215" s="429"/>
      <c r="J215" s="429"/>
      <c r="K215" s="429">
        <f t="shared" ref="K215:AX215" si="42" xml:space="preserve"> $F213 * (1 + $F214) ^ (K212 - 1) * (K212 &gt; 0)</f>
        <v>20</v>
      </c>
      <c r="L215" s="429">
        <f t="shared" si="42"/>
        <v>20</v>
      </c>
      <c r="M215" s="429">
        <f t="shared" si="42"/>
        <v>20</v>
      </c>
      <c r="N215" s="429">
        <f t="shared" si="42"/>
        <v>20</v>
      </c>
      <c r="O215" s="429">
        <f t="shared" si="42"/>
        <v>20</v>
      </c>
      <c r="P215" s="429">
        <f t="shared" si="42"/>
        <v>20</v>
      </c>
      <c r="Q215" s="429">
        <f t="shared" si="42"/>
        <v>20</v>
      </c>
      <c r="R215" s="429">
        <f t="shared" si="42"/>
        <v>20</v>
      </c>
      <c r="S215" s="429">
        <f t="shared" si="42"/>
        <v>20</v>
      </c>
      <c r="T215" s="429">
        <f t="shared" si="42"/>
        <v>20</v>
      </c>
      <c r="U215" s="429">
        <f t="shared" si="42"/>
        <v>20</v>
      </c>
      <c r="V215" s="429">
        <f t="shared" si="42"/>
        <v>20</v>
      </c>
      <c r="W215" s="429">
        <f t="shared" si="42"/>
        <v>20</v>
      </c>
      <c r="X215" s="429">
        <f t="shared" si="42"/>
        <v>20</v>
      </c>
      <c r="Y215" s="429">
        <f t="shared" si="42"/>
        <v>20</v>
      </c>
      <c r="Z215" s="429">
        <f t="shared" si="42"/>
        <v>20</v>
      </c>
      <c r="AA215" s="429">
        <f t="shared" si="42"/>
        <v>20</v>
      </c>
      <c r="AB215" s="429">
        <f t="shared" si="42"/>
        <v>20</v>
      </c>
      <c r="AC215" s="429">
        <f t="shared" si="42"/>
        <v>20</v>
      </c>
      <c r="AD215" s="429">
        <f t="shared" si="42"/>
        <v>20</v>
      </c>
      <c r="AE215" s="429">
        <f t="shared" si="42"/>
        <v>20</v>
      </c>
      <c r="AF215" s="429">
        <f t="shared" si="42"/>
        <v>20</v>
      </c>
      <c r="AG215" s="429">
        <f t="shared" si="42"/>
        <v>20</v>
      </c>
      <c r="AH215" s="429">
        <f t="shared" si="42"/>
        <v>20</v>
      </c>
      <c r="AI215" s="429">
        <f t="shared" si="42"/>
        <v>20</v>
      </c>
      <c r="AJ215" s="429">
        <f t="shared" si="42"/>
        <v>20</v>
      </c>
      <c r="AK215" s="429">
        <f t="shared" si="42"/>
        <v>20</v>
      </c>
      <c r="AL215" s="429">
        <f t="shared" si="42"/>
        <v>20</v>
      </c>
      <c r="AM215" s="429">
        <f t="shared" si="42"/>
        <v>20</v>
      </c>
      <c r="AN215" s="429">
        <f t="shared" si="42"/>
        <v>20</v>
      </c>
      <c r="AO215" s="429">
        <f t="shared" si="42"/>
        <v>20</v>
      </c>
      <c r="AP215" s="429">
        <f t="shared" si="42"/>
        <v>20</v>
      </c>
      <c r="AQ215" s="429">
        <f t="shared" si="42"/>
        <v>20</v>
      </c>
      <c r="AR215" s="429">
        <f t="shared" si="42"/>
        <v>20</v>
      </c>
      <c r="AS215" s="429">
        <f t="shared" si="42"/>
        <v>20</v>
      </c>
      <c r="AT215" s="429">
        <f t="shared" si="42"/>
        <v>20</v>
      </c>
      <c r="AU215" s="429">
        <f t="shared" si="42"/>
        <v>20</v>
      </c>
      <c r="AV215" s="429">
        <f t="shared" si="42"/>
        <v>20</v>
      </c>
      <c r="AW215" s="429">
        <f t="shared" si="42"/>
        <v>20</v>
      </c>
      <c r="AX215" s="429">
        <f t="shared" si="42"/>
        <v>20</v>
      </c>
    </row>
    <row r="216" spans="1:50" s="760" customFormat="1">
      <c r="A216" s="1116"/>
      <c r="B216" s="758"/>
      <c r="C216" s="759"/>
      <c r="D216" s="1116"/>
      <c r="E216" s="1116"/>
      <c r="F216" s="1117"/>
      <c r="G216" s="1116"/>
      <c r="H216" s="1116"/>
      <c r="I216" s="1116"/>
      <c r="J216" s="1116"/>
      <c r="K216" s="1116"/>
      <c r="L216" s="1116"/>
      <c r="M216" s="1116"/>
      <c r="N216" s="1116"/>
      <c r="O216" s="1116"/>
      <c r="P216" s="1116"/>
      <c r="Q216" s="1116"/>
      <c r="R216" s="1116"/>
      <c r="S216" s="1116"/>
      <c r="T216" s="1116"/>
      <c r="U216" s="1116"/>
      <c r="V216" s="1116"/>
      <c r="W216" s="1116"/>
      <c r="X216" s="1116"/>
      <c r="Y216" s="1116"/>
      <c r="Z216" s="1116"/>
      <c r="AA216" s="1116"/>
      <c r="AB216" s="1116"/>
      <c r="AC216" s="1116"/>
      <c r="AD216" s="1116"/>
      <c r="AE216" s="1116"/>
      <c r="AF216" s="1116"/>
      <c r="AG216" s="1116"/>
      <c r="AH216" s="1116"/>
      <c r="AI216" s="1116"/>
      <c r="AJ216" s="1116"/>
      <c r="AK216" s="1116"/>
      <c r="AL216" s="1116"/>
      <c r="AM216" s="1116"/>
      <c r="AN216" s="1116"/>
      <c r="AO216" s="1116"/>
      <c r="AP216" s="1116"/>
      <c r="AQ216" s="1116"/>
      <c r="AR216" s="1116"/>
      <c r="AS216" s="1116"/>
      <c r="AT216" s="1116"/>
      <c r="AU216" s="1116"/>
      <c r="AV216" s="1116"/>
      <c r="AW216" s="1116"/>
      <c r="AX216" s="1116"/>
    </row>
    <row r="217" spans="1:50" s="760" customFormat="1">
      <c r="A217" s="1116"/>
      <c r="B217" s="758" t="str">
        <f>Translate!$E$65</f>
        <v>Tax rate - target year</v>
      </c>
      <c r="C217" s="759"/>
      <c r="D217" s="1116"/>
      <c r="E217" s="1116"/>
      <c r="F217" s="1117"/>
      <c r="G217" s="1116"/>
      <c r="H217" s="1116"/>
      <c r="I217" s="1116"/>
      <c r="J217" s="1116"/>
      <c r="K217" s="1116"/>
      <c r="L217" s="1116"/>
      <c r="M217" s="1116"/>
      <c r="N217" s="1116"/>
      <c r="O217" s="1116"/>
      <c r="P217" s="1116"/>
      <c r="Q217" s="1116"/>
      <c r="R217" s="1116"/>
      <c r="S217" s="1116"/>
      <c r="T217" s="1116"/>
      <c r="U217" s="1116"/>
      <c r="V217" s="1116"/>
      <c r="W217" s="1116"/>
      <c r="X217" s="1116"/>
      <c r="Y217" s="1116"/>
      <c r="Z217" s="1116"/>
      <c r="AA217" s="1116"/>
      <c r="AB217" s="1116"/>
      <c r="AC217" s="1116"/>
      <c r="AD217" s="1116"/>
      <c r="AE217" s="1116"/>
      <c r="AF217" s="1116"/>
      <c r="AG217" s="1116"/>
      <c r="AH217" s="1116"/>
      <c r="AI217" s="1116"/>
      <c r="AJ217" s="1116"/>
      <c r="AK217" s="1116"/>
      <c r="AL217" s="1116"/>
      <c r="AM217" s="1116"/>
      <c r="AN217" s="1116"/>
      <c r="AO217" s="1116"/>
      <c r="AP217" s="1116"/>
      <c r="AQ217" s="1116"/>
      <c r="AR217" s="1116"/>
      <c r="AS217" s="1116"/>
      <c r="AT217" s="1116"/>
      <c r="AU217" s="1116"/>
      <c r="AV217" s="1116"/>
      <c r="AW217" s="1116"/>
      <c r="AX217" s="1116"/>
    </row>
    <row r="218" spans="1:50" s="765" customFormat="1">
      <c r="A218" s="1041"/>
      <c r="B218" s="1"/>
      <c r="C218" s="381"/>
      <c r="D218" s="1041"/>
      <c r="E218" s="744" t="str">
        <f>E192</f>
        <v>Start year of carbon tax (0=from beginning) adjusted</v>
      </c>
      <c r="F218" s="747">
        <f>F192</f>
        <v>2021</v>
      </c>
      <c r="G218" s="744" t="str">
        <f>G192</f>
        <v>Calendar year</v>
      </c>
      <c r="H218" s="1041"/>
      <c r="I218" s="1041"/>
      <c r="J218" s="1041"/>
      <c r="K218" s="1041"/>
      <c r="L218" s="1041"/>
      <c r="M218" s="1041"/>
      <c r="N218" s="1041"/>
      <c r="O218" s="1041"/>
      <c r="P218" s="1041"/>
      <c r="Q218" s="1041"/>
      <c r="R218" s="1041"/>
      <c r="S218" s="1041"/>
      <c r="T218" s="1041"/>
      <c r="U218" s="1041"/>
      <c r="V218" s="1041"/>
      <c r="W218" s="1041"/>
      <c r="X218" s="1041"/>
      <c r="Y218" s="1041"/>
      <c r="Z218" s="1041"/>
      <c r="AA218" s="1041"/>
      <c r="AB218" s="1041"/>
      <c r="AC218" s="1041"/>
      <c r="AD218" s="1041"/>
      <c r="AE218" s="1041"/>
      <c r="AF218" s="1041"/>
      <c r="AG218" s="1041"/>
      <c r="AH218" s="1041"/>
      <c r="AI218" s="1041"/>
      <c r="AJ218" s="1041"/>
      <c r="AK218" s="1041"/>
      <c r="AL218" s="1041"/>
      <c r="AM218" s="1041"/>
      <c r="AN218" s="1041"/>
      <c r="AO218" s="1041"/>
      <c r="AP218" s="1041"/>
      <c r="AQ218" s="1041"/>
      <c r="AR218" s="1041"/>
      <c r="AS218" s="1041"/>
      <c r="AT218" s="1041"/>
      <c r="AU218" s="1041"/>
      <c r="AV218" s="1041"/>
      <c r="AW218" s="1041"/>
      <c r="AX218" s="1041"/>
    </row>
    <row r="219" spans="1:50" s="765" customFormat="1">
      <c r="A219" s="1041"/>
      <c r="B219" s="1"/>
      <c r="C219" s="381"/>
      <c r="D219" s="1041"/>
      <c r="E219" s="743" t="str">
        <f xml:space="preserve"> E$32</f>
        <v>Target year - year in which tax reaches target level</v>
      </c>
      <c r="F219" s="743">
        <f xml:space="preserve"> F$32</f>
        <v>0</v>
      </c>
      <c r="G219" s="743" t="str">
        <f xml:space="preserve"> G$32</f>
        <v>Calendar year</v>
      </c>
      <c r="H219" s="1041"/>
      <c r="I219" s="1041"/>
      <c r="J219" s="1041"/>
      <c r="K219" s="1041"/>
      <c r="L219" s="1041"/>
      <c r="M219" s="1041"/>
      <c r="N219" s="1041"/>
      <c r="O219" s="1041"/>
      <c r="P219" s="1041"/>
      <c r="Q219" s="1041"/>
      <c r="R219" s="1041"/>
      <c r="S219" s="1041"/>
      <c r="T219" s="1041"/>
      <c r="U219" s="1041"/>
      <c r="V219" s="1041"/>
      <c r="W219" s="1041"/>
      <c r="X219" s="1041"/>
      <c r="Y219" s="1041"/>
      <c r="Z219" s="1041"/>
      <c r="AA219" s="1041"/>
      <c r="AB219" s="1041"/>
      <c r="AC219" s="1041"/>
      <c r="AD219" s="1041"/>
      <c r="AE219" s="1041"/>
      <c r="AF219" s="1041"/>
      <c r="AG219" s="1041"/>
      <c r="AH219" s="1041"/>
      <c r="AI219" s="1041"/>
      <c r="AJ219" s="1041"/>
      <c r="AK219" s="1041"/>
      <c r="AL219" s="1041"/>
      <c r="AM219" s="1041"/>
      <c r="AN219" s="1041"/>
      <c r="AO219" s="1041"/>
      <c r="AP219" s="1041"/>
      <c r="AQ219" s="1041"/>
      <c r="AR219" s="1041"/>
      <c r="AS219" s="1041"/>
      <c r="AT219" s="1041"/>
      <c r="AU219" s="1041"/>
      <c r="AV219" s="1041"/>
      <c r="AW219" s="1041"/>
      <c r="AX219" s="1041"/>
    </row>
    <row r="220" spans="1:50" s="735" customFormat="1">
      <c r="A220" s="744"/>
      <c r="B220" s="745"/>
      <c r="C220" s="746"/>
      <c r="D220" s="744"/>
      <c r="E220" s="744" t="str">
        <f>E219 &amp; " " &amp; Translate!$E$461</f>
        <v>Target year - year in which tax reaches target level adjusted</v>
      </c>
      <c r="F220" s="747">
        <f xml:space="preserve"> IF( F219 = 0, K190, F219)</f>
        <v>2021</v>
      </c>
      <c r="G220" s="744" t="str">
        <f>G219</f>
        <v>Calendar year</v>
      </c>
      <c r="H220" s="744"/>
      <c r="I220" s="744"/>
      <c r="J220" s="744"/>
      <c r="K220" s="744"/>
      <c r="L220" s="744"/>
      <c r="M220" s="744"/>
      <c r="N220" s="744"/>
      <c r="O220" s="744"/>
      <c r="P220" s="744"/>
      <c r="Q220" s="744"/>
      <c r="R220" s="744"/>
      <c r="S220" s="744"/>
      <c r="T220" s="744"/>
      <c r="U220" s="744"/>
      <c r="V220" s="744"/>
      <c r="W220" s="744"/>
      <c r="X220" s="744"/>
      <c r="Y220" s="744"/>
      <c r="Z220" s="744"/>
      <c r="AA220" s="744"/>
      <c r="AB220" s="744"/>
      <c r="AC220" s="744"/>
      <c r="AD220" s="744"/>
      <c r="AE220" s="744"/>
      <c r="AF220" s="744"/>
      <c r="AG220" s="744"/>
      <c r="AH220" s="744"/>
      <c r="AI220" s="744"/>
      <c r="AJ220" s="744"/>
      <c r="AK220" s="744"/>
      <c r="AL220" s="744"/>
      <c r="AM220" s="744"/>
      <c r="AN220" s="744"/>
      <c r="AO220" s="744"/>
      <c r="AP220" s="744"/>
      <c r="AQ220" s="744"/>
      <c r="AR220" s="744"/>
      <c r="AS220" s="744"/>
      <c r="AT220" s="744"/>
      <c r="AU220" s="744"/>
      <c r="AV220" s="744"/>
      <c r="AW220" s="744"/>
      <c r="AX220" s="744"/>
    </row>
    <row r="221" spans="1:50" s="760" customFormat="1">
      <c r="A221" s="1116"/>
      <c r="B221" s="758"/>
      <c r="C221" s="759"/>
      <c r="D221" s="1116"/>
      <c r="E221" s="1116" t="str">
        <f>Translate!$E$189</f>
        <v>Years of carbon tax until it reaches target level</v>
      </c>
      <c r="F221" s="1005">
        <f xml:space="preserve"> F220 - F218</f>
        <v>0</v>
      </c>
      <c r="G221" s="1116" t="str">
        <f xml:space="preserve"> Translate!E$358</f>
        <v>Years</v>
      </c>
      <c r="H221" s="1116"/>
      <c r="I221" s="1116"/>
      <c r="J221" s="1116"/>
      <c r="K221" s="1116"/>
      <c r="L221" s="1116"/>
      <c r="M221" s="1116"/>
      <c r="N221" s="1116"/>
      <c r="O221" s="1116"/>
      <c r="P221" s="1116"/>
      <c r="Q221" s="1116"/>
      <c r="R221" s="1116"/>
      <c r="S221" s="1116"/>
      <c r="T221" s="1116"/>
      <c r="U221" s="1116"/>
      <c r="V221" s="1116"/>
      <c r="W221" s="1116"/>
      <c r="X221" s="1116"/>
      <c r="Y221" s="1116"/>
      <c r="Z221" s="1116"/>
      <c r="AA221" s="1116"/>
      <c r="AB221" s="1116"/>
      <c r="AC221" s="1116"/>
      <c r="AD221" s="1116"/>
      <c r="AE221" s="1116"/>
      <c r="AF221" s="1116"/>
      <c r="AG221" s="1116"/>
      <c r="AH221" s="1116"/>
      <c r="AI221" s="1116"/>
      <c r="AJ221" s="1116"/>
      <c r="AK221" s="1116"/>
      <c r="AL221" s="1116"/>
      <c r="AM221" s="1116"/>
      <c r="AN221" s="1116"/>
      <c r="AO221" s="1116"/>
      <c r="AP221" s="1116"/>
      <c r="AQ221" s="1116"/>
      <c r="AR221" s="1116"/>
      <c r="AS221" s="1116"/>
      <c r="AT221" s="1116"/>
      <c r="AU221" s="1116"/>
      <c r="AV221" s="1116"/>
      <c r="AW221" s="1116"/>
      <c r="AX221" s="1116"/>
    </row>
    <row r="222" spans="1:50" s="760" customFormat="1">
      <c r="A222" s="1116"/>
      <c r="B222" s="758"/>
      <c r="C222" s="759"/>
      <c r="D222" s="1116"/>
      <c r="E222" s="1116"/>
      <c r="F222" s="1117"/>
      <c r="G222" s="1116"/>
      <c r="H222" s="1116"/>
      <c r="I222" s="1116"/>
      <c r="J222" s="1116"/>
      <c r="K222" s="1116"/>
      <c r="L222" s="1116"/>
      <c r="M222" s="1116"/>
      <c r="N222" s="1116"/>
      <c r="O222" s="1116"/>
      <c r="P222" s="1116"/>
      <c r="Q222" s="1116"/>
      <c r="R222" s="1116"/>
      <c r="S222" s="1116"/>
      <c r="T222" s="1116"/>
      <c r="U222" s="1116"/>
      <c r="V222" s="1116"/>
      <c r="W222" s="1116"/>
      <c r="X222" s="1116"/>
      <c r="Y222" s="1116"/>
      <c r="Z222" s="1116"/>
      <c r="AA222" s="1116"/>
      <c r="AB222" s="1116"/>
      <c r="AC222" s="1116"/>
      <c r="AD222" s="1116"/>
      <c r="AE222" s="1116"/>
      <c r="AF222" s="1116"/>
      <c r="AG222" s="1116"/>
      <c r="AH222" s="1116"/>
      <c r="AI222" s="1116"/>
      <c r="AJ222" s="1116"/>
      <c r="AK222" s="1116"/>
      <c r="AL222" s="1116"/>
      <c r="AM222" s="1116"/>
      <c r="AN222" s="1116"/>
      <c r="AO222" s="1116"/>
      <c r="AP222" s="1116"/>
      <c r="AQ222" s="1116"/>
      <c r="AR222" s="1116"/>
      <c r="AS222" s="1116"/>
      <c r="AT222" s="1116"/>
      <c r="AU222" s="1116"/>
      <c r="AV222" s="1116"/>
      <c r="AW222" s="1116"/>
      <c r="AX222" s="1116"/>
    </row>
    <row r="223" spans="1:50" s="765" customFormat="1">
      <c r="A223" s="1041"/>
      <c r="B223" s="1"/>
      <c r="C223" s="381"/>
      <c r="D223" s="1005"/>
      <c r="E223" s="766" t="str">
        <f xml:space="preserve"> E$26</f>
        <v>Tax per ton of CO2 eq emitted in start year</v>
      </c>
      <c r="F223" s="766">
        <f xml:space="preserve"> F$26</f>
        <v>20</v>
      </c>
      <c r="G223" s="766" t="str">
        <f xml:space="preserve"> G$26</f>
        <v>US$ / t CO2 eq</v>
      </c>
      <c r="H223" s="1041"/>
      <c r="I223" s="1041"/>
      <c r="J223" s="1041"/>
      <c r="K223" s="1041"/>
      <c r="L223" s="1041"/>
      <c r="M223" s="1041"/>
      <c r="N223" s="1041"/>
      <c r="O223" s="1041"/>
      <c r="P223" s="1041"/>
      <c r="Q223" s="1041"/>
      <c r="R223" s="1041"/>
      <c r="S223" s="1041"/>
      <c r="T223" s="1041"/>
      <c r="U223" s="1041"/>
      <c r="V223" s="1041"/>
      <c r="W223" s="1041"/>
      <c r="X223" s="1041"/>
      <c r="Y223" s="1041"/>
      <c r="Z223" s="1041"/>
      <c r="AA223" s="1041"/>
      <c r="AB223" s="1041"/>
      <c r="AC223" s="1041"/>
      <c r="AD223" s="1041"/>
      <c r="AE223" s="1041"/>
      <c r="AF223" s="1041"/>
      <c r="AG223" s="1041"/>
      <c r="AH223" s="1041"/>
      <c r="AI223" s="1041"/>
      <c r="AJ223" s="1041"/>
      <c r="AK223" s="1041"/>
      <c r="AL223" s="1041"/>
      <c r="AM223" s="1041"/>
      <c r="AN223" s="1041"/>
      <c r="AO223" s="1041"/>
      <c r="AP223" s="1041"/>
      <c r="AQ223" s="1041"/>
      <c r="AR223" s="1041"/>
      <c r="AS223" s="1041"/>
      <c r="AT223" s="1041"/>
      <c r="AU223" s="1041"/>
      <c r="AV223" s="1041"/>
      <c r="AW223" s="1041"/>
      <c r="AX223" s="1041"/>
    </row>
    <row r="224" spans="1:50" s="760" customFormat="1">
      <c r="A224" s="1116"/>
      <c r="B224" s="758"/>
      <c r="C224" s="759"/>
      <c r="D224" s="1116"/>
      <c r="E224" s="766" t="str">
        <f xml:space="preserve"> E$31</f>
        <v>Target year - tax per CO2 eq emitted in future year</v>
      </c>
      <c r="F224" s="766">
        <f xml:space="preserve"> F$31</f>
        <v>0</v>
      </c>
      <c r="G224" s="766" t="str">
        <f xml:space="preserve"> G$31</f>
        <v>US$ / t CO2 eq</v>
      </c>
      <c r="H224" s="1116"/>
      <c r="I224" s="1116"/>
      <c r="J224" s="1116"/>
      <c r="K224" s="1116"/>
      <c r="L224" s="1116"/>
      <c r="M224" s="1116"/>
      <c r="N224" s="1116"/>
      <c r="O224" s="1116"/>
      <c r="P224" s="1116"/>
      <c r="Q224" s="1116"/>
      <c r="R224" s="1116"/>
      <c r="S224" s="1116"/>
      <c r="T224" s="1116"/>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row>
    <row r="225" spans="1:50" s="765" customFormat="1">
      <c r="A225" s="1041"/>
      <c r="B225" s="1"/>
      <c r="C225" s="381"/>
      <c r="D225" s="1041"/>
      <c r="E225" s="1041" t="str">
        <f>Translate!$E$190</f>
        <v>Change in carbon tax between start and future year</v>
      </c>
      <c r="F225" s="1005">
        <f xml:space="preserve"> F224 - F223</f>
        <v>-20</v>
      </c>
      <c r="G225" s="1041" t="str">
        <f>G224</f>
        <v>US$ / t CO2 eq</v>
      </c>
      <c r="H225" s="1041"/>
      <c r="I225" s="1041"/>
      <c r="J225" s="1041"/>
      <c r="K225" s="1041"/>
      <c r="L225" s="1041"/>
      <c r="M225" s="1041"/>
      <c r="N225" s="1041"/>
      <c r="O225" s="1041"/>
      <c r="P225" s="1041"/>
      <c r="Q225" s="1041"/>
      <c r="R225" s="1041"/>
      <c r="S225" s="1041"/>
      <c r="T225" s="1041"/>
      <c r="U225" s="1041"/>
      <c r="V225" s="1041"/>
      <c r="W225" s="1041"/>
      <c r="X225" s="1041"/>
      <c r="Y225" s="1041"/>
      <c r="Z225" s="1041"/>
      <c r="AA225" s="1041"/>
      <c r="AB225" s="1041"/>
      <c r="AC225" s="1041"/>
      <c r="AD225" s="1041"/>
      <c r="AE225" s="1041"/>
      <c r="AF225" s="1041"/>
      <c r="AG225" s="1041"/>
      <c r="AH225" s="1041"/>
      <c r="AI225" s="1041"/>
      <c r="AJ225" s="1041"/>
      <c r="AK225" s="1041"/>
      <c r="AL225" s="1041"/>
      <c r="AM225" s="1041"/>
      <c r="AN225" s="1041"/>
      <c r="AO225" s="1041"/>
      <c r="AP225" s="1041"/>
      <c r="AQ225" s="1041"/>
      <c r="AR225" s="1041"/>
      <c r="AS225" s="1041"/>
      <c r="AT225" s="1041"/>
      <c r="AU225" s="1041"/>
      <c r="AV225" s="1041"/>
      <c r="AW225" s="1041"/>
      <c r="AX225" s="1041"/>
    </row>
    <row r="226" spans="1:50" s="760" customFormat="1">
      <c r="A226" s="1116"/>
      <c r="B226" s="758"/>
      <c r="C226" s="759"/>
      <c r="D226" s="1116"/>
      <c r="E226" s="1116"/>
      <c r="F226" s="1117"/>
      <c r="G226" s="1116"/>
      <c r="H226" s="1116"/>
      <c r="I226" s="1116"/>
      <c r="J226" s="1116"/>
      <c r="K226" s="1116"/>
      <c r="L226" s="1116"/>
      <c r="M226" s="1116"/>
      <c r="N226" s="1116"/>
      <c r="O226" s="1116"/>
      <c r="P226" s="1116"/>
      <c r="Q226" s="1116"/>
      <c r="R226" s="1116"/>
      <c r="S226" s="1116"/>
      <c r="T226" s="1116"/>
      <c r="U226" s="1116"/>
      <c r="V226" s="1116"/>
      <c r="W226" s="1116"/>
      <c r="X226" s="1116"/>
      <c r="Y226" s="1116"/>
      <c r="Z226" s="1116"/>
      <c r="AA226" s="1116"/>
      <c r="AB226" s="1116"/>
      <c r="AC226" s="1116"/>
      <c r="AD226" s="1116"/>
      <c r="AE226" s="1116"/>
      <c r="AF226" s="1116"/>
      <c r="AG226" s="1116"/>
      <c r="AH226" s="1116"/>
      <c r="AI226" s="1116"/>
      <c r="AJ226" s="1116"/>
      <c r="AK226" s="1116"/>
      <c r="AL226" s="1116"/>
      <c r="AM226" s="1116"/>
      <c r="AN226" s="1116"/>
      <c r="AO226" s="1116"/>
      <c r="AP226" s="1116"/>
      <c r="AQ226" s="1116"/>
      <c r="AR226" s="1116"/>
      <c r="AS226" s="1116"/>
      <c r="AT226" s="1116"/>
      <c r="AU226" s="1116"/>
      <c r="AV226" s="1116"/>
      <c r="AW226" s="1116"/>
      <c r="AX226" s="1116"/>
    </row>
    <row r="227" spans="1:50" s="765" customFormat="1">
      <c r="A227" s="1041"/>
      <c r="B227" s="1"/>
      <c r="C227" s="381"/>
      <c r="D227" s="1041"/>
      <c r="E227" s="1041" t="str">
        <f>E225</f>
        <v>Change in carbon tax between start and future year</v>
      </c>
      <c r="F227" s="1005">
        <f>F225</f>
        <v>-20</v>
      </c>
      <c r="G227" s="1041" t="str">
        <f>G225</f>
        <v>US$ / t CO2 eq</v>
      </c>
      <c r="H227" s="1041"/>
      <c r="I227" s="1041"/>
      <c r="J227" s="1041"/>
      <c r="K227" s="1041"/>
      <c r="L227" s="1041"/>
      <c r="M227" s="1041"/>
      <c r="N227" s="1041"/>
      <c r="O227" s="1041"/>
      <c r="P227" s="1041"/>
      <c r="Q227" s="1041"/>
      <c r="R227" s="1041"/>
      <c r="S227" s="1041"/>
      <c r="T227" s="1041"/>
      <c r="U227" s="1041"/>
      <c r="V227" s="1041"/>
      <c r="W227" s="1041"/>
      <c r="X227" s="1041"/>
      <c r="Y227" s="1041"/>
      <c r="Z227" s="1041"/>
      <c r="AA227" s="1041"/>
      <c r="AB227" s="1041"/>
      <c r="AC227" s="1041"/>
      <c r="AD227" s="1041"/>
      <c r="AE227" s="1041"/>
      <c r="AF227" s="1041"/>
      <c r="AG227" s="1041"/>
      <c r="AH227" s="1041"/>
      <c r="AI227" s="1041"/>
      <c r="AJ227" s="1041"/>
      <c r="AK227" s="1041"/>
      <c r="AL227" s="1041"/>
      <c r="AM227" s="1041"/>
      <c r="AN227" s="1041"/>
      <c r="AO227" s="1041"/>
      <c r="AP227" s="1041"/>
      <c r="AQ227" s="1041"/>
      <c r="AR227" s="1041"/>
      <c r="AS227" s="1041"/>
      <c r="AT227" s="1041"/>
      <c r="AU227" s="1041"/>
      <c r="AV227" s="1041"/>
      <c r="AW227" s="1041"/>
      <c r="AX227" s="1041"/>
    </row>
    <row r="228" spans="1:50" s="765" customFormat="1">
      <c r="A228" s="1041"/>
      <c r="B228" s="1"/>
      <c r="C228" s="381"/>
      <c r="D228" s="1041"/>
      <c r="E228" s="1041" t="str">
        <f>E221</f>
        <v>Years of carbon tax until it reaches target level</v>
      </c>
      <c r="F228" s="1005">
        <f>F221</f>
        <v>0</v>
      </c>
      <c r="G228" s="1041" t="str">
        <f>G221</f>
        <v>Years</v>
      </c>
      <c r="H228" s="1041"/>
      <c r="I228" s="1041"/>
      <c r="J228" s="1041"/>
      <c r="K228" s="1041"/>
      <c r="L228" s="1041"/>
      <c r="M228" s="1041"/>
      <c r="N228" s="1041"/>
      <c r="O228" s="1041"/>
      <c r="P228" s="1041"/>
      <c r="Q228" s="1041"/>
      <c r="R228" s="1041"/>
      <c r="S228" s="1041"/>
      <c r="T228" s="1041"/>
      <c r="U228" s="1041"/>
      <c r="V228" s="1041"/>
      <c r="W228" s="1041"/>
      <c r="X228" s="1041"/>
      <c r="Y228" s="1041"/>
      <c r="Z228" s="1041"/>
      <c r="AA228" s="1041"/>
      <c r="AB228" s="1041"/>
      <c r="AC228" s="1041"/>
      <c r="AD228" s="1041"/>
      <c r="AE228" s="1041"/>
      <c r="AF228" s="1041"/>
      <c r="AG228" s="1041"/>
      <c r="AH228" s="1041"/>
      <c r="AI228" s="1041"/>
      <c r="AJ228" s="1041"/>
      <c r="AK228" s="1041"/>
      <c r="AL228" s="1041"/>
      <c r="AM228" s="1041"/>
      <c r="AN228" s="1041"/>
      <c r="AO228" s="1041"/>
      <c r="AP228" s="1041"/>
      <c r="AQ228" s="1041"/>
      <c r="AR228" s="1041"/>
      <c r="AS228" s="1041"/>
      <c r="AT228" s="1041"/>
      <c r="AU228" s="1041"/>
      <c r="AV228" s="1041"/>
      <c r="AW228" s="1041"/>
      <c r="AX228" s="1041"/>
    </row>
    <row r="229" spans="1:50" s="773" customFormat="1">
      <c r="A229" s="1120"/>
      <c r="B229" s="771"/>
      <c r="C229" s="772"/>
      <c r="D229" s="1120"/>
      <c r="E229" s="1120" t="str">
        <f>Translate!$E$191</f>
        <v>Annual increase in carbon tax</v>
      </c>
      <c r="F229" s="1121">
        <f xml:space="preserve"> IF( F228 = 0, 0, F227 / F228)</f>
        <v>0</v>
      </c>
      <c r="G229" s="1120" t="str">
        <f>G227</f>
        <v>US$ / t CO2 eq</v>
      </c>
      <c r="H229" s="1120"/>
      <c r="I229" s="1120"/>
      <c r="J229" s="1120"/>
      <c r="K229" s="1120"/>
      <c r="L229" s="1120"/>
      <c r="M229" s="1120"/>
      <c r="N229" s="1120"/>
      <c r="O229" s="1120"/>
      <c r="P229" s="1120"/>
      <c r="Q229" s="1120"/>
      <c r="R229" s="1120"/>
      <c r="S229" s="1120"/>
      <c r="T229" s="1120"/>
      <c r="U229" s="1120"/>
      <c r="V229" s="1120"/>
      <c r="W229" s="1120"/>
      <c r="X229" s="1120"/>
      <c r="Y229" s="1120"/>
      <c r="Z229" s="1120"/>
      <c r="AA229" s="1120"/>
      <c r="AB229" s="1120"/>
      <c r="AC229" s="1120"/>
      <c r="AD229" s="1120"/>
      <c r="AE229" s="1120"/>
      <c r="AF229" s="1120"/>
      <c r="AG229" s="1120"/>
      <c r="AH229" s="1120"/>
      <c r="AI229" s="1120"/>
      <c r="AJ229" s="1120"/>
      <c r="AK229" s="1120"/>
      <c r="AL229" s="1120"/>
      <c r="AM229" s="1120"/>
      <c r="AN229" s="1120"/>
      <c r="AO229" s="1120"/>
      <c r="AP229" s="1120"/>
      <c r="AQ229" s="1120"/>
      <c r="AR229" s="1120"/>
      <c r="AS229" s="1120"/>
      <c r="AT229" s="1120"/>
      <c r="AU229" s="1120"/>
      <c r="AV229" s="1120"/>
      <c r="AW229" s="1120"/>
      <c r="AX229" s="1120"/>
    </row>
    <row r="230" spans="1:50" s="760" customFormat="1">
      <c r="A230" s="1116"/>
      <c r="B230" s="758"/>
      <c r="C230" s="759"/>
      <c r="D230" s="1116"/>
      <c r="E230" s="1116"/>
      <c r="F230" s="1117"/>
      <c r="G230" s="1116"/>
      <c r="H230" s="1116"/>
      <c r="I230" s="1116"/>
      <c r="J230" s="1116"/>
      <c r="K230" s="1116"/>
      <c r="L230" s="1116"/>
      <c r="M230" s="1116"/>
      <c r="N230" s="1116"/>
      <c r="O230" s="1116"/>
      <c r="P230" s="1116"/>
      <c r="Q230" s="1116"/>
      <c r="R230" s="1116"/>
      <c r="S230" s="1116"/>
      <c r="T230" s="1116"/>
      <c r="U230" s="1116"/>
      <c r="V230" s="1116"/>
      <c r="W230" s="1116"/>
      <c r="X230" s="1116"/>
      <c r="Y230" s="1116"/>
      <c r="Z230" s="1116"/>
      <c r="AA230" s="1116"/>
      <c r="AB230" s="1116"/>
      <c r="AC230" s="1116"/>
      <c r="AD230" s="1116"/>
      <c r="AE230" s="1116"/>
      <c r="AF230" s="1116"/>
      <c r="AG230" s="1116"/>
      <c r="AH230" s="1116"/>
      <c r="AI230" s="1116"/>
      <c r="AJ230" s="1116"/>
      <c r="AK230" s="1116"/>
      <c r="AL230" s="1116"/>
      <c r="AM230" s="1116"/>
      <c r="AN230" s="1116"/>
      <c r="AO230" s="1116"/>
      <c r="AP230" s="1116"/>
      <c r="AQ230" s="1116"/>
      <c r="AR230" s="1116"/>
      <c r="AS230" s="1116"/>
      <c r="AT230" s="1116"/>
      <c r="AU230" s="1116"/>
      <c r="AV230" s="1116"/>
      <c r="AW230" s="1116"/>
      <c r="AX230" s="1116"/>
    </row>
    <row r="231" spans="1:50" s="765" customFormat="1">
      <c r="A231" s="1041"/>
      <c r="B231" s="1"/>
      <c r="C231" s="381"/>
      <c r="D231" s="1041"/>
      <c r="E231" s="1036" t="str">
        <f>Translate!$E$183</f>
        <v>Carbon tax rate applicable</v>
      </c>
      <c r="F231" s="1005">
        <f t="shared" ref="E231:AX232" si="43">F193</f>
        <v>0</v>
      </c>
      <c r="G231" s="1041" t="str">
        <f t="shared" si="43"/>
        <v>Flag</v>
      </c>
      <c r="H231" s="1041">
        <f t="shared" si="43"/>
        <v>0</v>
      </c>
      <c r="I231" s="1041">
        <f t="shared" si="43"/>
        <v>40</v>
      </c>
      <c r="J231" s="1041">
        <f t="shared" si="43"/>
        <v>0</v>
      </c>
      <c r="K231" s="1041">
        <f t="shared" si="43"/>
        <v>1</v>
      </c>
      <c r="L231" s="1041">
        <f t="shared" si="43"/>
        <v>1</v>
      </c>
      <c r="M231" s="1041">
        <f t="shared" si="43"/>
        <v>1</v>
      </c>
      <c r="N231" s="1041">
        <f t="shared" si="43"/>
        <v>1</v>
      </c>
      <c r="O231" s="1041">
        <f t="shared" si="43"/>
        <v>1</v>
      </c>
      <c r="P231" s="1041">
        <f t="shared" si="43"/>
        <v>1</v>
      </c>
      <c r="Q231" s="1041">
        <f t="shared" si="43"/>
        <v>1</v>
      </c>
      <c r="R231" s="1041">
        <f t="shared" si="43"/>
        <v>1</v>
      </c>
      <c r="S231" s="1041">
        <f t="shared" si="43"/>
        <v>1</v>
      </c>
      <c r="T231" s="1041">
        <f t="shared" si="43"/>
        <v>1</v>
      </c>
      <c r="U231" s="1041">
        <f t="shared" si="43"/>
        <v>1</v>
      </c>
      <c r="V231" s="1041">
        <f t="shared" si="43"/>
        <v>1</v>
      </c>
      <c r="W231" s="1041">
        <f t="shared" si="43"/>
        <v>1</v>
      </c>
      <c r="X231" s="1041">
        <f t="shared" si="43"/>
        <v>1</v>
      </c>
      <c r="Y231" s="1041">
        <f t="shared" si="43"/>
        <v>1</v>
      </c>
      <c r="Z231" s="1041">
        <f t="shared" si="43"/>
        <v>1</v>
      </c>
      <c r="AA231" s="1041">
        <f t="shared" si="43"/>
        <v>1</v>
      </c>
      <c r="AB231" s="1041">
        <f t="shared" si="43"/>
        <v>1</v>
      </c>
      <c r="AC231" s="1041">
        <f t="shared" si="43"/>
        <v>1</v>
      </c>
      <c r="AD231" s="1041">
        <f t="shared" si="43"/>
        <v>1</v>
      </c>
      <c r="AE231" s="1041">
        <f t="shared" si="43"/>
        <v>1</v>
      </c>
      <c r="AF231" s="1041">
        <f t="shared" si="43"/>
        <v>1</v>
      </c>
      <c r="AG231" s="1041">
        <f t="shared" si="43"/>
        <v>1</v>
      </c>
      <c r="AH231" s="1041">
        <f t="shared" si="43"/>
        <v>1</v>
      </c>
      <c r="AI231" s="1041">
        <f t="shared" si="43"/>
        <v>1</v>
      </c>
      <c r="AJ231" s="1041">
        <f t="shared" si="43"/>
        <v>1</v>
      </c>
      <c r="AK231" s="1041">
        <f t="shared" si="43"/>
        <v>1</v>
      </c>
      <c r="AL231" s="1041">
        <f t="shared" si="43"/>
        <v>1</v>
      </c>
      <c r="AM231" s="1041">
        <f t="shared" si="43"/>
        <v>1</v>
      </c>
      <c r="AN231" s="1041">
        <f t="shared" si="43"/>
        <v>1</v>
      </c>
      <c r="AO231" s="1041">
        <f t="shared" si="43"/>
        <v>1</v>
      </c>
      <c r="AP231" s="1041">
        <f t="shared" si="43"/>
        <v>1</v>
      </c>
      <c r="AQ231" s="1041">
        <f t="shared" si="43"/>
        <v>1</v>
      </c>
      <c r="AR231" s="1041">
        <f t="shared" si="43"/>
        <v>1</v>
      </c>
      <c r="AS231" s="1041">
        <f t="shared" si="43"/>
        <v>1</v>
      </c>
      <c r="AT231" s="1041">
        <f t="shared" si="43"/>
        <v>1</v>
      </c>
      <c r="AU231" s="1041">
        <f t="shared" si="43"/>
        <v>1</v>
      </c>
      <c r="AV231" s="1041">
        <f t="shared" si="43"/>
        <v>1</v>
      </c>
      <c r="AW231" s="1041">
        <f t="shared" si="43"/>
        <v>1</v>
      </c>
      <c r="AX231" s="1041">
        <f t="shared" si="43"/>
        <v>1</v>
      </c>
    </row>
    <row r="232" spans="1:50" s="765" customFormat="1">
      <c r="A232" s="1041"/>
      <c r="B232" s="1"/>
      <c r="C232" s="381"/>
      <c r="D232" s="1041"/>
      <c r="E232" s="1041" t="str">
        <f t="shared" si="43"/>
        <v>Year of carbon tax</v>
      </c>
      <c r="F232" s="1005">
        <f t="shared" si="43"/>
        <v>0</v>
      </c>
      <c r="G232" s="1041" t="str">
        <f t="shared" si="43"/>
        <v>Flag</v>
      </c>
      <c r="H232" s="1041">
        <f t="shared" si="43"/>
        <v>0</v>
      </c>
      <c r="I232" s="1041">
        <f t="shared" si="43"/>
        <v>0</v>
      </c>
      <c r="J232" s="1041">
        <f t="shared" si="43"/>
        <v>0</v>
      </c>
      <c r="K232" s="1041">
        <f t="shared" si="43"/>
        <v>1</v>
      </c>
      <c r="L232" s="1041">
        <f t="shared" si="43"/>
        <v>2</v>
      </c>
      <c r="M232" s="1041">
        <f t="shared" si="43"/>
        <v>3</v>
      </c>
      <c r="N232" s="1041">
        <f t="shared" si="43"/>
        <v>4</v>
      </c>
      <c r="O232" s="1041">
        <f t="shared" si="43"/>
        <v>5</v>
      </c>
      <c r="P232" s="1041">
        <f t="shared" si="43"/>
        <v>6</v>
      </c>
      <c r="Q232" s="1041">
        <f t="shared" si="43"/>
        <v>7</v>
      </c>
      <c r="R232" s="1041">
        <f t="shared" si="43"/>
        <v>8</v>
      </c>
      <c r="S232" s="1041">
        <f t="shared" si="43"/>
        <v>9</v>
      </c>
      <c r="T232" s="1041">
        <f t="shared" si="43"/>
        <v>10</v>
      </c>
      <c r="U232" s="1041">
        <f t="shared" si="43"/>
        <v>11</v>
      </c>
      <c r="V232" s="1041">
        <f t="shared" si="43"/>
        <v>12</v>
      </c>
      <c r="W232" s="1041">
        <f t="shared" si="43"/>
        <v>13</v>
      </c>
      <c r="X232" s="1041">
        <f t="shared" si="43"/>
        <v>14</v>
      </c>
      <c r="Y232" s="1041">
        <f t="shared" si="43"/>
        <v>15</v>
      </c>
      <c r="Z232" s="1041">
        <f t="shared" si="43"/>
        <v>16</v>
      </c>
      <c r="AA232" s="1041">
        <f t="shared" si="43"/>
        <v>17</v>
      </c>
      <c r="AB232" s="1041">
        <f t="shared" si="43"/>
        <v>18</v>
      </c>
      <c r="AC232" s="1041">
        <f t="shared" si="43"/>
        <v>19</v>
      </c>
      <c r="AD232" s="1041">
        <f t="shared" si="43"/>
        <v>20</v>
      </c>
      <c r="AE232" s="1041">
        <f t="shared" si="43"/>
        <v>21</v>
      </c>
      <c r="AF232" s="1041">
        <f t="shared" si="43"/>
        <v>22</v>
      </c>
      <c r="AG232" s="1041">
        <f t="shared" si="43"/>
        <v>23</v>
      </c>
      <c r="AH232" s="1041">
        <f t="shared" si="43"/>
        <v>24</v>
      </c>
      <c r="AI232" s="1041">
        <f t="shared" si="43"/>
        <v>25</v>
      </c>
      <c r="AJ232" s="1041">
        <f t="shared" si="43"/>
        <v>26</v>
      </c>
      <c r="AK232" s="1041">
        <f t="shared" si="43"/>
        <v>27</v>
      </c>
      <c r="AL232" s="1041">
        <f t="shared" si="43"/>
        <v>28</v>
      </c>
      <c r="AM232" s="1041">
        <f t="shared" si="43"/>
        <v>29</v>
      </c>
      <c r="AN232" s="1041">
        <f t="shared" si="43"/>
        <v>30</v>
      </c>
      <c r="AO232" s="1041">
        <f t="shared" si="43"/>
        <v>31</v>
      </c>
      <c r="AP232" s="1041">
        <f t="shared" si="43"/>
        <v>32</v>
      </c>
      <c r="AQ232" s="1041">
        <f t="shared" si="43"/>
        <v>33</v>
      </c>
      <c r="AR232" s="1041">
        <f t="shared" si="43"/>
        <v>34</v>
      </c>
      <c r="AS232" s="1041">
        <f t="shared" si="43"/>
        <v>35</v>
      </c>
      <c r="AT232" s="1041">
        <f t="shared" si="43"/>
        <v>36</v>
      </c>
      <c r="AU232" s="1041">
        <f t="shared" si="43"/>
        <v>37</v>
      </c>
      <c r="AV232" s="1041">
        <f t="shared" si="43"/>
        <v>38</v>
      </c>
      <c r="AW232" s="1041">
        <f t="shared" si="43"/>
        <v>39</v>
      </c>
      <c r="AX232" s="1041">
        <f t="shared" si="43"/>
        <v>40</v>
      </c>
    </row>
    <row r="233" spans="1:50" s="765" customFormat="1">
      <c r="A233" s="1041"/>
      <c r="B233" s="1"/>
      <c r="C233" s="381"/>
      <c r="D233" s="1041"/>
      <c r="E233" s="1041" t="str">
        <f>Translate!$E$192</f>
        <v>Carbon tax - target level/year; before inflation adjustment</v>
      </c>
      <c r="F233" s="1005"/>
      <c r="G233" s="1041" t="str">
        <f xml:space="preserve"> Translate!E$730</f>
        <v>US$ / t CO2 eq</v>
      </c>
      <c r="H233" s="1041"/>
      <c r="I233" s="1041"/>
      <c r="J233" s="1041"/>
      <c r="K233" s="1041">
        <f xml:space="preserve"> IF( K232 &gt; $F221, $F224, $F223 + (K232 - 1) * $F229) * K231</f>
        <v>0</v>
      </c>
      <c r="L233" s="1041">
        <f t="shared" ref="L233:AX233" si="44" xml:space="preserve"> IF( L232 &gt; $F221, $F224, $F223 + (L232 - 1) * $F229) * L231</f>
        <v>0</v>
      </c>
      <c r="M233" s="1041">
        <f t="shared" si="44"/>
        <v>0</v>
      </c>
      <c r="N233" s="1041">
        <f t="shared" si="44"/>
        <v>0</v>
      </c>
      <c r="O233" s="1041">
        <f t="shared" si="44"/>
        <v>0</v>
      </c>
      <c r="P233" s="1041">
        <f t="shared" si="44"/>
        <v>0</v>
      </c>
      <c r="Q233" s="1041">
        <f t="shared" si="44"/>
        <v>0</v>
      </c>
      <c r="R233" s="1041">
        <f t="shared" si="44"/>
        <v>0</v>
      </c>
      <c r="S233" s="1041">
        <f t="shared" si="44"/>
        <v>0</v>
      </c>
      <c r="T233" s="1041">
        <f xml:space="preserve"> IF( T232 &gt; $F221, $F224, $F223 + (T232 - 1) * $F229) * T231</f>
        <v>0</v>
      </c>
      <c r="U233" s="1041">
        <f t="shared" si="44"/>
        <v>0</v>
      </c>
      <c r="V233" s="1041">
        <f t="shared" si="44"/>
        <v>0</v>
      </c>
      <c r="W233" s="1041">
        <f t="shared" si="44"/>
        <v>0</v>
      </c>
      <c r="X233" s="1041">
        <f t="shared" si="44"/>
        <v>0</v>
      </c>
      <c r="Y233" s="1041">
        <f t="shared" si="44"/>
        <v>0</v>
      </c>
      <c r="Z233" s="1041">
        <f t="shared" si="44"/>
        <v>0</v>
      </c>
      <c r="AA233" s="1041">
        <f t="shared" si="44"/>
        <v>0</v>
      </c>
      <c r="AB233" s="1041">
        <f t="shared" si="44"/>
        <v>0</v>
      </c>
      <c r="AC233" s="1041">
        <f t="shared" si="44"/>
        <v>0</v>
      </c>
      <c r="AD233" s="1041">
        <f t="shared" si="44"/>
        <v>0</v>
      </c>
      <c r="AE233" s="1041">
        <f t="shared" si="44"/>
        <v>0</v>
      </c>
      <c r="AF233" s="1041">
        <f t="shared" si="44"/>
        <v>0</v>
      </c>
      <c r="AG233" s="1041">
        <f t="shared" si="44"/>
        <v>0</v>
      </c>
      <c r="AH233" s="1041">
        <f t="shared" si="44"/>
        <v>0</v>
      </c>
      <c r="AI233" s="1041">
        <f t="shared" si="44"/>
        <v>0</v>
      </c>
      <c r="AJ233" s="1041">
        <f t="shared" si="44"/>
        <v>0</v>
      </c>
      <c r="AK233" s="1041">
        <f t="shared" si="44"/>
        <v>0</v>
      </c>
      <c r="AL233" s="1041">
        <f t="shared" si="44"/>
        <v>0</v>
      </c>
      <c r="AM233" s="1041">
        <f t="shared" si="44"/>
        <v>0</v>
      </c>
      <c r="AN233" s="1041">
        <f t="shared" si="44"/>
        <v>0</v>
      </c>
      <c r="AO233" s="1041">
        <f t="shared" si="44"/>
        <v>0</v>
      </c>
      <c r="AP233" s="1041">
        <f t="shared" si="44"/>
        <v>0</v>
      </c>
      <c r="AQ233" s="1041">
        <f t="shared" si="44"/>
        <v>0</v>
      </c>
      <c r="AR233" s="1041">
        <f t="shared" si="44"/>
        <v>0</v>
      </c>
      <c r="AS233" s="1041">
        <f t="shared" si="44"/>
        <v>0</v>
      </c>
      <c r="AT233" s="1041">
        <f t="shared" si="44"/>
        <v>0</v>
      </c>
      <c r="AU233" s="1041">
        <f t="shared" si="44"/>
        <v>0</v>
      </c>
      <c r="AV233" s="1041">
        <f t="shared" si="44"/>
        <v>0</v>
      </c>
      <c r="AW233" s="1041">
        <f t="shared" si="44"/>
        <v>0</v>
      </c>
      <c r="AX233" s="1041">
        <f t="shared" si="44"/>
        <v>0</v>
      </c>
    </row>
    <row r="234" spans="1:50" s="760" customFormat="1">
      <c r="A234" s="1116"/>
      <c r="B234" s="758"/>
      <c r="C234" s="759"/>
      <c r="D234" s="1116"/>
      <c r="E234" s="1116"/>
      <c r="F234" s="1117"/>
      <c r="G234" s="1116"/>
      <c r="H234" s="1116"/>
      <c r="I234" s="1116"/>
      <c r="J234" s="1116"/>
      <c r="K234" s="1116"/>
      <c r="L234" s="1116"/>
      <c r="M234" s="1116"/>
      <c r="N234" s="1116"/>
      <c r="O234" s="1116"/>
      <c r="P234" s="1116"/>
      <c r="Q234" s="1116"/>
      <c r="R234" s="1116"/>
      <c r="S234" s="1116"/>
      <c r="T234" s="1116"/>
      <c r="U234" s="1116"/>
      <c r="V234" s="1116"/>
      <c r="W234" s="1116"/>
      <c r="X234" s="1116"/>
      <c r="Y234" s="1116"/>
      <c r="Z234" s="1116"/>
      <c r="AA234" s="1116"/>
      <c r="AB234" s="1116"/>
      <c r="AC234" s="1116"/>
      <c r="AD234" s="1116"/>
      <c r="AE234" s="1116"/>
      <c r="AF234" s="1116"/>
      <c r="AG234" s="1116"/>
      <c r="AH234" s="1116"/>
      <c r="AI234" s="1116"/>
      <c r="AJ234" s="1116"/>
      <c r="AK234" s="1116"/>
      <c r="AL234" s="1116"/>
      <c r="AM234" s="1116"/>
      <c r="AN234" s="1116"/>
      <c r="AO234" s="1116"/>
      <c r="AP234" s="1116"/>
      <c r="AQ234" s="1116"/>
      <c r="AR234" s="1116"/>
      <c r="AS234" s="1116"/>
      <c r="AT234" s="1116"/>
      <c r="AU234" s="1116"/>
      <c r="AV234" s="1116"/>
      <c r="AW234" s="1116"/>
      <c r="AX234" s="1116"/>
    </row>
    <row r="235" spans="1:50" s="760" customFormat="1">
      <c r="A235" s="1116"/>
      <c r="B235" s="758" t="str">
        <f>Translate!$E$66</f>
        <v>Tax rate - select</v>
      </c>
      <c r="C235" s="759"/>
      <c r="D235" s="1116"/>
      <c r="E235" s="1116"/>
      <c r="F235" s="1117"/>
      <c r="G235" s="1116"/>
      <c r="H235" s="1116"/>
      <c r="I235" s="1116"/>
      <c r="J235" s="1116"/>
      <c r="K235" s="1116"/>
      <c r="L235" s="1116"/>
      <c r="M235" s="1116"/>
      <c r="N235" s="1116"/>
      <c r="O235" s="1116"/>
      <c r="P235" s="1116"/>
      <c r="Q235" s="1116"/>
      <c r="R235" s="1116"/>
      <c r="S235" s="1116"/>
      <c r="T235" s="1116"/>
      <c r="U235" s="1116"/>
      <c r="V235" s="1116"/>
      <c r="W235" s="1116"/>
      <c r="X235" s="1116"/>
      <c r="Y235" s="1116"/>
      <c r="Z235" s="1116"/>
      <c r="AA235" s="1116"/>
      <c r="AB235" s="1116"/>
      <c r="AC235" s="1116"/>
      <c r="AD235" s="1116"/>
      <c r="AE235" s="1116"/>
      <c r="AF235" s="1116"/>
      <c r="AG235" s="1116"/>
      <c r="AH235" s="1116"/>
      <c r="AI235" s="1116"/>
      <c r="AJ235" s="1116"/>
      <c r="AK235" s="1116"/>
      <c r="AL235" s="1116"/>
      <c r="AM235" s="1116"/>
      <c r="AN235" s="1116"/>
      <c r="AO235" s="1116"/>
      <c r="AP235" s="1116"/>
      <c r="AQ235" s="1116"/>
      <c r="AR235" s="1116"/>
      <c r="AS235" s="1116"/>
      <c r="AT235" s="1116"/>
      <c r="AU235" s="1116"/>
      <c r="AV235" s="1116"/>
      <c r="AW235" s="1116"/>
      <c r="AX235" s="1116"/>
    </row>
    <row r="236" spans="1:50" s="760" customFormat="1">
      <c r="A236" s="1116"/>
      <c r="B236" s="758"/>
      <c r="C236" s="759"/>
      <c r="D236" s="1116"/>
      <c r="E236" s="766" t="str">
        <f xml:space="preserve"> E$29</f>
        <v>Method to change carbon tax over time</v>
      </c>
      <c r="F236" s="766" t="str">
        <f xml:space="preserve"> F$29</f>
        <v>Percentage</v>
      </c>
      <c r="G236" s="766" t="str">
        <f xml:space="preserve"> G$29</f>
        <v>Option</v>
      </c>
      <c r="H236" s="766" t="str">
        <f xml:space="preserve"> H$29</f>
        <v>Percentage, target year; assumed percentage if empty</v>
      </c>
      <c r="I236" s="1116"/>
      <c r="J236" s="1116"/>
      <c r="K236" s="1116"/>
      <c r="L236" s="1116"/>
      <c r="M236" s="1116"/>
      <c r="N236" s="1116"/>
      <c r="O236" s="1116"/>
      <c r="P236" s="1116"/>
      <c r="Q236" s="1116"/>
      <c r="R236" s="1116"/>
      <c r="S236" s="1116"/>
      <c r="T236" s="1116"/>
      <c r="U236" s="1116"/>
      <c r="V236" s="1116"/>
      <c r="W236" s="1116"/>
      <c r="X236" s="1116"/>
      <c r="Y236" s="1116"/>
      <c r="Z236" s="1116"/>
      <c r="AA236" s="1116"/>
      <c r="AB236" s="1116"/>
      <c r="AC236" s="1116"/>
      <c r="AD236" s="1116"/>
      <c r="AE236" s="1116"/>
      <c r="AF236" s="1116"/>
      <c r="AG236" s="1116"/>
      <c r="AH236" s="1116"/>
      <c r="AI236" s="1116"/>
      <c r="AJ236" s="1116"/>
      <c r="AK236" s="1116"/>
      <c r="AL236" s="1116"/>
      <c r="AM236" s="1116"/>
      <c r="AN236" s="1116"/>
      <c r="AO236" s="1116"/>
      <c r="AP236" s="1116"/>
      <c r="AQ236" s="1116"/>
      <c r="AR236" s="1116"/>
      <c r="AS236" s="1116"/>
      <c r="AT236" s="1116"/>
      <c r="AU236" s="1116"/>
      <c r="AV236" s="1116"/>
      <c r="AW236" s="1116"/>
      <c r="AX236" s="1116"/>
    </row>
    <row r="237" spans="1:50" s="760" customFormat="1">
      <c r="A237" s="1116"/>
      <c r="B237" s="758"/>
      <c r="C237" s="759"/>
      <c r="D237" s="1116"/>
      <c r="E237" s="1116" t="str">
        <f>Translate!$E$26 &amp;  " " &amp; Translate!$E$351 &amp; " 1"</f>
        <v>Carbon tax Option 1</v>
      </c>
      <c r="F237" s="848" t="str">
        <f xml:space="preserve"> Translate!E$557</f>
        <v>Percentage</v>
      </c>
      <c r="G237" s="1116" t="str">
        <f>Translate!$E$351</f>
        <v>Option</v>
      </c>
      <c r="H237" s="1116"/>
      <c r="I237" s="1116"/>
      <c r="J237" s="1116"/>
      <c r="K237" s="1116"/>
      <c r="L237" s="1116"/>
      <c r="M237" s="1116"/>
      <c r="N237" s="1116"/>
      <c r="O237" s="1116"/>
      <c r="P237" s="1116"/>
      <c r="Q237" s="1116"/>
      <c r="R237" s="1116"/>
      <c r="S237" s="1116"/>
      <c r="T237" s="1116"/>
      <c r="U237" s="1116"/>
      <c r="V237" s="1116"/>
      <c r="W237" s="1116"/>
      <c r="X237" s="1116"/>
      <c r="Y237" s="1116"/>
      <c r="Z237" s="1116"/>
      <c r="AA237" s="1116"/>
      <c r="AB237" s="1116"/>
      <c r="AC237" s="1116"/>
      <c r="AD237" s="1116"/>
      <c r="AE237" s="1116"/>
      <c r="AF237" s="1116"/>
      <c r="AG237" s="1116"/>
      <c r="AH237" s="1116"/>
      <c r="AI237" s="1116"/>
      <c r="AJ237" s="1116"/>
      <c r="AK237" s="1116"/>
      <c r="AL237" s="1116"/>
      <c r="AM237" s="1116"/>
      <c r="AN237" s="1116"/>
      <c r="AO237" s="1116"/>
      <c r="AP237" s="1116"/>
      <c r="AQ237" s="1116"/>
      <c r="AR237" s="1116"/>
      <c r="AS237" s="1116"/>
      <c r="AT237" s="1116"/>
      <c r="AU237" s="1116"/>
      <c r="AV237" s="1116"/>
      <c r="AW237" s="1116"/>
      <c r="AX237" s="1116"/>
    </row>
    <row r="238" spans="1:50" s="760" customFormat="1">
      <c r="A238" s="1116"/>
      <c r="B238" s="758"/>
      <c r="C238" s="759"/>
      <c r="D238" s="1116"/>
      <c r="E238" s="1116" t="str">
        <f>Translate!$E$26 &amp;  " " &amp; Translate!$E$351 &amp; " 2"</f>
        <v>Carbon tax Option 2</v>
      </c>
      <c r="F238" s="848" t="str">
        <f xml:space="preserve"> Translate!E$558</f>
        <v>TargetYear</v>
      </c>
      <c r="G238" s="1116" t="str">
        <f>Translate!$E$351</f>
        <v>Option</v>
      </c>
      <c r="H238" s="1116"/>
      <c r="I238" s="1116"/>
      <c r="J238" s="1116"/>
      <c r="K238" s="1116"/>
      <c r="L238" s="1116"/>
      <c r="M238" s="1116"/>
      <c r="N238" s="1116"/>
      <c r="O238" s="1116"/>
      <c r="P238" s="1116"/>
      <c r="Q238" s="1116"/>
      <c r="R238" s="1116"/>
      <c r="S238" s="1116"/>
      <c r="T238" s="1116"/>
      <c r="U238" s="1116"/>
      <c r="V238" s="1116"/>
      <c r="W238" s="1116"/>
      <c r="X238" s="1116"/>
      <c r="Y238" s="1116"/>
      <c r="Z238" s="1116"/>
      <c r="AA238" s="1116"/>
      <c r="AB238" s="1116"/>
      <c r="AC238" s="1116"/>
      <c r="AD238" s="1116"/>
      <c r="AE238" s="1116"/>
      <c r="AF238" s="1116"/>
      <c r="AG238" s="1116"/>
      <c r="AH238" s="1116"/>
      <c r="AI238" s="1116"/>
      <c r="AJ238" s="1116"/>
      <c r="AK238" s="1116"/>
      <c r="AL238" s="1116"/>
      <c r="AM238" s="1116"/>
      <c r="AN238" s="1116"/>
      <c r="AO238" s="1116"/>
      <c r="AP238" s="1116"/>
      <c r="AQ238" s="1116"/>
      <c r="AR238" s="1116"/>
      <c r="AS238" s="1116"/>
      <c r="AT238" s="1116"/>
      <c r="AU238" s="1116"/>
      <c r="AV238" s="1116"/>
      <c r="AW238" s="1116"/>
      <c r="AX238" s="1116"/>
    </row>
    <row r="239" spans="1:50" s="760" customFormat="1">
      <c r="A239" s="1116"/>
      <c r="B239" s="758"/>
      <c r="C239" s="759"/>
      <c r="D239" s="1116"/>
      <c r="E239" s="1116"/>
      <c r="F239" s="1117"/>
      <c r="G239" s="1116"/>
      <c r="H239" s="1116"/>
      <c r="I239" s="1116"/>
      <c r="J239" s="1116"/>
      <c r="K239" s="1116"/>
      <c r="L239" s="1116"/>
      <c r="M239" s="1116"/>
      <c r="N239" s="1116"/>
      <c r="O239" s="1116"/>
      <c r="P239" s="1116"/>
      <c r="Q239" s="1116"/>
      <c r="R239" s="1116"/>
      <c r="S239" s="1116"/>
      <c r="T239" s="1116"/>
      <c r="U239" s="1116"/>
      <c r="V239" s="1116"/>
      <c r="W239" s="1116"/>
      <c r="X239" s="1116"/>
      <c r="Y239" s="1116"/>
      <c r="Z239" s="1116"/>
      <c r="AA239" s="1116"/>
      <c r="AB239" s="1116"/>
      <c r="AC239" s="1116"/>
      <c r="AD239" s="1116"/>
      <c r="AE239" s="1116"/>
      <c r="AF239" s="1116"/>
      <c r="AG239" s="1116"/>
      <c r="AH239" s="1116"/>
      <c r="AI239" s="1116"/>
      <c r="AJ239" s="1116"/>
      <c r="AK239" s="1116"/>
      <c r="AL239" s="1116"/>
      <c r="AM239" s="1116"/>
      <c r="AN239" s="1116"/>
      <c r="AO239" s="1116"/>
      <c r="AP239" s="1116"/>
      <c r="AQ239" s="1116"/>
      <c r="AR239" s="1116"/>
      <c r="AS239" s="1116"/>
      <c r="AT239" s="1116"/>
      <c r="AU239" s="1116"/>
      <c r="AV239" s="1116"/>
      <c r="AW239" s="1116"/>
      <c r="AX239" s="1116"/>
    </row>
    <row r="240" spans="1:50" s="765" customFormat="1">
      <c r="A240" s="1041"/>
      <c r="B240" s="1"/>
      <c r="C240" s="381"/>
      <c r="D240" s="1041"/>
      <c r="E240" s="1041" t="str">
        <f t="shared" ref="E240:AX240" si="45">E215</f>
        <v>Carbon tax - percentage method; before inflation adjustment</v>
      </c>
      <c r="F240" s="1005">
        <f t="shared" si="45"/>
        <v>0</v>
      </c>
      <c r="G240" s="1041" t="str">
        <f t="shared" si="45"/>
        <v>US$ / t CO2 eq</v>
      </c>
      <c r="H240" s="1041">
        <f t="shared" si="45"/>
        <v>0</v>
      </c>
      <c r="I240" s="1041">
        <f t="shared" si="45"/>
        <v>0</v>
      </c>
      <c r="J240" s="1041">
        <f t="shared" si="45"/>
        <v>0</v>
      </c>
      <c r="K240" s="1041">
        <f t="shared" si="45"/>
        <v>20</v>
      </c>
      <c r="L240" s="1041">
        <f t="shared" si="45"/>
        <v>20</v>
      </c>
      <c r="M240" s="1041">
        <f t="shared" si="45"/>
        <v>20</v>
      </c>
      <c r="N240" s="1041">
        <f t="shared" si="45"/>
        <v>20</v>
      </c>
      <c r="O240" s="1041">
        <f t="shared" si="45"/>
        <v>20</v>
      </c>
      <c r="P240" s="1041">
        <f t="shared" si="45"/>
        <v>20</v>
      </c>
      <c r="Q240" s="1041">
        <f t="shared" si="45"/>
        <v>20</v>
      </c>
      <c r="R240" s="1041">
        <f t="shared" si="45"/>
        <v>20</v>
      </c>
      <c r="S240" s="1041">
        <f t="shared" si="45"/>
        <v>20</v>
      </c>
      <c r="T240" s="1041">
        <f t="shared" si="45"/>
        <v>20</v>
      </c>
      <c r="U240" s="1041">
        <f t="shared" si="45"/>
        <v>20</v>
      </c>
      <c r="V240" s="1041">
        <f t="shared" si="45"/>
        <v>20</v>
      </c>
      <c r="W240" s="1041">
        <f t="shared" si="45"/>
        <v>20</v>
      </c>
      <c r="X240" s="1041">
        <f t="shared" si="45"/>
        <v>20</v>
      </c>
      <c r="Y240" s="1041">
        <f t="shared" si="45"/>
        <v>20</v>
      </c>
      <c r="Z240" s="1041">
        <f t="shared" si="45"/>
        <v>20</v>
      </c>
      <c r="AA240" s="1041">
        <f t="shared" si="45"/>
        <v>20</v>
      </c>
      <c r="AB240" s="1041">
        <f t="shared" si="45"/>
        <v>20</v>
      </c>
      <c r="AC240" s="1041">
        <f t="shared" si="45"/>
        <v>20</v>
      </c>
      <c r="AD240" s="1041">
        <f t="shared" si="45"/>
        <v>20</v>
      </c>
      <c r="AE240" s="1041">
        <f t="shared" si="45"/>
        <v>20</v>
      </c>
      <c r="AF240" s="1041">
        <f t="shared" si="45"/>
        <v>20</v>
      </c>
      <c r="AG240" s="1041">
        <f t="shared" si="45"/>
        <v>20</v>
      </c>
      <c r="AH240" s="1041">
        <f t="shared" si="45"/>
        <v>20</v>
      </c>
      <c r="AI240" s="1041">
        <f t="shared" si="45"/>
        <v>20</v>
      </c>
      <c r="AJ240" s="1041">
        <f t="shared" si="45"/>
        <v>20</v>
      </c>
      <c r="AK240" s="1041">
        <f t="shared" si="45"/>
        <v>20</v>
      </c>
      <c r="AL240" s="1041">
        <f t="shared" si="45"/>
        <v>20</v>
      </c>
      <c r="AM240" s="1041">
        <f t="shared" si="45"/>
        <v>20</v>
      </c>
      <c r="AN240" s="1041">
        <f t="shared" si="45"/>
        <v>20</v>
      </c>
      <c r="AO240" s="1041">
        <f t="shared" si="45"/>
        <v>20</v>
      </c>
      <c r="AP240" s="1041">
        <f t="shared" si="45"/>
        <v>20</v>
      </c>
      <c r="AQ240" s="1041">
        <f t="shared" si="45"/>
        <v>20</v>
      </c>
      <c r="AR240" s="1041">
        <f t="shared" si="45"/>
        <v>20</v>
      </c>
      <c r="AS240" s="1041">
        <f t="shared" si="45"/>
        <v>20</v>
      </c>
      <c r="AT240" s="1041">
        <f t="shared" si="45"/>
        <v>20</v>
      </c>
      <c r="AU240" s="1041">
        <f t="shared" si="45"/>
        <v>20</v>
      </c>
      <c r="AV240" s="1041">
        <f t="shared" si="45"/>
        <v>20</v>
      </c>
      <c r="AW240" s="1041">
        <f t="shared" si="45"/>
        <v>20</v>
      </c>
      <c r="AX240" s="1041">
        <f t="shared" si="45"/>
        <v>20</v>
      </c>
    </row>
    <row r="241" spans="1:50" s="765" customFormat="1">
      <c r="A241" s="1041"/>
      <c r="B241" s="1"/>
      <c r="C241" s="381"/>
      <c r="D241" s="1041"/>
      <c r="E241" s="1041" t="str">
        <f t="shared" ref="E241:AX241" si="46">E233</f>
        <v>Carbon tax - target level/year; before inflation adjustment</v>
      </c>
      <c r="F241" s="1005">
        <f t="shared" si="46"/>
        <v>0</v>
      </c>
      <c r="G241" s="1041" t="str">
        <f t="shared" si="46"/>
        <v>US$ / t CO2 eq</v>
      </c>
      <c r="H241" s="1041">
        <f t="shared" si="46"/>
        <v>0</v>
      </c>
      <c r="I241" s="1041">
        <f t="shared" si="46"/>
        <v>0</v>
      </c>
      <c r="J241" s="1041">
        <f t="shared" si="46"/>
        <v>0</v>
      </c>
      <c r="K241" s="1041">
        <f t="shared" si="46"/>
        <v>0</v>
      </c>
      <c r="L241" s="1041">
        <f t="shared" si="46"/>
        <v>0</v>
      </c>
      <c r="M241" s="1041">
        <f t="shared" si="46"/>
        <v>0</v>
      </c>
      <c r="N241" s="1041">
        <f t="shared" si="46"/>
        <v>0</v>
      </c>
      <c r="O241" s="1041">
        <f t="shared" si="46"/>
        <v>0</v>
      </c>
      <c r="P241" s="1041">
        <f t="shared" si="46"/>
        <v>0</v>
      </c>
      <c r="Q241" s="1041">
        <f t="shared" si="46"/>
        <v>0</v>
      </c>
      <c r="R241" s="1041">
        <f t="shared" si="46"/>
        <v>0</v>
      </c>
      <c r="S241" s="1041">
        <f t="shared" si="46"/>
        <v>0</v>
      </c>
      <c r="T241" s="1041">
        <f t="shared" si="46"/>
        <v>0</v>
      </c>
      <c r="U241" s="1041">
        <f t="shared" si="46"/>
        <v>0</v>
      </c>
      <c r="V241" s="1041">
        <f t="shared" si="46"/>
        <v>0</v>
      </c>
      <c r="W241" s="1041">
        <f t="shared" si="46"/>
        <v>0</v>
      </c>
      <c r="X241" s="1041">
        <f t="shared" si="46"/>
        <v>0</v>
      </c>
      <c r="Y241" s="1041">
        <f t="shared" si="46"/>
        <v>0</v>
      </c>
      <c r="Z241" s="1041">
        <f t="shared" si="46"/>
        <v>0</v>
      </c>
      <c r="AA241" s="1041">
        <f t="shared" si="46"/>
        <v>0</v>
      </c>
      <c r="AB241" s="1041">
        <f t="shared" si="46"/>
        <v>0</v>
      </c>
      <c r="AC241" s="1041">
        <f t="shared" si="46"/>
        <v>0</v>
      </c>
      <c r="AD241" s="1041">
        <f t="shared" si="46"/>
        <v>0</v>
      </c>
      <c r="AE241" s="1041">
        <f t="shared" si="46"/>
        <v>0</v>
      </c>
      <c r="AF241" s="1041">
        <f t="shared" si="46"/>
        <v>0</v>
      </c>
      <c r="AG241" s="1041">
        <f t="shared" si="46"/>
        <v>0</v>
      </c>
      <c r="AH241" s="1041">
        <f t="shared" si="46"/>
        <v>0</v>
      </c>
      <c r="AI241" s="1041">
        <f t="shared" si="46"/>
        <v>0</v>
      </c>
      <c r="AJ241" s="1041">
        <f t="shared" si="46"/>
        <v>0</v>
      </c>
      <c r="AK241" s="1041">
        <f t="shared" si="46"/>
        <v>0</v>
      </c>
      <c r="AL241" s="1041">
        <f t="shared" si="46"/>
        <v>0</v>
      </c>
      <c r="AM241" s="1041">
        <f t="shared" si="46"/>
        <v>0</v>
      </c>
      <c r="AN241" s="1041">
        <f t="shared" si="46"/>
        <v>0</v>
      </c>
      <c r="AO241" s="1041">
        <f t="shared" si="46"/>
        <v>0</v>
      </c>
      <c r="AP241" s="1041">
        <f t="shared" si="46"/>
        <v>0</v>
      </c>
      <c r="AQ241" s="1041">
        <f t="shared" si="46"/>
        <v>0</v>
      </c>
      <c r="AR241" s="1041">
        <f t="shared" si="46"/>
        <v>0</v>
      </c>
      <c r="AS241" s="1041">
        <f t="shared" si="46"/>
        <v>0</v>
      </c>
      <c r="AT241" s="1041">
        <f t="shared" si="46"/>
        <v>0</v>
      </c>
      <c r="AU241" s="1041">
        <f t="shared" si="46"/>
        <v>0</v>
      </c>
      <c r="AV241" s="1041">
        <f t="shared" si="46"/>
        <v>0</v>
      </c>
      <c r="AW241" s="1041">
        <f t="shared" si="46"/>
        <v>0</v>
      </c>
      <c r="AX241" s="1041">
        <f t="shared" si="46"/>
        <v>0</v>
      </c>
    </row>
    <row r="242" spans="1:50" s="760" customFormat="1">
      <c r="A242" s="1116"/>
      <c r="B242" s="758"/>
      <c r="C242" s="759"/>
      <c r="D242" s="1116"/>
      <c r="E242" s="1116"/>
      <c r="F242" s="1117"/>
      <c r="G242" s="1116"/>
      <c r="H242" s="1116"/>
      <c r="I242" s="1116"/>
      <c r="J242" s="1116"/>
      <c r="K242" s="1116"/>
      <c r="L242" s="1116"/>
      <c r="M242" s="1116"/>
      <c r="N242" s="1116"/>
      <c r="O242" s="1116"/>
      <c r="P242" s="1116"/>
      <c r="Q242" s="1116"/>
      <c r="R242" s="1116"/>
      <c r="S242" s="1116"/>
      <c r="T242" s="1116"/>
      <c r="U242" s="1116"/>
      <c r="V242" s="1116"/>
      <c r="W242" s="1116"/>
      <c r="X242" s="1116"/>
      <c r="Y242" s="1116"/>
      <c r="Z242" s="1116"/>
      <c r="AA242" s="1116"/>
      <c r="AB242" s="1116"/>
      <c r="AC242" s="1116"/>
      <c r="AD242" s="1116"/>
      <c r="AE242" s="1116"/>
      <c r="AF242" s="1116"/>
      <c r="AG242" s="1116"/>
      <c r="AH242" s="1116"/>
      <c r="AI242" s="1116"/>
      <c r="AJ242" s="1116"/>
      <c r="AK242" s="1116"/>
      <c r="AL242" s="1116"/>
      <c r="AM242" s="1116"/>
      <c r="AN242" s="1116"/>
      <c r="AO242" s="1116"/>
      <c r="AP242" s="1116"/>
      <c r="AQ242" s="1116"/>
      <c r="AR242" s="1116"/>
      <c r="AS242" s="1116"/>
      <c r="AT242" s="1116"/>
      <c r="AU242" s="1116"/>
      <c r="AV242" s="1116"/>
      <c r="AW242" s="1116"/>
      <c r="AX242" s="1116"/>
    </row>
    <row r="243" spans="1:50" s="713" customFormat="1">
      <c r="A243" s="1036"/>
      <c r="B243" s="748"/>
      <c r="C243" s="372"/>
      <c r="D243" s="1036"/>
      <c r="E243" s="1036" t="str">
        <f xml:space="preserve"> IF( $F236 = $F238, E241, E240)</f>
        <v>Carbon tax - percentage method; before inflation adjustment</v>
      </c>
      <c r="F243" s="1114"/>
      <c r="G243" s="1036" t="str">
        <f xml:space="preserve"> Translate!E$730</f>
        <v>US$ / t CO2 eq</v>
      </c>
      <c r="H243" s="1036"/>
      <c r="I243" s="1036"/>
      <c r="J243" s="1036"/>
      <c r="K243" s="1036">
        <f t="shared" ref="K243:AX243" si="47" xml:space="preserve"> IF( $F236 = $F238, K241, K240)</f>
        <v>20</v>
      </c>
      <c r="L243" s="1036">
        <f t="shared" si="47"/>
        <v>20</v>
      </c>
      <c r="M243" s="1036">
        <f t="shared" si="47"/>
        <v>20</v>
      </c>
      <c r="N243" s="1036">
        <f t="shared" si="47"/>
        <v>20</v>
      </c>
      <c r="O243" s="1036">
        <f t="shared" si="47"/>
        <v>20</v>
      </c>
      <c r="P243" s="1036">
        <f t="shared" si="47"/>
        <v>20</v>
      </c>
      <c r="Q243" s="1036">
        <f t="shared" si="47"/>
        <v>20</v>
      </c>
      <c r="R243" s="1036">
        <f t="shared" si="47"/>
        <v>20</v>
      </c>
      <c r="S243" s="1036">
        <f t="shared" si="47"/>
        <v>20</v>
      </c>
      <c r="T243" s="1036">
        <f t="shared" si="47"/>
        <v>20</v>
      </c>
      <c r="U243" s="1036">
        <f t="shared" si="47"/>
        <v>20</v>
      </c>
      <c r="V243" s="1036">
        <f t="shared" si="47"/>
        <v>20</v>
      </c>
      <c r="W243" s="1036">
        <f t="shared" si="47"/>
        <v>20</v>
      </c>
      <c r="X243" s="1036">
        <f t="shared" si="47"/>
        <v>20</v>
      </c>
      <c r="Y243" s="1036">
        <f t="shared" si="47"/>
        <v>20</v>
      </c>
      <c r="Z243" s="1036">
        <f t="shared" si="47"/>
        <v>20</v>
      </c>
      <c r="AA243" s="1036">
        <f t="shared" si="47"/>
        <v>20</v>
      </c>
      <c r="AB243" s="1036">
        <f t="shared" si="47"/>
        <v>20</v>
      </c>
      <c r="AC243" s="1036">
        <f t="shared" si="47"/>
        <v>20</v>
      </c>
      <c r="AD243" s="1036">
        <f t="shared" si="47"/>
        <v>20</v>
      </c>
      <c r="AE243" s="1036">
        <f t="shared" si="47"/>
        <v>20</v>
      </c>
      <c r="AF243" s="1036">
        <f t="shared" si="47"/>
        <v>20</v>
      </c>
      <c r="AG243" s="1036">
        <f t="shared" si="47"/>
        <v>20</v>
      </c>
      <c r="AH243" s="1036">
        <f t="shared" si="47"/>
        <v>20</v>
      </c>
      <c r="AI243" s="1036">
        <f t="shared" si="47"/>
        <v>20</v>
      </c>
      <c r="AJ243" s="1036">
        <f t="shared" si="47"/>
        <v>20</v>
      </c>
      <c r="AK243" s="1036">
        <f t="shared" si="47"/>
        <v>20</v>
      </c>
      <c r="AL243" s="1036">
        <f t="shared" si="47"/>
        <v>20</v>
      </c>
      <c r="AM243" s="1036">
        <f t="shared" si="47"/>
        <v>20</v>
      </c>
      <c r="AN243" s="1036">
        <f t="shared" si="47"/>
        <v>20</v>
      </c>
      <c r="AO243" s="1036">
        <f t="shared" si="47"/>
        <v>20</v>
      </c>
      <c r="AP243" s="1036">
        <f t="shared" si="47"/>
        <v>20</v>
      </c>
      <c r="AQ243" s="1036">
        <f t="shared" si="47"/>
        <v>20</v>
      </c>
      <c r="AR243" s="1036">
        <f t="shared" si="47"/>
        <v>20</v>
      </c>
      <c r="AS243" s="1036">
        <f t="shared" si="47"/>
        <v>20</v>
      </c>
      <c r="AT243" s="1036">
        <f t="shared" si="47"/>
        <v>20</v>
      </c>
      <c r="AU243" s="1036">
        <f t="shared" si="47"/>
        <v>20</v>
      </c>
      <c r="AV243" s="1036">
        <f t="shared" si="47"/>
        <v>20</v>
      </c>
      <c r="AW243" s="1036">
        <f t="shared" si="47"/>
        <v>20</v>
      </c>
      <c r="AX243" s="1036">
        <f t="shared" si="47"/>
        <v>20</v>
      </c>
    </row>
    <row r="244" spans="1:50" s="760" customFormat="1">
      <c r="A244" s="1116"/>
      <c r="B244" s="758"/>
      <c r="C244" s="759"/>
      <c r="D244" s="1116"/>
      <c r="E244" s="1116" t="str">
        <f t="shared" ref="E244:AX244" si="48">E209</f>
        <v>Carbon tax inflation index applicable</v>
      </c>
      <c r="F244" s="1117">
        <f t="shared" si="48"/>
        <v>0</v>
      </c>
      <c r="G244" s="1116" t="str">
        <f t="shared" si="48"/>
        <v>Index</v>
      </c>
      <c r="H244" s="1116">
        <f t="shared" si="48"/>
        <v>0</v>
      </c>
      <c r="I244" s="1116">
        <f t="shared" si="48"/>
        <v>0</v>
      </c>
      <c r="J244" s="1116">
        <f t="shared" si="48"/>
        <v>0</v>
      </c>
      <c r="K244" s="1116">
        <f t="shared" si="48"/>
        <v>1</v>
      </c>
      <c r="L244" s="1116">
        <f t="shared" si="48"/>
        <v>1</v>
      </c>
      <c r="M244" s="1116">
        <f t="shared" si="48"/>
        <v>1</v>
      </c>
      <c r="N244" s="1116">
        <f t="shared" si="48"/>
        <v>1</v>
      </c>
      <c r="O244" s="1116">
        <f t="shared" si="48"/>
        <v>1</v>
      </c>
      <c r="P244" s="1116">
        <f t="shared" si="48"/>
        <v>1</v>
      </c>
      <c r="Q244" s="1116">
        <f t="shared" si="48"/>
        <v>1</v>
      </c>
      <c r="R244" s="1116">
        <f t="shared" si="48"/>
        <v>1</v>
      </c>
      <c r="S244" s="1116">
        <f t="shared" si="48"/>
        <v>1</v>
      </c>
      <c r="T244" s="1116">
        <f t="shared" si="48"/>
        <v>1</v>
      </c>
      <c r="U244" s="1116">
        <f t="shared" si="48"/>
        <v>1</v>
      </c>
      <c r="V244" s="1116">
        <f t="shared" si="48"/>
        <v>1</v>
      </c>
      <c r="W244" s="1116">
        <f t="shared" si="48"/>
        <v>1</v>
      </c>
      <c r="X244" s="1116">
        <f t="shared" si="48"/>
        <v>1</v>
      </c>
      <c r="Y244" s="1116">
        <f t="shared" si="48"/>
        <v>1</v>
      </c>
      <c r="Z244" s="1116">
        <f t="shared" si="48"/>
        <v>1</v>
      </c>
      <c r="AA244" s="1116">
        <f t="shared" si="48"/>
        <v>1</v>
      </c>
      <c r="AB244" s="1116">
        <f t="shared" si="48"/>
        <v>1</v>
      </c>
      <c r="AC244" s="1116">
        <f t="shared" si="48"/>
        <v>1</v>
      </c>
      <c r="AD244" s="1116">
        <f t="shared" si="48"/>
        <v>1</v>
      </c>
      <c r="AE244" s="1116">
        <f t="shared" si="48"/>
        <v>1</v>
      </c>
      <c r="AF244" s="1116">
        <f t="shared" si="48"/>
        <v>1</v>
      </c>
      <c r="AG244" s="1116">
        <f t="shared" si="48"/>
        <v>1</v>
      </c>
      <c r="AH244" s="1116">
        <f t="shared" si="48"/>
        <v>1</v>
      </c>
      <c r="AI244" s="1116">
        <f t="shared" si="48"/>
        <v>1</v>
      </c>
      <c r="AJ244" s="1116">
        <f t="shared" si="48"/>
        <v>1</v>
      </c>
      <c r="AK244" s="1116">
        <f t="shared" si="48"/>
        <v>1</v>
      </c>
      <c r="AL244" s="1116">
        <f t="shared" si="48"/>
        <v>1</v>
      </c>
      <c r="AM244" s="1116">
        <f t="shared" si="48"/>
        <v>1</v>
      </c>
      <c r="AN244" s="1116">
        <f t="shared" si="48"/>
        <v>1</v>
      </c>
      <c r="AO244" s="1116">
        <f t="shared" si="48"/>
        <v>1</v>
      </c>
      <c r="AP244" s="1116">
        <f t="shared" si="48"/>
        <v>1</v>
      </c>
      <c r="AQ244" s="1116">
        <f t="shared" si="48"/>
        <v>1</v>
      </c>
      <c r="AR244" s="1116">
        <f t="shared" si="48"/>
        <v>1</v>
      </c>
      <c r="AS244" s="1116">
        <f t="shared" si="48"/>
        <v>1</v>
      </c>
      <c r="AT244" s="1116">
        <f t="shared" si="48"/>
        <v>1</v>
      </c>
      <c r="AU244" s="1116">
        <f t="shared" si="48"/>
        <v>1</v>
      </c>
      <c r="AV244" s="1116">
        <f t="shared" si="48"/>
        <v>1</v>
      </c>
      <c r="AW244" s="1116">
        <f t="shared" si="48"/>
        <v>1</v>
      </c>
      <c r="AX244" s="1116">
        <f t="shared" si="48"/>
        <v>1</v>
      </c>
    </row>
    <row r="245" spans="1:50" s="765" customFormat="1">
      <c r="A245" s="1122"/>
      <c r="B245" s="775"/>
      <c r="C245" s="584"/>
      <c r="D245" s="1123"/>
      <c r="E245" s="1122" t="str">
        <f>Translate!$E$183</f>
        <v>Carbon tax rate applicable</v>
      </c>
      <c r="F245" s="1123"/>
      <c r="G245" s="1122" t="str">
        <f xml:space="preserve"> Translate!E$730</f>
        <v>US$ / t CO2 eq</v>
      </c>
      <c r="H245" s="1122"/>
      <c r="I245" s="1122"/>
      <c r="J245" s="1122"/>
      <c r="K245" s="1122">
        <f xml:space="preserve"> K243 * K244</f>
        <v>20</v>
      </c>
      <c r="L245" s="1122">
        <f t="shared" ref="L245:AX245" si="49" xml:space="preserve"> L243 * L244</f>
        <v>20</v>
      </c>
      <c r="M245" s="1122">
        <f t="shared" si="49"/>
        <v>20</v>
      </c>
      <c r="N245" s="1122">
        <f t="shared" si="49"/>
        <v>20</v>
      </c>
      <c r="O245" s="1122">
        <f t="shared" si="49"/>
        <v>20</v>
      </c>
      <c r="P245" s="1122">
        <f t="shared" si="49"/>
        <v>20</v>
      </c>
      <c r="Q245" s="1122">
        <f t="shared" si="49"/>
        <v>20</v>
      </c>
      <c r="R245" s="1122">
        <f t="shared" si="49"/>
        <v>20</v>
      </c>
      <c r="S245" s="1122">
        <f t="shared" si="49"/>
        <v>20</v>
      </c>
      <c r="T245" s="1122">
        <f t="shared" si="49"/>
        <v>20</v>
      </c>
      <c r="U245" s="1122">
        <f t="shared" si="49"/>
        <v>20</v>
      </c>
      <c r="V245" s="1122">
        <f t="shared" si="49"/>
        <v>20</v>
      </c>
      <c r="W245" s="1122">
        <f t="shared" si="49"/>
        <v>20</v>
      </c>
      <c r="X245" s="1122">
        <f t="shared" si="49"/>
        <v>20</v>
      </c>
      <c r="Y245" s="1122">
        <f t="shared" si="49"/>
        <v>20</v>
      </c>
      <c r="Z245" s="1122">
        <f t="shared" si="49"/>
        <v>20</v>
      </c>
      <c r="AA245" s="1122">
        <f t="shared" si="49"/>
        <v>20</v>
      </c>
      <c r="AB245" s="1122">
        <f t="shared" si="49"/>
        <v>20</v>
      </c>
      <c r="AC245" s="1122">
        <f t="shared" si="49"/>
        <v>20</v>
      </c>
      <c r="AD245" s="1122">
        <f t="shared" si="49"/>
        <v>20</v>
      </c>
      <c r="AE245" s="1122">
        <f t="shared" si="49"/>
        <v>20</v>
      </c>
      <c r="AF245" s="1122">
        <f t="shared" si="49"/>
        <v>20</v>
      </c>
      <c r="AG245" s="1122">
        <f t="shared" si="49"/>
        <v>20</v>
      </c>
      <c r="AH245" s="1122">
        <f t="shared" si="49"/>
        <v>20</v>
      </c>
      <c r="AI245" s="1122">
        <f t="shared" si="49"/>
        <v>20</v>
      </c>
      <c r="AJ245" s="1122">
        <f t="shared" si="49"/>
        <v>20</v>
      </c>
      <c r="AK245" s="1122">
        <f t="shared" si="49"/>
        <v>20</v>
      </c>
      <c r="AL245" s="1122">
        <f t="shared" si="49"/>
        <v>20</v>
      </c>
      <c r="AM245" s="1122">
        <f t="shared" si="49"/>
        <v>20</v>
      </c>
      <c r="AN245" s="1122">
        <f t="shared" si="49"/>
        <v>20</v>
      </c>
      <c r="AO245" s="1122">
        <f t="shared" si="49"/>
        <v>20</v>
      </c>
      <c r="AP245" s="1122">
        <f t="shared" si="49"/>
        <v>20</v>
      </c>
      <c r="AQ245" s="1122">
        <f t="shared" si="49"/>
        <v>20</v>
      </c>
      <c r="AR245" s="1122">
        <f t="shared" si="49"/>
        <v>20</v>
      </c>
      <c r="AS245" s="1122">
        <f t="shared" si="49"/>
        <v>20</v>
      </c>
      <c r="AT245" s="1122">
        <f t="shared" si="49"/>
        <v>20</v>
      </c>
      <c r="AU245" s="1122">
        <f t="shared" si="49"/>
        <v>20</v>
      </c>
      <c r="AV245" s="1122">
        <f t="shared" si="49"/>
        <v>20</v>
      </c>
      <c r="AW245" s="1122">
        <f t="shared" si="49"/>
        <v>20</v>
      </c>
      <c r="AX245" s="1122">
        <f t="shared" si="49"/>
        <v>20</v>
      </c>
    </row>
    <row r="246" spans="1:50" s="764" customFormat="1" ht="15" customHeight="1">
      <c r="A246" s="347"/>
      <c r="B246" s="643"/>
      <c r="C246" s="333"/>
      <c r="D246" s="1112"/>
      <c r="E246" s="366"/>
      <c r="F246" s="366"/>
      <c r="G246" s="366"/>
      <c r="H246" s="366"/>
      <c r="I246" s="366"/>
      <c r="J246" s="366"/>
      <c r="K246" s="366"/>
      <c r="L246" s="366"/>
      <c r="M246" s="366"/>
      <c r="N246" s="366"/>
      <c r="O246" s="366"/>
      <c r="P246" s="366"/>
      <c r="Q246" s="366"/>
      <c r="R246" s="366"/>
      <c r="S246" s="366"/>
      <c r="T246" s="366"/>
      <c r="U246" s="366"/>
      <c r="V246" s="366"/>
      <c r="W246" s="366"/>
      <c r="X246" s="366"/>
      <c r="Y246" s="366"/>
      <c r="Z246" s="366"/>
      <c r="AA246" s="366"/>
      <c r="AB246" s="366"/>
      <c r="AC246" s="366"/>
      <c r="AD246" s="366"/>
      <c r="AE246" s="366"/>
      <c r="AF246" s="366"/>
      <c r="AG246" s="366"/>
      <c r="AH246" s="366"/>
      <c r="AI246" s="366"/>
      <c r="AJ246" s="366"/>
      <c r="AK246" s="366"/>
      <c r="AL246" s="366"/>
      <c r="AM246" s="366"/>
      <c r="AN246" s="366"/>
      <c r="AO246" s="366"/>
      <c r="AP246" s="366"/>
      <c r="AQ246" s="366"/>
      <c r="AR246" s="366"/>
      <c r="AS246" s="366"/>
      <c r="AT246" s="366"/>
      <c r="AU246" s="366"/>
      <c r="AV246" s="366"/>
      <c r="AW246" s="366"/>
      <c r="AX246" s="366"/>
    </row>
    <row r="247" spans="1:50" s="764" customFormat="1" ht="15" customHeight="1">
      <c r="A247" s="347"/>
      <c r="B247" s="643"/>
      <c r="C247" s="333"/>
      <c r="D247" s="1112"/>
      <c r="E247" s="432" t="str">
        <f t="shared" ref="E247:AX247" si="50">E187</f>
        <v>Total GHG emissions applicable for carbon tax</v>
      </c>
      <c r="F247" s="432">
        <f t="shared" si="50"/>
        <v>0</v>
      </c>
      <c r="G247" s="432" t="str">
        <f t="shared" si="50"/>
        <v>Mn t CO2 eq</v>
      </c>
      <c r="H247" s="432">
        <f t="shared" si="50"/>
        <v>0</v>
      </c>
      <c r="I247" s="432">
        <f t="shared" ca="1" si="50"/>
        <v>0</v>
      </c>
      <c r="J247" s="432">
        <f t="shared" si="50"/>
        <v>0</v>
      </c>
      <c r="K247" s="432">
        <f t="shared" ca="1" si="50"/>
        <v>0</v>
      </c>
      <c r="L247" s="432">
        <f t="shared" ca="1" si="50"/>
        <v>0</v>
      </c>
      <c r="M247" s="432">
        <f t="shared" ca="1" si="50"/>
        <v>0</v>
      </c>
      <c r="N247" s="432">
        <f t="shared" ca="1" si="50"/>
        <v>0</v>
      </c>
      <c r="O247" s="432">
        <f t="shared" ca="1" si="50"/>
        <v>0</v>
      </c>
      <c r="P247" s="432">
        <f t="shared" ca="1" si="50"/>
        <v>0</v>
      </c>
      <c r="Q247" s="432">
        <f t="shared" ca="1" si="50"/>
        <v>0</v>
      </c>
      <c r="R247" s="432">
        <f t="shared" ca="1" si="50"/>
        <v>0</v>
      </c>
      <c r="S247" s="432">
        <f t="shared" ca="1" si="50"/>
        <v>0</v>
      </c>
      <c r="T247" s="432">
        <f t="shared" ca="1" si="50"/>
        <v>0</v>
      </c>
      <c r="U247" s="432">
        <f t="shared" ca="1" si="50"/>
        <v>0</v>
      </c>
      <c r="V247" s="432">
        <f t="shared" ca="1" si="50"/>
        <v>0</v>
      </c>
      <c r="W247" s="432">
        <f t="shared" ca="1" si="50"/>
        <v>0</v>
      </c>
      <c r="X247" s="432">
        <f t="shared" ca="1" si="50"/>
        <v>0</v>
      </c>
      <c r="Y247" s="432">
        <f t="shared" ca="1" si="50"/>
        <v>0</v>
      </c>
      <c r="Z247" s="432">
        <f t="shared" ca="1" si="50"/>
        <v>0</v>
      </c>
      <c r="AA247" s="432">
        <f t="shared" ca="1" si="50"/>
        <v>0</v>
      </c>
      <c r="AB247" s="432">
        <f t="shared" ca="1" si="50"/>
        <v>0</v>
      </c>
      <c r="AC247" s="432">
        <f t="shared" ca="1" si="50"/>
        <v>0</v>
      </c>
      <c r="AD247" s="432">
        <f t="shared" ca="1" si="50"/>
        <v>0</v>
      </c>
      <c r="AE247" s="432">
        <f t="shared" ca="1" si="50"/>
        <v>0</v>
      </c>
      <c r="AF247" s="432">
        <f t="shared" ca="1" si="50"/>
        <v>0</v>
      </c>
      <c r="AG247" s="432">
        <f t="shared" ca="1" si="50"/>
        <v>0</v>
      </c>
      <c r="AH247" s="432">
        <f t="shared" ca="1" si="50"/>
        <v>0</v>
      </c>
      <c r="AI247" s="432">
        <f t="shared" ca="1" si="50"/>
        <v>0</v>
      </c>
      <c r="AJ247" s="432">
        <f t="shared" ca="1" si="50"/>
        <v>0</v>
      </c>
      <c r="AK247" s="432">
        <f t="shared" ca="1" si="50"/>
        <v>0</v>
      </c>
      <c r="AL247" s="432">
        <f t="shared" ca="1" si="50"/>
        <v>0</v>
      </c>
      <c r="AM247" s="432">
        <f t="shared" ca="1" si="50"/>
        <v>0</v>
      </c>
      <c r="AN247" s="432">
        <f t="shared" ca="1" si="50"/>
        <v>0</v>
      </c>
      <c r="AO247" s="432">
        <f t="shared" ca="1" si="50"/>
        <v>0</v>
      </c>
      <c r="AP247" s="432">
        <f t="shared" ca="1" si="50"/>
        <v>0</v>
      </c>
      <c r="AQ247" s="432">
        <f t="shared" ca="1" si="50"/>
        <v>0</v>
      </c>
      <c r="AR247" s="432">
        <f t="shared" ca="1" si="50"/>
        <v>0</v>
      </c>
      <c r="AS247" s="432">
        <f t="shared" ca="1" si="50"/>
        <v>0</v>
      </c>
      <c r="AT247" s="432">
        <f t="shared" ca="1" si="50"/>
        <v>0</v>
      </c>
      <c r="AU247" s="432">
        <f t="shared" ca="1" si="50"/>
        <v>0</v>
      </c>
      <c r="AV247" s="432">
        <f t="shared" ca="1" si="50"/>
        <v>0</v>
      </c>
      <c r="AW247" s="432">
        <f t="shared" ca="1" si="50"/>
        <v>0</v>
      </c>
      <c r="AX247" s="432">
        <f t="shared" ca="1" si="50"/>
        <v>0</v>
      </c>
    </row>
    <row r="248" spans="1:50" s="764" customFormat="1" ht="15" customHeight="1">
      <c r="A248" s="347"/>
      <c r="B248" s="643"/>
      <c r="C248" s="333"/>
      <c r="D248" s="1112"/>
      <c r="E248" s="22" t="str">
        <f xml:space="preserve"> E$245</f>
        <v>Carbon tax rate applicable</v>
      </c>
      <c r="F248" s="22">
        <f t="shared" ref="F248:AX248" si="51" xml:space="preserve"> F$245</f>
        <v>0</v>
      </c>
      <c r="G248" s="22" t="str">
        <f t="shared" si="51"/>
        <v>US$ / t CO2 eq</v>
      </c>
      <c r="H248" s="22">
        <f t="shared" si="51"/>
        <v>0</v>
      </c>
      <c r="I248" s="22">
        <f t="shared" si="51"/>
        <v>0</v>
      </c>
      <c r="J248" s="22">
        <f t="shared" si="51"/>
        <v>0</v>
      </c>
      <c r="K248" s="22">
        <f t="shared" si="51"/>
        <v>20</v>
      </c>
      <c r="L248" s="22">
        <f t="shared" si="51"/>
        <v>20</v>
      </c>
      <c r="M248" s="22">
        <f t="shared" si="51"/>
        <v>20</v>
      </c>
      <c r="N248" s="22">
        <f t="shared" si="51"/>
        <v>20</v>
      </c>
      <c r="O248" s="22">
        <f t="shared" si="51"/>
        <v>20</v>
      </c>
      <c r="P248" s="22">
        <f t="shared" si="51"/>
        <v>20</v>
      </c>
      <c r="Q248" s="22">
        <f t="shared" si="51"/>
        <v>20</v>
      </c>
      <c r="R248" s="22">
        <f t="shared" si="51"/>
        <v>20</v>
      </c>
      <c r="S248" s="22">
        <f t="shared" si="51"/>
        <v>20</v>
      </c>
      <c r="T248" s="22">
        <f t="shared" si="51"/>
        <v>20</v>
      </c>
      <c r="U248" s="22">
        <f t="shared" si="51"/>
        <v>20</v>
      </c>
      <c r="V248" s="22">
        <f t="shared" si="51"/>
        <v>20</v>
      </c>
      <c r="W248" s="22">
        <f t="shared" si="51"/>
        <v>20</v>
      </c>
      <c r="X248" s="22">
        <f t="shared" si="51"/>
        <v>20</v>
      </c>
      <c r="Y248" s="22">
        <f t="shared" si="51"/>
        <v>20</v>
      </c>
      <c r="Z248" s="22">
        <f t="shared" si="51"/>
        <v>20</v>
      </c>
      <c r="AA248" s="22">
        <f t="shared" si="51"/>
        <v>20</v>
      </c>
      <c r="AB248" s="22">
        <f t="shared" si="51"/>
        <v>20</v>
      </c>
      <c r="AC248" s="22">
        <f t="shared" si="51"/>
        <v>20</v>
      </c>
      <c r="AD248" s="22">
        <f t="shared" si="51"/>
        <v>20</v>
      </c>
      <c r="AE248" s="22">
        <f t="shared" si="51"/>
        <v>20</v>
      </c>
      <c r="AF248" s="22">
        <f t="shared" si="51"/>
        <v>20</v>
      </c>
      <c r="AG248" s="22">
        <f t="shared" si="51"/>
        <v>20</v>
      </c>
      <c r="AH248" s="22">
        <f t="shared" si="51"/>
        <v>20</v>
      </c>
      <c r="AI248" s="22">
        <f t="shared" si="51"/>
        <v>20</v>
      </c>
      <c r="AJ248" s="22">
        <f t="shared" si="51"/>
        <v>20</v>
      </c>
      <c r="AK248" s="22">
        <f t="shared" si="51"/>
        <v>20</v>
      </c>
      <c r="AL248" s="22">
        <f t="shared" si="51"/>
        <v>20</v>
      </c>
      <c r="AM248" s="22">
        <f t="shared" si="51"/>
        <v>20</v>
      </c>
      <c r="AN248" s="22">
        <f t="shared" si="51"/>
        <v>20</v>
      </c>
      <c r="AO248" s="22">
        <f t="shared" si="51"/>
        <v>20</v>
      </c>
      <c r="AP248" s="22">
        <f t="shared" si="51"/>
        <v>20</v>
      </c>
      <c r="AQ248" s="22">
        <f t="shared" si="51"/>
        <v>20</v>
      </c>
      <c r="AR248" s="22">
        <f t="shared" si="51"/>
        <v>20</v>
      </c>
      <c r="AS248" s="22">
        <f t="shared" si="51"/>
        <v>20</v>
      </c>
      <c r="AT248" s="22">
        <f t="shared" si="51"/>
        <v>20</v>
      </c>
      <c r="AU248" s="22">
        <f t="shared" si="51"/>
        <v>20</v>
      </c>
      <c r="AV248" s="22">
        <f t="shared" si="51"/>
        <v>20</v>
      </c>
      <c r="AW248" s="22">
        <f t="shared" si="51"/>
        <v>20</v>
      </c>
      <c r="AX248" s="22">
        <f t="shared" si="51"/>
        <v>20</v>
      </c>
    </row>
    <row r="249" spans="1:50" s="774" customFormat="1" ht="15" customHeight="1">
      <c r="A249" s="569"/>
      <c r="B249" s="692"/>
      <c r="C249" s="554"/>
      <c r="D249" s="1124"/>
      <c r="E249" s="1108" t="str">
        <f>Translate!$E$26</f>
        <v>Carbon tax</v>
      </c>
      <c r="F249" s="1108"/>
      <c r="G249" s="1108" t="str">
        <f xml:space="preserve"> Translate!E$10</f>
        <v>US$ mn</v>
      </c>
      <c r="H249" s="1108"/>
      <c r="I249" s="1108">
        <f ca="1" xml:space="preserve"> SUM(K249:AX249)</f>
        <v>0</v>
      </c>
      <c r="J249" s="1108"/>
      <c r="K249" s="1108">
        <f ca="1" xml:space="preserve"> K248 * K247</f>
        <v>0</v>
      </c>
      <c r="L249" s="1108">
        <f t="shared" ref="L249:AX249" ca="1" si="52" xml:space="preserve"> L248 * L247</f>
        <v>0</v>
      </c>
      <c r="M249" s="1108">
        <f t="shared" ca="1" si="52"/>
        <v>0</v>
      </c>
      <c r="N249" s="1108">
        <f t="shared" ca="1" si="52"/>
        <v>0</v>
      </c>
      <c r="O249" s="1108">
        <f t="shared" ca="1" si="52"/>
        <v>0</v>
      </c>
      <c r="P249" s="1108">
        <f t="shared" ca="1" si="52"/>
        <v>0</v>
      </c>
      <c r="Q249" s="1108">
        <f t="shared" ca="1" si="52"/>
        <v>0</v>
      </c>
      <c r="R249" s="1108">
        <f t="shared" ca="1" si="52"/>
        <v>0</v>
      </c>
      <c r="S249" s="1108">
        <f t="shared" ca="1" si="52"/>
        <v>0</v>
      </c>
      <c r="T249" s="1108">
        <f t="shared" ca="1" si="52"/>
        <v>0</v>
      </c>
      <c r="U249" s="1108">
        <f t="shared" ca="1" si="52"/>
        <v>0</v>
      </c>
      <c r="V249" s="1108">
        <f t="shared" ca="1" si="52"/>
        <v>0</v>
      </c>
      <c r="W249" s="1108">
        <f t="shared" ca="1" si="52"/>
        <v>0</v>
      </c>
      <c r="X249" s="1108">
        <f t="shared" ca="1" si="52"/>
        <v>0</v>
      </c>
      <c r="Y249" s="1108">
        <f t="shared" ca="1" si="52"/>
        <v>0</v>
      </c>
      <c r="Z249" s="1108">
        <f t="shared" ca="1" si="52"/>
        <v>0</v>
      </c>
      <c r="AA249" s="1108">
        <f t="shared" ca="1" si="52"/>
        <v>0</v>
      </c>
      <c r="AB249" s="1108">
        <f t="shared" ca="1" si="52"/>
        <v>0</v>
      </c>
      <c r="AC249" s="1108">
        <f t="shared" ca="1" si="52"/>
        <v>0</v>
      </c>
      <c r="AD249" s="1108">
        <f t="shared" ca="1" si="52"/>
        <v>0</v>
      </c>
      <c r="AE249" s="1108">
        <f t="shared" ca="1" si="52"/>
        <v>0</v>
      </c>
      <c r="AF249" s="1108">
        <f t="shared" ca="1" si="52"/>
        <v>0</v>
      </c>
      <c r="AG249" s="1108">
        <f t="shared" ca="1" si="52"/>
        <v>0</v>
      </c>
      <c r="AH249" s="1108">
        <f t="shared" ca="1" si="52"/>
        <v>0</v>
      </c>
      <c r="AI249" s="1108">
        <f t="shared" ca="1" si="52"/>
        <v>0</v>
      </c>
      <c r="AJ249" s="1108">
        <f t="shared" ca="1" si="52"/>
        <v>0</v>
      </c>
      <c r="AK249" s="1108">
        <f t="shared" ca="1" si="52"/>
        <v>0</v>
      </c>
      <c r="AL249" s="1108">
        <f t="shared" ca="1" si="52"/>
        <v>0</v>
      </c>
      <c r="AM249" s="1108">
        <f t="shared" ca="1" si="52"/>
        <v>0</v>
      </c>
      <c r="AN249" s="1108">
        <f t="shared" ca="1" si="52"/>
        <v>0</v>
      </c>
      <c r="AO249" s="1108">
        <f t="shared" ca="1" si="52"/>
        <v>0</v>
      </c>
      <c r="AP249" s="1108">
        <f t="shared" ca="1" si="52"/>
        <v>0</v>
      </c>
      <c r="AQ249" s="1108">
        <f t="shared" ca="1" si="52"/>
        <v>0</v>
      </c>
      <c r="AR249" s="1108">
        <f t="shared" ca="1" si="52"/>
        <v>0</v>
      </c>
      <c r="AS249" s="1108">
        <f t="shared" ca="1" si="52"/>
        <v>0</v>
      </c>
      <c r="AT249" s="1108">
        <f t="shared" ca="1" si="52"/>
        <v>0</v>
      </c>
      <c r="AU249" s="1108">
        <f t="shared" ca="1" si="52"/>
        <v>0</v>
      </c>
      <c r="AV249" s="1108">
        <f t="shared" ca="1" si="52"/>
        <v>0</v>
      </c>
      <c r="AW249" s="1108">
        <f t="shared" ca="1" si="52"/>
        <v>0</v>
      </c>
      <c r="AX249" s="1108">
        <f t="shared" ca="1" si="52"/>
        <v>0</v>
      </c>
    </row>
    <row r="250" spans="1:50" s="764" customFormat="1" ht="15" customHeight="1">
      <c r="A250" s="347"/>
      <c r="B250" s="643"/>
      <c r="C250" s="333"/>
      <c r="D250" s="1112"/>
      <c r="E250" s="1024"/>
      <c r="F250" s="1024"/>
      <c r="G250" s="1024"/>
      <c r="H250" s="1024"/>
      <c r="I250" s="1024"/>
      <c r="J250" s="1024"/>
      <c r="K250" s="1024"/>
      <c r="L250" s="1024"/>
      <c r="M250" s="1024"/>
      <c r="N250" s="1024"/>
      <c r="O250" s="1024"/>
      <c r="P250" s="1024"/>
      <c r="Q250" s="1024"/>
      <c r="R250" s="1024"/>
      <c r="S250" s="1024"/>
      <c r="T250" s="1024"/>
      <c r="U250" s="1024"/>
      <c r="V250" s="1024"/>
      <c r="W250" s="1024"/>
      <c r="X250" s="1024"/>
      <c r="Y250" s="1024"/>
      <c r="Z250" s="1024"/>
      <c r="AA250" s="1024"/>
      <c r="AB250" s="1024"/>
      <c r="AC250" s="1024"/>
      <c r="AD250" s="1024"/>
      <c r="AE250" s="1024"/>
      <c r="AF250" s="1024"/>
      <c r="AG250" s="1024"/>
      <c r="AH250" s="1024"/>
      <c r="AI250" s="1024"/>
      <c r="AJ250" s="1024"/>
      <c r="AK250" s="1024"/>
      <c r="AL250" s="1024"/>
      <c r="AM250" s="1024"/>
      <c r="AN250" s="1024"/>
      <c r="AO250" s="1024"/>
      <c r="AP250" s="1024"/>
      <c r="AQ250" s="1024"/>
      <c r="AR250" s="1024"/>
      <c r="AS250" s="1024"/>
      <c r="AT250" s="1024"/>
      <c r="AU250" s="1024"/>
      <c r="AV250" s="1024"/>
      <c r="AW250" s="1024"/>
      <c r="AX250" s="1024"/>
    </row>
    <row r="251" spans="1:50" s="764" customFormat="1" ht="15" customHeight="1">
      <c r="A251" s="347"/>
      <c r="B251" s="931"/>
      <c r="C251" s="333"/>
      <c r="D251" s="1077"/>
      <c r="E251" s="1024" t="str">
        <f>E249</f>
        <v>Carbon tax</v>
      </c>
      <c r="F251" s="1024">
        <f t="shared" ref="F251:AX251" si="53">F249</f>
        <v>0</v>
      </c>
      <c r="G251" s="1024" t="str">
        <f t="shared" si="53"/>
        <v>US$ mn</v>
      </c>
      <c r="H251" s="1024">
        <f t="shared" si="53"/>
        <v>0</v>
      </c>
      <c r="I251" s="1024">
        <f t="shared" ca="1" si="53"/>
        <v>0</v>
      </c>
      <c r="J251" s="1024">
        <f t="shared" si="53"/>
        <v>0</v>
      </c>
      <c r="K251" s="1024">
        <f t="shared" ca="1" si="53"/>
        <v>0</v>
      </c>
      <c r="L251" s="1024">
        <f t="shared" ca="1" si="53"/>
        <v>0</v>
      </c>
      <c r="M251" s="1024">
        <f t="shared" ca="1" si="53"/>
        <v>0</v>
      </c>
      <c r="N251" s="1024">
        <f t="shared" ca="1" si="53"/>
        <v>0</v>
      </c>
      <c r="O251" s="1024">
        <f t="shared" ca="1" si="53"/>
        <v>0</v>
      </c>
      <c r="P251" s="1024">
        <f t="shared" ca="1" si="53"/>
        <v>0</v>
      </c>
      <c r="Q251" s="1024">
        <f t="shared" ca="1" si="53"/>
        <v>0</v>
      </c>
      <c r="R251" s="1024">
        <f t="shared" ca="1" si="53"/>
        <v>0</v>
      </c>
      <c r="S251" s="1024">
        <f t="shared" ca="1" si="53"/>
        <v>0</v>
      </c>
      <c r="T251" s="1024">
        <f t="shared" ca="1" si="53"/>
        <v>0</v>
      </c>
      <c r="U251" s="1024">
        <f t="shared" ca="1" si="53"/>
        <v>0</v>
      </c>
      <c r="V251" s="1024">
        <f t="shared" ca="1" si="53"/>
        <v>0</v>
      </c>
      <c r="W251" s="1024">
        <f t="shared" ca="1" si="53"/>
        <v>0</v>
      </c>
      <c r="X251" s="1024">
        <f t="shared" ca="1" si="53"/>
        <v>0</v>
      </c>
      <c r="Y251" s="1024">
        <f t="shared" ca="1" si="53"/>
        <v>0</v>
      </c>
      <c r="Z251" s="1024">
        <f t="shared" ca="1" si="53"/>
        <v>0</v>
      </c>
      <c r="AA251" s="1024">
        <f t="shared" ca="1" si="53"/>
        <v>0</v>
      </c>
      <c r="AB251" s="1024">
        <f t="shared" ca="1" si="53"/>
        <v>0</v>
      </c>
      <c r="AC251" s="1024">
        <f t="shared" ca="1" si="53"/>
        <v>0</v>
      </c>
      <c r="AD251" s="1024">
        <f t="shared" ca="1" si="53"/>
        <v>0</v>
      </c>
      <c r="AE251" s="1024">
        <f t="shared" ca="1" si="53"/>
        <v>0</v>
      </c>
      <c r="AF251" s="1024">
        <f t="shared" ca="1" si="53"/>
        <v>0</v>
      </c>
      <c r="AG251" s="1024">
        <f t="shared" ca="1" si="53"/>
        <v>0</v>
      </c>
      <c r="AH251" s="1024">
        <f t="shared" ca="1" si="53"/>
        <v>0</v>
      </c>
      <c r="AI251" s="1024">
        <f t="shared" ca="1" si="53"/>
        <v>0</v>
      </c>
      <c r="AJ251" s="1024">
        <f t="shared" ca="1" si="53"/>
        <v>0</v>
      </c>
      <c r="AK251" s="1024">
        <f t="shared" ca="1" si="53"/>
        <v>0</v>
      </c>
      <c r="AL251" s="1024">
        <f t="shared" ca="1" si="53"/>
        <v>0</v>
      </c>
      <c r="AM251" s="1024">
        <f t="shared" ca="1" si="53"/>
        <v>0</v>
      </c>
      <c r="AN251" s="1024">
        <f t="shared" ca="1" si="53"/>
        <v>0</v>
      </c>
      <c r="AO251" s="1024">
        <f t="shared" ca="1" si="53"/>
        <v>0</v>
      </c>
      <c r="AP251" s="1024">
        <f t="shared" ca="1" si="53"/>
        <v>0</v>
      </c>
      <c r="AQ251" s="1024">
        <f t="shared" ca="1" si="53"/>
        <v>0</v>
      </c>
      <c r="AR251" s="1024">
        <f t="shared" ca="1" si="53"/>
        <v>0</v>
      </c>
      <c r="AS251" s="1024">
        <f t="shared" ca="1" si="53"/>
        <v>0</v>
      </c>
      <c r="AT251" s="1024">
        <f t="shared" ca="1" si="53"/>
        <v>0</v>
      </c>
      <c r="AU251" s="1024">
        <f t="shared" ca="1" si="53"/>
        <v>0</v>
      </c>
      <c r="AV251" s="1024">
        <f t="shared" ca="1" si="53"/>
        <v>0</v>
      </c>
      <c r="AW251" s="1024">
        <f t="shared" ca="1" si="53"/>
        <v>0</v>
      </c>
      <c r="AX251" s="1024">
        <f t="shared" ca="1" si="53"/>
        <v>0</v>
      </c>
    </row>
    <row r="252" spans="1:50" s="221" customFormat="1" ht="15" customHeight="1">
      <c r="A252" s="371"/>
      <c r="B252" s="643"/>
      <c r="C252" s="363"/>
      <c r="D252" s="365"/>
      <c r="E252" s="366" t="str">
        <f xml:space="preserve"> ProjectCashflows!E$236</f>
        <v>Sales revenues: net, after ELT</v>
      </c>
      <c r="F252" s="366">
        <f xml:space="preserve"> ProjectCashflows!F$236</f>
        <v>0</v>
      </c>
      <c r="G252" s="366" t="str">
        <f xml:space="preserve"> ProjectCashflows!G$236</f>
        <v>US$ mn</v>
      </c>
      <c r="H252" s="366">
        <f xml:space="preserve"> ProjectCashflows!H$236</f>
        <v>0</v>
      </c>
      <c r="I252" s="366">
        <f ca="1" xml:space="preserve"> ProjectCashflows!I$236</f>
        <v>3733.2780191354932</v>
      </c>
      <c r="J252" s="366">
        <f xml:space="preserve"> ProjectCashflows!J$236</f>
        <v>0</v>
      </c>
      <c r="K252" s="366">
        <f ca="1" xml:space="preserve"> ProjectCashflows!K$236</f>
        <v>0</v>
      </c>
      <c r="L252" s="366">
        <f ca="1" xml:space="preserve"> ProjectCashflows!L$236</f>
        <v>0</v>
      </c>
      <c r="M252" s="366">
        <f ca="1" xml:space="preserve"> ProjectCashflows!M$236</f>
        <v>0</v>
      </c>
      <c r="N252" s="366">
        <f ca="1" xml:space="preserve"> ProjectCashflows!N$236</f>
        <v>0</v>
      </c>
      <c r="O252" s="366">
        <f ca="1" xml:space="preserve"> ProjectCashflows!O$236</f>
        <v>15.965874359999999</v>
      </c>
      <c r="P252" s="366">
        <f ca="1" xml:space="preserve"> ProjectCashflows!P$236</f>
        <v>122.138938854</v>
      </c>
      <c r="Q252" s="366">
        <f ca="1" xml:space="preserve"> ProjectCashflows!Q$236</f>
        <v>249.16343526216002</v>
      </c>
      <c r="R252" s="366">
        <f ca="1" xml:space="preserve"> ProjectCashflows!R$236</f>
        <v>254.14670396740317</v>
      </c>
      <c r="S252" s="366">
        <f ca="1" xml:space="preserve"> ProjectCashflows!S$236</f>
        <v>259.22963804675129</v>
      </c>
      <c r="T252" s="366">
        <f ca="1" xml:space="preserve"> ProjectCashflows!T$236</f>
        <v>264.41423080768635</v>
      </c>
      <c r="U252" s="366">
        <f ca="1" xml:space="preserve"> ProjectCashflows!U$236</f>
        <v>269.70251542384005</v>
      </c>
      <c r="V252" s="366">
        <f ca="1" xml:space="preserve"> ProjectCashflows!V$236</f>
        <v>275.09656573231683</v>
      </c>
      <c r="W252" s="366">
        <f ca="1" xml:space="preserve"> ProjectCashflows!W$236</f>
        <v>280.59849704696319</v>
      </c>
      <c r="X252" s="366">
        <f ca="1" xml:space="preserve"> ProjectCashflows!X$236</f>
        <v>286.21046698790241</v>
      </c>
      <c r="Y252" s="366">
        <f ca="1" xml:space="preserve"> ProjectCashflows!Y$236</f>
        <v>291.93467632766055</v>
      </c>
      <c r="Z252" s="366">
        <f ca="1" xml:space="preserve"> ProjectCashflows!Z$236</f>
        <v>297.77336985421374</v>
      </c>
      <c r="AA252" s="366">
        <f ca="1" xml:space="preserve"> ProjectCashflows!AA$236</f>
        <v>253.1073643760817</v>
      </c>
      <c r="AB252" s="366">
        <f ca="1" xml:space="preserve"> ProjectCashflows!AB$236</f>
        <v>206.53560933088266</v>
      </c>
      <c r="AC252" s="366">
        <f ca="1" xml:space="preserve"> ProjectCashflows!AC$236</f>
        <v>157.99974113812524</v>
      </c>
      <c r="AD252" s="366">
        <f ca="1" xml:space="preserve"> ProjectCashflows!AD$236</f>
        <v>139.6717711661027</v>
      </c>
      <c r="AE252" s="366">
        <f ca="1" xml:space="preserve"> ProjectCashflows!AE$236</f>
        <v>109.58862045340366</v>
      </c>
      <c r="AF252" s="366">
        <f ca="1" xml:space="preserve"> ProjectCashflows!AF$236</f>
        <v>0</v>
      </c>
      <c r="AG252" s="366">
        <f ca="1" xml:space="preserve"> ProjectCashflows!AG$236</f>
        <v>0</v>
      </c>
      <c r="AH252" s="366">
        <f ca="1" xml:space="preserve"> ProjectCashflows!AH$236</f>
        <v>0</v>
      </c>
      <c r="AI252" s="366">
        <f ca="1" xml:space="preserve"> ProjectCashflows!AI$236</f>
        <v>0</v>
      </c>
      <c r="AJ252" s="366">
        <f ca="1" xml:space="preserve"> ProjectCashflows!AJ$236</f>
        <v>0</v>
      </c>
      <c r="AK252" s="366">
        <f ca="1" xml:space="preserve"> ProjectCashflows!AK$236</f>
        <v>0</v>
      </c>
      <c r="AL252" s="366">
        <f ca="1" xml:space="preserve"> ProjectCashflows!AL$236</f>
        <v>0</v>
      </c>
      <c r="AM252" s="366">
        <f ca="1" xml:space="preserve"> ProjectCashflows!AM$236</f>
        <v>0</v>
      </c>
      <c r="AN252" s="366">
        <f ca="1" xml:space="preserve"> ProjectCashflows!AN$236</f>
        <v>0</v>
      </c>
      <c r="AO252" s="366">
        <f ca="1" xml:space="preserve"> ProjectCashflows!AO$236</f>
        <v>0</v>
      </c>
      <c r="AP252" s="366">
        <f ca="1" xml:space="preserve"> ProjectCashflows!AP$236</f>
        <v>0</v>
      </c>
      <c r="AQ252" s="366">
        <f ca="1" xml:space="preserve"> ProjectCashflows!AQ$236</f>
        <v>0</v>
      </c>
      <c r="AR252" s="366">
        <f ca="1" xml:space="preserve"> ProjectCashflows!AR$236</f>
        <v>0</v>
      </c>
      <c r="AS252" s="366">
        <f ca="1" xml:space="preserve"> ProjectCashflows!AS$236</f>
        <v>0</v>
      </c>
      <c r="AT252" s="366">
        <f ca="1" xml:space="preserve"> ProjectCashflows!AT$236</f>
        <v>0</v>
      </c>
      <c r="AU252" s="366">
        <f ca="1" xml:space="preserve"> ProjectCashflows!AU$236</f>
        <v>0</v>
      </c>
      <c r="AV252" s="366">
        <f ca="1" xml:space="preserve"> ProjectCashflows!AV$236</f>
        <v>0</v>
      </c>
      <c r="AW252" s="366">
        <f ca="1" xml:space="preserve"> ProjectCashflows!AW$236</f>
        <v>0</v>
      </c>
      <c r="AX252" s="366">
        <f ca="1" xml:space="preserve"> ProjectCashflows!AX$236</f>
        <v>0</v>
      </c>
    </row>
    <row r="253" spans="1:50" s="767" customFormat="1" ht="15" customHeight="1">
      <c r="A253" s="519"/>
      <c r="B253" s="524"/>
      <c r="C253" s="520"/>
      <c r="D253" s="1098"/>
      <c r="E253" s="932" t="str">
        <f>Translate!$E$193</f>
        <v>Carbon tax as share of net revenue</v>
      </c>
      <c r="F253" s="932">
        <f ca="1" xml:space="preserve"> I251 / I252</f>
        <v>0</v>
      </c>
      <c r="G253" s="932" t="s">
        <v>29</v>
      </c>
      <c r="H253" s="1079" t="str">
        <f>Translate!$E$304</f>
        <v>for info only</v>
      </c>
      <c r="I253" s="1079"/>
      <c r="J253" s="1079"/>
      <c r="K253" s="1079"/>
      <c r="L253" s="1079"/>
      <c r="M253" s="1079"/>
      <c r="N253" s="1079"/>
      <c r="O253" s="1079"/>
      <c r="P253" s="1079"/>
      <c r="Q253" s="1079"/>
      <c r="R253" s="1079"/>
      <c r="S253" s="1079"/>
      <c r="T253" s="1079"/>
      <c r="U253" s="1079"/>
      <c r="V253" s="1079"/>
      <c r="W253" s="1079"/>
      <c r="X253" s="1079"/>
      <c r="Y253" s="1079"/>
      <c r="Z253" s="1079"/>
      <c r="AA253" s="1079"/>
      <c r="AB253" s="1079"/>
      <c r="AC253" s="1079"/>
      <c r="AD253" s="1079"/>
      <c r="AE253" s="1079"/>
      <c r="AF253" s="1079"/>
      <c r="AG253" s="1079"/>
      <c r="AH253" s="1079"/>
      <c r="AI253" s="1079"/>
      <c r="AJ253" s="1079"/>
      <c r="AK253" s="1079"/>
      <c r="AL253" s="1079"/>
      <c r="AM253" s="1079"/>
      <c r="AN253" s="1079"/>
      <c r="AO253" s="1079"/>
      <c r="AP253" s="1079"/>
      <c r="AQ253" s="1079"/>
      <c r="AR253" s="1079"/>
      <c r="AS253" s="1079"/>
      <c r="AT253" s="1079"/>
      <c r="AU253" s="1079"/>
      <c r="AV253" s="1079"/>
      <c r="AW253" s="1079"/>
      <c r="AX253" s="1079"/>
    </row>
    <row r="254" spans="1:50" s="764" customFormat="1" ht="15" customHeight="1">
      <c r="A254" s="325"/>
      <c r="B254" s="643"/>
      <c r="C254" s="333"/>
      <c r="D254" s="1077"/>
      <c r="E254" s="1024"/>
      <c r="F254" s="1059"/>
      <c r="G254" s="346"/>
      <c r="H254" s="1041"/>
      <c r="I254" s="1049"/>
      <c r="J254" s="1059"/>
      <c r="K254" s="1041"/>
      <c r="L254" s="1059"/>
      <c r="M254" s="1059"/>
      <c r="N254" s="1059"/>
      <c r="O254" s="1059"/>
      <c r="P254" s="1059"/>
      <c r="Q254" s="1059"/>
      <c r="R254" s="1059"/>
      <c r="S254" s="1059"/>
      <c r="T254" s="1059"/>
      <c r="U254" s="1059"/>
      <c r="V254" s="1059"/>
      <c r="W254" s="1059"/>
      <c r="X254" s="1059"/>
      <c r="Y254" s="1059"/>
      <c r="Z254" s="1059"/>
      <c r="AA254" s="1059"/>
      <c r="AB254" s="1059"/>
      <c r="AC254" s="1059"/>
      <c r="AD254" s="1059"/>
      <c r="AE254" s="1059"/>
      <c r="AF254" s="1059"/>
      <c r="AG254" s="1059"/>
      <c r="AH254" s="1059"/>
      <c r="AI254" s="1059"/>
      <c r="AJ254" s="1059"/>
      <c r="AK254" s="1059"/>
      <c r="AL254" s="1059"/>
      <c r="AM254" s="1059"/>
      <c r="AN254" s="1059"/>
      <c r="AO254" s="1059"/>
      <c r="AP254" s="1059"/>
      <c r="AQ254" s="1059"/>
      <c r="AR254" s="1059"/>
      <c r="AS254" s="1059"/>
      <c r="AT254" s="1059"/>
      <c r="AU254" s="1059"/>
      <c r="AV254" s="1059"/>
      <c r="AW254" s="1059"/>
      <c r="AX254" s="1059"/>
    </row>
    <row r="255" spans="1:50" ht="15" customHeight="1">
      <c r="A255" s="351" t="str">
        <f>Translate!$E$27</f>
        <v>Project cashflows after decommissioning, royalty, bonus and carbon tax</v>
      </c>
      <c r="B255" s="686"/>
      <c r="C255" s="352"/>
      <c r="D255" s="353"/>
      <c r="E255" s="3"/>
      <c r="F255" s="351"/>
      <c r="G255" s="351"/>
      <c r="H255" s="351"/>
      <c r="I255" s="351"/>
      <c r="J255" s="351"/>
      <c r="K255" s="351"/>
      <c r="L255" s="351"/>
      <c r="M255" s="351"/>
      <c r="N255" s="351"/>
      <c r="O255" s="351"/>
      <c r="P255" s="351"/>
      <c r="Q255" s="351"/>
      <c r="R255" s="351"/>
      <c r="S255" s="351"/>
      <c r="T255" s="351"/>
      <c r="U255" s="351"/>
      <c r="V255" s="351"/>
      <c r="W255" s="351"/>
      <c r="X255" s="351"/>
      <c r="Y255" s="351"/>
      <c r="Z255" s="351"/>
      <c r="AA255" s="351"/>
      <c r="AB255" s="351"/>
      <c r="AC255" s="351"/>
      <c r="AD255" s="351"/>
      <c r="AE255" s="351"/>
      <c r="AF255" s="351"/>
      <c r="AG255" s="351"/>
      <c r="AH255" s="351"/>
      <c r="AI255" s="351"/>
      <c r="AJ255" s="351"/>
      <c r="AK255" s="351"/>
      <c r="AL255" s="351"/>
      <c r="AM255" s="351"/>
      <c r="AN255" s="351"/>
      <c r="AO255" s="351"/>
      <c r="AP255" s="351"/>
      <c r="AQ255" s="351"/>
      <c r="AR255" s="351"/>
      <c r="AS255" s="351"/>
      <c r="AT255" s="351"/>
      <c r="AU255" s="351"/>
      <c r="AV255" s="351"/>
      <c r="AW255" s="351"/>
      <c r="AX255" s="351"/>
    </row>
    <row r="256" spans="1:50" ht="15" customHeight="1">
      <c r="A256" s="354"/>
      <c r="B256" s="674"/>
      <c r="C256" s="355"/>
      <c r="D256" s="356"/>
      <c r="E256" s="357"/>
      <c r="F256" s="354"/>
      <c r="G256" s="354"/>
      <c r="H256" s="354"/>
      <c r="I256" s="354"/>
      <c r="J256" s="354"/>
      <c r="K256" s="354"/>
      <c r="L256" s="354"/>
      <c r="M256" s="354"/>
      <c r="N256" s="354"/>
      <c r="O256" s="354"/>
      <c r="P256" s="354"/>
      <c r="Q256" s="354"/>
      <c r="R256" s="354"/>
      <c r="S256" s="354"/>
      <c r="T256" s="354"/>
      <c r="U256" s="354"/>
      <c r="V256" s="354"/>
      <c r="W256" s="354"/>
      <c r="X256" s="354"/>
      <c r="Y256" s="354"/>
      <c r="Z256" s="354"/>
      <c r="AA256" s="354"/>
      <c r="AB256" s="354"/>
      <c r="AC256" s="354"/>
      <c r="AD256" s="354"/>
      <c r="AE256" s="354"/>
      <c r="AF256" s="354"/>
      <c r="AG256" s="354"/>
      <c r="AH256" s="354"/>
      <c r="AI256" s="354"/>
      <c r="AJ256" s="354"/>
      <c r="AK256" s="354"/>
      <c r="AL256" s="354"/>
      <c r="AM256" s="354"/>
      <c r="AN256" s="354"/>
      <c r="AO256" s="354"/>
      <c r="AP256" s="354"/>
      <c r="AQ256" s="354"/>
      <c r="AR256" s="354"/>
      <c r="AS256" s="354"/>
      <c r="AT256" s="354"/>
      <c r="AU256" s="354"/>
      <c r="AV256" s="354"/>
      <c r="AW256" s="354"/>
      <c r="AX256" s="354"/>
    </row>
    <row r="257" spans="1:50" ht="15" customHeight="1">
      <c r="A257" s="347"/>
      <c r="B257" s="643"/>
      <c r="C257" s="333"/>
      <c r="D257" s="1112"/>
      <c r="E257" s="1024" t="str">
        <f>E$179</f>
        <v>Sales revenues: net, after ELT revenues after royalty</v>
      </c>
      <c r="F257" s="1024">
        <f t="shared" ref="F257:AX257" si="54">F$179</f>
        <v>0</v>
      </c>
      <c r="G257" s="1024" t="str">
        <f t="shared" si="54"/>
        <v>US$ mn</v>
      </c>
      <c r="H257" s="1024">
        <f t="shared" si="54"/>
        <v>0</v>
      </c>
      <c r="I257" s="1024">
        <f t="shared" ca="1" si="54"/>
        <v>3546.6141181787193</v>
      </c>
      <c r="J257" s="1024">
        <f t="shared" si="54"/>
        <v>0</v>
      </c>
      <c r="K257" s="1024">
        <f t="shared" ca="1" si="54"/>
        <v>0</v>
      </c>
      <c r="L257" s="1024">
        <f t="shared" ca="1" si="54"/>
        <v>0</v>
      </c>
      <c r="M257" s="1024">
        <f t="shared" ca="1" si="54"/>
        <v>0</v>
      </c>
      <c r="N257" s="1024">
        <f t="shared" ca="1" si="54"/>
        <v>0</v>
      </c>
      <c r="O257" s="1024">
        <f t="shared" ca="1" si="54"/>
        <v>15.167580641999999</v>
      </c>
      <c r="P257" s="1024">
        <f t="shared" ca="1" si="54"/>
        <v>116.0319919113</v>
      </c>
      <c r="Q257" s="1024">
        <f t="shared" ca="1" si="54"/>
        <v>236.70526349905202</v>
      </c>
      <c r="R257" s="1024">
        <f t="shared" ca="1" si="54"/>
        <v>241.43936876903302</v>
      </c>
      <c r="S257" s="1024">
        <f t="shared" ca="1" si="54"/>
        <v>246.26815614441372</v>
      </c>
      <c r="T257" s="1024">
        <f t="shared" ca="1" si="54"/>
        <v>251.19351926730204</v>
      </c>
      <c r="U257" s="1024">
        <f t="shared" ca="1" si="54"/>
        <v>256.21738965264808</v>
      </c>
      <c r="V257" s="1024">
        <f t="shared" ca="1" si="54"/>
        <v>261.34173744570097</v>
      </c>
      <c r="W257" s="1024">
        <f t="shared" ca="1" si="54"/>
        <v>266.56857219461506</v>
      </c>
      <c r="X257" s="1024">
        <f t="shared" ca="1" si="54"/>
        <v>271.8999436385073</v>
      </c>
      <c r="Y257" s="1024">
        <f t="shared" ca="1" si="54"/>
        <v>277.3379425112775</v>
      </c>
      <c r="Z257" s="1024">
        <f t="shared" ca="1" si="54"/>
        <v>282.88470136150306</v>
      </c>
      <c r="AA257" s="1024">
        <f t="shared" ca="1" si="54"/>
        <v>240.45199615727762</v>
      </c>
      <c r="AB257" s="1024">
        <f t="shared" ca="1" si="54"/>
        <v>196.20882886433853</v>
      </c>
      <c r="AC257" s="1024">
        <f t="shared" ca="1" si="54"/>
        <v>150.09975408121898</v>
      </c>
      <c r="AD257" s="1024">
        <f t="shared" ca="1" si="54"/>
        <v>132.68818260779756</v>
      </c>
      <c r="AE257" s="1024">
        <f t="shared" ca="1" si="54"/>
        <v>104.10918943073348</v>
      </c>
      <c r="AF257" s="1024">
        <f t="shared" ca="1" si="54"/>
        <v>0</v>
      </c>
      <c r="AG257" s="1024">
        <f t="shared" ca="1" si="54"/>
        <v>0</v>
      </c>
      <c r="AH257" s="1024">
        <f t="shared" ca="1" si="54"/>
        <v>0</v>
      </c>
      <c r="AI257" s="1024">
        <f t="shared" ca="1" si="54"/>
        <v>0</v>
      </c>
      <c r="AJ257" s="1024">
        <f t="shared" ca="1" si="54"/>
        <v>0</v>
      </c>
      <c r="AK257" s="1024">
        <f t="shared" ca="1" si="54"/>
        <v>0</v>
      </c>
      <c r="AL257" s="1024">
        <f t="shared" ca="1" si="54"/>
        <v>0</v>
      </c>
      <c r="AM257" s="1024">
        <f t="shared" ca="1" si="54"/>
        <v>0</v>
      </c>
      <c r="AN257" s="1024">
        <f t="shared" ca="1" si="54"/>
        <v>0</v>
      </c>
      <c r="AO257" s="1024">
        <f t="shared" ca="1" si="54"/>
        <v>0</v>
      </c>
      <c r="AP257" s="1024">
        <f t="shared" ca="1" si="54"/>
        <v>0</v>
      </c>
      <c r="AQ257" s="1024">
        <f t="shared" ca="1" si="54"/>
        <v>0</v>
      </c>
      <c r="AR257" s="1024">
        <f t="shared" ca="1" si="54"/>
        <v>0</v>
      </c>
      <c r="AS257" s="1024">
        <f t="shared" ca="1" si="54"/>
        <v>0</v>
      </c>
      <c r="AT257" s="1024">
        <f t="shared" ca="1" si="54"/>
        <v>0</v>
      </c>
      <c r="AU257" s="1024">
        <f t="shared" ca="1" si="54"/>
        <v>0</v>
      </c>
      <c r="AV257" s="1024">
        <f t="shared" ca="1" si="54"/>
        <v>0</v>
      </c>
      <c r="AW257" s="1024">
        <f t="shared" ca="1" si="54"/>
        <v>0</v>
      </c>
      <c r="AX257" s="1024">
        <f t="shared" ca="1" si="54"/>
        <v>0</v>
      </c>
    </row>
    <row r="258" spans="1:50" ht="15" customHeight="1">
      <c r="A258" s="347"/>
      <c r="B258" s="643"/>
      <c r="C258" s="333"/>
      <c r="D258" s="1112"/>
      <c r="E258" s="1024"/>
      <c r="F258" s="1024"/>
      <c r="G258" s="1024"/>
      <c r="H258" s="1024"/>
      <c r="I258" s="1024"/>
      <c r="J258" s="1024"/>
      <c r="K258" s="1024"/>
      <c r="L258" s="1024"/>
      <c r="M258" s="1024"/>
      <c r="N258" s="1024"/>
      <c r="O258" s="1024"/>
      <c r="P258" s="1024"/>
      <c r="Q258" s="1024"/>
      <c r="R258" s="1024"/>
      <c r="S258" s="1024"/>
      <c r="T258" s="1024"/>
      <c r="U258" s="1024"/>
      <c r="V258" s="1024"/>
      <c r="W258" s="1024"/>
      <c r="X258" s="1024"/>
      <c r="Y258" s="1024"/>
      <c r="Z258" s="1024"/>
      <c r="AA258" s="1024"/>
      <c r="AB258" s="1024"/>
      <c r="AC258" s="1024"/>
      <c r="AD258" s="1024"/>
      <c r="AE258" s="1024"/>
      <c r="AF258" s="1024"/>
      <c r="AG258" s="1024"/>
      <c r="AH258" s="1024"/>
      <c r="AI258" s="1024"/>
      <c r="AJ258" s="1024"/>
      <c r="AK258" s="1024"/>
      <c r="AL258" s="1024"/>
      <c r="AM258" s="1024"/>
      <c r="AN258" s="1024"/>
      <c r="AO258" s="1024"/>
      <c r="AP258" s="1024"/>
      <c r="AQ258" s="1024"/>
      <c r="AR258" s="1024"/>
      <c r="AS258" s="1024"/>
      <c r="AT258" s="1024"/>
      <c r="AU258" s="1024"/>
      <c r="AV258" s="1024"/>
      <c r="AW258" s="1024"/>
      <c r="AX258" s="1024"/>
    </row>
    <row r="259" spans="1:50" s="221" customFormat="1" ht="15" customHeight="1">
      <c r="A259" s="371"/>
      <c r="B259" s="643"/>
      <c r="C259" s="363"/>
      <c r="D259" s="365"/>
      <c r="E259" s="366" t="str">
        <f xml:space="preserve"> ProjectCashflows!E$238</f>
        <v>Exploration costs, after ELT</v>
      </c>
      <c r="F259" s="366">
        <f xml:space="preserve"> ProjectCashflows!F$238</f>
        <v>0</v>
      </c>
      <c r="G259" s="366" t="str">
        <f xml:space="preserve"> ProjectCashflows!G$238</f>
        <v>US$ mn</v>
      </c>
      <c r="H259" s="366">
        <f xml:space="preserve"> ProjectCashflows!H$238</f>
        <v>0</v>
      </c>
      <c r="I259" s="366">
        <f ca="1" xml:space="preserve"> ProjectCashflows!I$238</f>
        <v>30.603999999999999</v>
      </c>
      <c r="J259" s="366">
        <f xml:space="preserve"> ProjectCashflows!J$238</f>
        <v>0</v>
      </c>
      <c r="K259" s="366">
        <f ca="1" xml:space="preserve"> ProjectCashflows!K$238</f>
        <v>10</v>
      </c>
      <c r="L259" s="366">
        <f ca="1" xml:space="preserve"> ProjectCashflows!L$238</f>
        <v>10.199999999999999</v>
      </c>
      <c r="M259" s="366">
        <f ca="1" xml:space="preserve"> ProjectCashflows!M$238</f>
        <v>10.404</v>
      </c>
      <c r="N259" s="366">
        <f ca="1" xml:space="preserve"> ProjectCashflows!N$238</f>
        <v>0</v>
      </c>
      <c r="O259" s="366">
        <f ca="1" xml:space="preserve"> ProjectCashflows!O$238</f>
        <v>0</v>
      </c>
      <c r="P259" s="366">
        <f ca="1" xml:space="preserve"> ProjectCashflows!P$238</f>
        <v>0</v>
      </c>
      <c r="Q259" s="366">
        <f ca="1" xml:space="preserve"> ProjectCashflows!Q$238</f>
        <v>0</v>
      </c>
      <c r="R259" s="366">
        <f ca="1" xml:space="preserve"> ProjectCashflows!R$238</f>
        <v>0</v>
      </c>
      <c r="S259" s="366">
        <f ca="1" xml:space="preserve"> ProjectCashflows!S$238</f>
        <v>0</v>
      </c>
      <c r="T259" s="366">
        <f ca="1" xml:space="preserve"> ProjectCashflows!T$238</f>
        <v>0</v>
      </c>
      <c r="U259" s="366">
        <f ca="1" xml:space="preserve"> ProjectCashflows!U$238</f>
        <v>0</v>
      </c>
      <c r="V259" s="366">
        <f ca="1" xml:space="preserve"> ProjectCashflows!V$238</f>
        <v>0</v>
      </c>
      <c r="W259" s="366">
        <f ca="1" xml:space="preserve"> ProjectCashflows!W$238</f>
        <v>0</v>
      </c>
      <c r="X259" s="366">
        <f ca="1" xml:space="preserve"> ProjectCashflows!X$238</f>
        <v>0</v>
      </c>
      <c r="Y259" s="366">
        <f ca="1" xml:space="preserve"> ProjectCashflows!Y$238</f>
        <v>0</v>
      </c>
      <c r="Z259" s="366">
        <f ca="1" xml:space="preserve"> ProjectCashflows!Z$238</f>
        <v>0</v>
      </c>
      <c r="AA259" s="366">
        <f ca="1" xml:space="preserve"> ProjectCashflows!AA$238</f>
        <v>0</v>
      </c>
      <c r="AB259" s="366">
        <f ca="1" xml:space="preserve"> ProjectCashflows!AB$238</f>
        <v>0</v>
      </c>
      <c r="AC259" s="366">
        <f ca="1" xml:space="preserve"> ProjectCashflows!AC$238</f>
        <v>0</v>
      </c>
      <c r="AD259" s="366">
        <f ca="1" xml:space="preserve"> ProjectCashflows!AD$238</f>
        <v>0</v>
      </c>
      <c r="AE259" s="366">
        <f ca="1" xml:space="preserve"> ProjectCashflows!AE$238</f>
        <v>0</v>
      </c>
      <c r="AF259" s="366">
        <f ca="1" xml:space="preserve"> ProjectCashflows!AF$238</f>
        <v>0</v>
      </c>
      <c r="AG259" s="366">
        <f ca="1" xml:space="preserve"> ProjectCashflows!AG$238</f>
        <v>0</v>
      </c>
      <c r="AH259" s="366">
        <f ca="1" xml:space="preserve"> ProjectCashflows!AH$238</f>
        <v>0</v>
      </c>
      <c r="AI259" s="366">
        <f ca="1" xml:space="preserve"> ProjectCashflows!AI$238</f>
        <v>0</v>
      </c>
      <c r="AJ259" s="366">
        <f ca="1" xml:space="preserve"> ProjectCashflows!AJ$238</f>
        <v>0</v>
      </c>
      <c r="AK259" s="366">
        <f ca="1" xml:space="preserve"> ProjectCashflows!AK$238</f>
        <v>0</v>
      </c>
      <c r="AL259" s="366">
        <f ca="1" xml:space="preserve"> ProjectCashflows!AL$238</f>
        <v>0</v>
      </c>
      <c r="AM259" s="366">
        <f ca="1" xml:space="preserve"> ProjectCashflows!AM$238</f>
        <v>0</v>
      </c>
      <c r="AN259" s="366">
        <f ca="1" xml:space="preserve"> ProjectCashflows!AN$238</f>
        <v>0</v>
      </c>
      <c r="AO259" s="366">
        <f ca="1" xml:space="preserve"> ProjectCashflows!AO$238</f>
        <v>0</v>
      </c>
      <c r="AP259" s="366">
        <f ca="1" xml:space="preserve"> ProjectCashflows!AP$238</f>
        <v>0</v>
      </c>
      <c r="AQ259" s="366">
        <f ca="1" xml:space="preserve"> ProjectCashflows!AQ$238</f>
        <v>0</v>
      </c>
      <c r="AR259" s="366">
        <f ca="1" xml:space="preserve"> ProjectCashflows!AR$238</f>
        <v>0</v>
      </c>
      <c r="AS259" s="366">
        <f ca="1" xml:space="preserve"> ProjectCashflows!AS$238</f>
        <v>0</v>
      </c>
      <c r="AT259" s="366">
        <f ca="1" xml:space="preserve"> ProjectCashflows!AT$238</f>
        <v>0</v>
      </c>
      <c r="AU259" s="366">
        <f ca="1" xml:space="preserve"> ProjectCashflows!AU$238</f>
        <v>0</v>
      </c>
      <c r="AV259" s="366">
        <f ca="1" xml:space="preserve"> ProjectCashflows!AV$238</f>
        <v>0</v>
      </c>
      <c r="AW259" s="366">
        <f ca="1" xml:space="preserve"> ProjectCashflows!AW$238</f>
        <v>0</v>
      </c>
      <c r="AX259" s="366">
        <f ca="1" xml:space="preserve"> ProjectCashflows!AX$238</f>
        <v>0</v>
      </c>
    </row>
    <row r="260" spans="1:50" s="221" customFormat="1" ht="15" customHeight="1">
      <c r="A260" s="371"/>
      <c r="B260" s="643"/>
      <c r="C260" s="363"/>
      <c r="D260" s="365"/>
      <c r="E260" s="366" t="str">
        <f xml:space="preserve"> ProjectCashflows!E$239</f>
        <v>Development costs, after ELT</v>
      </c>
      <c r="F260" s="366">
        <f xml:space="preserve"> ProjectCashflows!F$239</f>
        <v>0</v>
      </c>
      <c r="G260" s="366" t="str">
        <f xml:space="preserve"> ProjectCashflows!G$239</f>
        <v>US$ mn</v>
      </c>
      <c r="H260" s="366">
        <f xml:space="preserve"> ProjectCashflows!H$239</f>
        <v>0</v>
      </c>
      <c r="I260" s="366">
        <f ca="1" xml:space="preserve"> ProjectCashflows!I$239</f>
        <v>434.07652032000004</v>
      </c>
      <c r="J260" s="366">
        <f xml:space="preserve"> ProjectCashflows!J$239</f>
        <v>0</v>
      </c>
      <c r="K260" s="366">
        <f ca="1" xml:space="preserve"> ProjectCashflows!K$239</f>
        <v>0</v>
      </c>
      <c r="L260" s="366">
        <f ca="1" xml:space="preserve"> ProjectCashflows!L$239</f>
        <v>0</v>
      </c>
      <c r="M260" s="366">
        <f ca="1" xml:space="preserve"> ProjectCashflows!M$239</f>
        <v>0</v>
      </c>
      <c r="N260" s="366">
        <f ca="1" xml:space="preserve"> ProjectCashflows!N$239</f>
        <v>53.060399999999994</v>
      </c>
      <c r="O260" s="366">
        <f ca="1" xml:space="preserve"> ProjectCashflows!O$239</f>
        <v>270.60804000000002</v>
      </c>
      <c r="P260" s="366">
        <f ca="1" xml:space="preserve"> ProjectCashflows!P$239</f>
        <v>110.40808032</v>
      </c>
      <c r="Q260" s="366">
        <f ca="1" xml:space="preserve"> ProjectCashflows!Q$239</f>
        <v>0</v>
      </c>
      <c r="R260" s="366">
        <f ca="1" xml:space="preserve"> ProjectCashflows!R$239</f>
        <v>0</v>
      </c>
      <c r="S260" s="366">
        <f ca="1" xml:space="preserve"> ProjectCashflows!S$239</f>
        <v>0</v>
      </c>
      <c r="T260" s="366">
        <f ca="1" xml:space="preserve"> ProjectCashflows!T$239</f>
        <v>0</v>
      </c>
      <c r="U260" s="366">
        <f ca="1" xml:space="preserve"> ProjectCashflows!U$239</f>
        <v>0</v>
      </c>
      <c r="V260" s="366">
        <f ca="1" xml:space="preserve"> ProjectCashflows!V$239</f>
        <v>0</v>
      </c>
      <c r="W260" s="366">
        <f ca="1" xml:space="preserve"> ProjectCashflows!W$239</f>
        <v>0</v>
      </c>
      <c r="X260" s="366">
        <f ca="1" xml:space="preserve"> ProjectCashflows!X$239</f>
        <v>0</v>
      </c>
      <c r="Y260" s="366">
        <f ca="1" xml:space="preserve"> ProjectCashflows!Y$239</f>
        <v>0</v>
      </c>
      <c r="Z260" s="366">
        <f ca="1" xml:space="preserve"> ProjectCashflows!Z$239</f>
        <v>0</v>
      </c>
      <c r="AA260" s="366">
        <f ca="1" xml:space="preserve"> ProjectCashflows!AA$239</f>
        <v>0</v>
      </c>
      <c r="AB260" s="366">
        <f ca="1" xml:space="preserve"> ProjectCashflows!AB$239</f>
        <v>0</v>
      </c>
      <c r="AC260" s="366">
        <f ca="1" xml:space="preserve"> ProjectCashflows!AC$239</f>
        <v>0</v>
      </c>
      <c r="AD260" s="366">
        <f ca="1" xml:space="preserve"> ProjectCashflows!AD$239</f>
        <v>0</v>
      </c>
      <c r="AE260" s="366">
        <f ca="1" xml:space="preserve"> ProjectCashflows!AE$239</f>
        <v>0</v>
      </c>
      <c r="AF260" s="366">
        <f ca="1" xml:space="preserve"> ProjectCashflows!AF$239</f>
        <v>0</v>
      </c>
      <c r="AG260" s="366">
        <f ca="1" xml:space="preserve"> ProjectCashflows!AG$239</f>
        <v>0</v>
      </c>
      <c r="AH260" s="366">
        <f ca="1" xml:space="preserve"> ProjectCashflows!AH$239</f>
        <v>0</v>
      </c>
      <c r="AI260" s="366">
        <f ca="1" xml:space="preserve"> ProjectCashflows!AI$239</f>
        <v>0</v>
      </c>
      <c r="AJ260" s="366">
        <f ca="1" xml:space="preserve"> ProjectCashflows!AJ$239</f>
        <v>0</v>
      </c>
      <c r="AK260" s="366">
        <f ca="1" xml:space="preserve"> ProjectCashflows!AK$239</f>
        <v>0</v>
      </c>
      <c r="AL260" s="366">
        <f ca="1" xml:space="preserve"> ProjectCashflows!AL$239</f>
        <v>0</v>
      </c>
      <c r="AM260" s="366">
        <f ca="1" xml:space="preserve"> ProjectCashflows!AM$239</f>
        <v>0</v>
      </c>
      <c r="AN260" s="366">
        <f ca="1" xml:space="preserve"> ProjectCashflows!AN$239</f>
        <v>0</v>
      </c>
      <c r="AO260" s="366">
        <f ca="1" xml:space="preserve"> ProjectCashflows!AO$239</f>
        <v>0</v>
      </c>
      <c r="AP260" s="366">
        <f ca="1" xml:space="preserve"> ProjectCashflows!AP$239</f>
        <v>0</v>
      </c>
      <c r="AQ260" s="366">
        <f ca="1" xml:space="preserve"> ProjectCashflows!AQ$239</f>
        <v>0</v>
      </c>
      <c r="AR260" s="366">
        <f ca="1" xml:space="preserve"> ProjectCashflows!AR$239</f>
        <v>0</v>
      </c>
      <c r="AS260" s="366">
        <f ca="1" xml:space="preserve"> ProjectCashflows!AS$239</f>
        <v>0</v>
      </c>
      <c r="AT260" s="366">
        <f ca="1" xml:space="preserve"> ProjectCashflows!AT$239</f>
        <v>0</v>
      </c>
      <c r="AU260" s="366">
        <f ca="1" xml:space="preserve"> ProjectCashflows!AU$239</f>
        <v>0</v>
      </c>
      <c r="AV260" s="366">
        <f ca="1" xml:space="preserve"> ProjectCashflows!AV$239</f>
        <v>0</v>
      </c>
      <c r="AW260" s="366">
        <f ca="1" xml:space="preserve"> ProjectCashflows!AW$239</f>
        <v>0</v>
      </c>
      <c r="AX260" s="366">
        <f ca="1" xml:space="preserve"> ProjectCashflows!AX$239</f>
        <v>0</v>
      </c>
    </row>
    <row r="261" spans="1:50" s="221" customFormat="1" ht="15" customHeight="1">
      <c r="A261" s="371"/>
      <c r="B261" s="643"/>
      <c r="C261" s="363"/>
      <c r="D261" s="365"/>
      <c r="E261" s="366" t="str">
        <f xml:space="preserve"> ProjectCashflows!E$240</f>
        <v>Replacement capital costs, after ELT</v>
      </c>
      <c r="F261" s="366">
        <f xml:space="preserve"> ProjectCashflows!F$240</f>
        <v>0</v>
      </c>
      <c r="G261" s="366" t="str">
        <f xml:space="preserve"> ProjectCashflows!G$240</f>
        <v>US$ mn</v>
      </c>
      <c r="H261" s="366">
        <f xml:space="preserve"> ProjectCashflows!H$240</f>
        <v>0</v>
      </c>
      <c r="I261" s="366">
        <f ca="1" xml:space="preserve"> ProjectCashflows!I$240</f>
        <v>118.46424639696978</v>
      </c>
      <c r="J261" s="366">
        <f xml:space="preserve"> ProjectCashflows!J$240</f>
        <v>0</v>
      </c>
      <c r="K261" s="366">
        <f ca="1" xml:space="preserve"> ProjectCashflows!K$240</f>
        <v>0</v>
      </c>
      <c r="L261" s="366">
        <f ca="1" xml:space="preserve"> ProjectCashflows!L$240</f>
        <v>0</v>
      </c>
      <c r="M261" s="366">
        <f ca="1" xml:space="preserve"> ProjectCashflows!M$240</f>
        <v>0</v>
      </c>
      <c r="N261" s="366">
        <f ca="1" xml:space="preserve"> ProjectCashflows!N$240</f>
        <v>0</v>
      </c>
      <c r="O261" s="366">
        <f ca="1" xml:space="preserve"> ProjectCashflows!O$240</f>
        <v>0</v>
      </c>
      <c r="P261" s="366">
        <f ca="1" xml:space="preserve"> ProjectCashflows!P$240</f>
        <v>8.8326464256000001</v>
      </c>
      <c r="Q261" s="366">
        <f ca="1" xml:space="preserve"> ProjectCashflows!Q$240</f>
        <v>9.0092993541120006</v>
      </c>
      <c r="R261" s="366">
        <f ca="1" xml:space="preserve"> ProjectCashflows!R$240</f>
        <v>9.1894853411942403</v>
      </c>
      <c r="S261" s="366">
        <f ca="1" xml:space="preserve"> ProjectCashflows!S$240</f>
        <v>9.3732750480181259</v>
      </c>
      <c r="T261" s="366">
        <f ca="1" xml:space="preserve"> ProjectCashflows!T$240</f>
        <v>9.5607405489784885</v>
      </c>
      <c r="U261" s="366">
        <f ca="1" xml:space="preserve"> ProjectCashflows!U$240</f>
        <v>9.7519553599580586</v>
      </c>
      <c r="V261" s="366">
        <f ca="1" xml:space="preserve"> ProjectCashflows!V$240</f>
        <v>9.9469944671572197</v>
      </c>
      <c r="W261" s="366">
        <f ca="1" xml:space="preserve"> ProjectCashflows!W$240</f>
        <v>10.145934356500364</v>
      </c>
      <c r="X261" s="366">
        <f ca="1" xml:space="preserve"> ProjectCashflows!X$240</f>
        <v>10.348853043630371</v>
      </c>
      <c r="Y261" s="366">
        <f ca="1" xml:space="preserve"> ProjectCashflows!Y$240</f>
        <v>10.555830104502979</v>
      </c>
      <c r="Z261" s="366">
        <f ca="1" xml:space="preserve"> ProjectCashflows!Z$240</f>
        <v>10.766946706593039</v>
      </c>
      <c r="AA261" s="366">
        <f ca="1" xml:space="preserve"> ProjectCashflows!AA$240</f>
        <v>10.9822856407249</v>
      </c>
      <c r="AB261" s="366">
        <f ca="1" xml:space="preserve"> ProjectCashflows!AB$240</f>
        <v>0</v>
      </c>
      <c r="AC261" s="366">
        <f ca="1" xml:space="preserve"> ProjectCashflows!AC$240</f>
        <v>0</v>
      </c>
      <c r="AD261" s="366">
        <f ca="1" xml:space="preserve"> ProjectCashflows!AD$240</f>
        <v>0</v>
      </c>
      <c r="AE261" s="366">
        <f ca="1" xml:space="preserve"> ProjectCashflows!AE$240</f>
        <v>0</v>
      </c>
      <c r="AF261" s="366">
        <f ca="1" xml:space="preserve"> ProjectCashflows!AF$240</f>
        <v>0</v>
      </c>
      <c r="AG261" s="366">
        <f ca="1" xml:space="preserve"> ProjectCashflows!AG$240</f>
        <v>0</v>
      </c>
      <c r="AH261" s="366">
        <f ca="1" xml:space="preserve"> ProjectCashflows!AH$240</f>
        <v>0</v>
      </c>
      <c r="AI261" s="366">
        <f ca="1" xml:space="preserve"> ProjectCashflows!AI$240</f>
        <v>0</v>
      </c>
      <c r="AJ261" s="366">
        <f ca="1" xml:space="preserve"> ProjectCashflows!AJ$240</f>
        <v>0</v>
      </c>
      <c r="AK261" s="366">
        <f ca="1" xml:space="preserve"> ProjectCashflows!AK$240</f>
        <v>0</v>
      </c>
      <c r="AL261" s="366">
        <f ca="1" xml:space="preserve"> ProjectCashflows!AL$240</f>
        <v>0</v>
      </c>
      <c r="AM261" s="366">
        <f ca="1" xml:space="preserve"> ProjectCashflows!AM$240</f>
        <v>0</v>
      </c>
      <c r="AN261" s="366">
        <f ca="1" xml:space="preserve"> ProjectCashflows!AN$240</f>
        <v>0</v>
      </c>
      <c r="AO261" s="366">
        <f ca="1" xml:space="preserve"> ProjectCashflows!AO$240</f>
        <v>0</v>
      </c>
      <c r="AP261" s="366">
        <f ca="1" xml:space="preserve"> ProjectCashflows!AP$240</f>
        <v>0</v>
      </c>
      <c r="AQ261" s="366">
        <f ca="1" xml:space="preserve"> ProjectCashflows!AQ$240</f>
        <v>0</v>
      </c>
      <c r="AR261" s="366">
        <f ca="1" xml:space="preserve"> ProjectCashflows!AR$240</f>
        <v>0</v>
      </c>
      <c r="AS261" s="366">
        <f ca="1" xml:space="preserve"> ProjectCashflows!AS$240</f>
        <v>0</v>
      </c>
      <c r="AT261" s="366">
        <f ca="1" xml:space="preserve"> ProjectCashflows!AT$240</f>
        <v>0</v>
      </c>
      <c r="AU261" s="366">
        <f ca="1" xml:space="preserve"> ProjectCashflows!AU$240</f>
        <v>0</v>
      </c>
      <c r="AV261" s="366">
        <f ca="1" xml:space="preserve"> ProjectCashflows!AV$240</f>
        <v>0</v>
      </c>
      <c r="AW261" s="366">
        <f ca="1" xml:space="preserve"> ProjectCashflows!AW$240</f>
        <v>0</v>
      </c>
      <c r="AX261" s="366">
        <f ca="1" xml:space="preserve"> ProjectCashflows!AX$240</f>
        <v>0</v>
      </c>
    </row>
    <row r="262" spans="1:50" s="221" customFormat="1" ht="15" customHeight="1">
      <c r="A262" s="371"/>
      <c r="B262" s="643"/>
      <c r="C262" s="363"/>
      <c r="D262" s="365"/>
      <c r="E262" s="366" t="str">
        <f xml:space="preserve"> ProjectCashflows!E$241</f>
        <v>Operating costs, after ELT</v>
      </c>
      <c r="F262" s="366">
        <f xml:space="preserve"> ProjectCashflows!F$241</f>
        <v>0</v>
      </c>
      <c r="G262" s="366" t="str">
        <f xml:space="preserve"> ProjectCashflows!G$241</f>
        <v>US$ mn</v>
      </c>
      <c r="H262" s="366">
        <f xml:space="preserve"> ProjectCashflows!H$241</f>
        <v>0</v>
      </c>
      <c r="I262" s="366">
        <f ca="1" xml:space="preserve"> ProjectCashflows!I$241</f>
        <v>1138.9661753294727</v>
      </c>
      <c r="J262" s="366">
        <f xml:space="preserve"> ProjectCashflows!J$241</f>
        <v>0</v>
      </c>
      <c r="K262" s="366">
        <f ca="1" xml:space="preserve"> ProjectCashflows!K$241</f>
        <v>0</v>
      </c>
      <c r="L262" s="366">
        <f ca="1" xml:space="preserve"> ProjectCashflows!L$241</f>
        <v>0</v>
      </c>
      <c r="M262" s="366">
        <f ca="1" xml:space="preserve"> ProjectCashflows!M$241</f>
        <v>0</v>
      </c>
      <c r="N262" s="366">
        <f ca="1" xml:space="preserve"> ProjectCashflows!N$241</f>
        <v>0</v>
      </c>
      <c r="O262" s="366">
        <f ca="1" xml:space="preserve"> ProjectCashflows!O$241</f>
        <v>4.8709447199999998</v>
      </c>
      <c r="P262" s="366">
        <f ca="1" xml:space="preserve"> ProjectCashflows!P$241</f>
        <v>37.262727108</v>
      </c>
      <c r="Q262" s="366">
        <f ca="1" xml:space="preserve"> ProjectCashflows!Q$241</f>
        <v>76.01596330032001</v>
      </c>
      <c r="R262" s="366">
        <f ca="1" xml:space="preserve"> ProjectCashflows!R$241</f>
        <v>77.536282566326406</v>
      </c>
      <c r="S262" s="366">
        <f ca="1" xml:space="preserve"> ProjectCashflows!S$241</f>
        <v>79.087008217652937</v>
      </c>
      <c r="T262" s="366">
        <f ca="1" xml:space="preserve"> ProjectCashflows!T$241</f>
        <v>80.668748382006001</v>
      </c>
      <c r="U262" s="366">
        <f ca="1" xml:space="preserve"> ProjectCashflows!U$241</f>
        <v>82.282123349646113</v>
      </c>
      <c r="V262" s="366">
        <f ca="1" xml:space="preserve"> ProjectCashflows!V$241</f>
        <v>83.927765816639038</v>
      </c>
      <c r="W262" s="366">
        <f ca="1" xml:space="preserve"> ProjectCashflows!W$241</f>
        <v>85.606321132971814</v>
      </c>
      <c r="X262" s="366">
        <f ca="1" xml:space="preserve"> ProjectCashflows!X$241</f>
        <v>87.318447555631252</v>
      </c>
      <c r="Y262" s="366">
        <f ca="1" xml:space="preserve"> ProjectCashflows!Y$241</f>
        <v>89.064816506743881</v>
      </c>
      <c r="Z262" s="366">
        <f ca="1" xml:space="preserve"> ProjectCashflows!Z$241</f>
        <v>90.846112836878774</v>
      </c>
      <c r="AA262" s="366">
        <f ca="1" xml:space="preserve"> ProjectCashflows!AA$241</f>
        <v>77.219195911346958</v>
      </c>
      <c r="AB262" s="366">
        <f ca="1" xml:space="preserve"> ProjectCashflows!AB$241</f>
        <v>63.010863863659118</v>
      </c>
      <c r="AC262" s="366">
        <f ca="1" xml:space="preserve"> ProjectCashflows!AC$241</f>
        <v>48.203310855699229</v>
      </c>
      <c r="AD262" s="366">
        <f ca="1" xml:space="preserve"> ProjectCashflows!AD$241</f>
        <v>42.611726796438113</v>
      </c>
      <c r="AE262" s="366">
        <f ca="1" xml:space="preserve"> ProjectCashflows!AE$241</f>
        <v>33.433816409512986</v>
      </c>
      <c r="AF262" s="366">
        <f ca="1" xml:space="preserve"> ProjectCashflows!AF$241</f>
        <v>0</v>
      </c>
      <c r="AG262" s="366">
        <f ca="1" xml:space="preserve"> ProjectCashflows!AG$241</f>
        <v>0</v>
      </c>
      <c r="AH262" s="366">
        <f ca="1" xml:space="preserve"> ProjectCashflows!AH$241</f>
        <v>0</v>
      </c>
      <c r="AI262" s="366">
        <f ca="1" xml:space="preserve"> ProjectCashflows!AI$241</f>
        <v>0</v>
      </c>
      <c r="AJ262" s="366">
        <f ca="1" xml:space="preserve"> ProjectCashflows!AJ$241</f>
        <v>0</v>
      </c>
      <c r="AK262" s="366">
        <f ca="1" xml:space="preserve"> ProjectCashflows!AK$241</f>
        <v>0</v>
      </c>
      <c r="AL262" s="366">
        <f ca="1" xml:space="preserve"> ProjectCashflows!AL$241</f>
        <v>0</v>
      </c>
      <c r="AM262" s="366">
        <f ca="1" xml:space="preserve"> ProjectCashflows!AM$241</f>
        <v>0</v>
      </c>
      <c r="AN262" s="366">
        <f ca="1" xml:space="preserve"> ProjectCashflows!AN$241</f>
        <v>0</v>
      </c>
      <c r="AO262" s="366">
        <f ca="1" xml:space="preserve"> ProjectCashflows!AO$241</f>
        <v>0</v>
      </c>
      <c r="AP262" s="366">
        <f ca="1" xml:space="preserve"> ProjectCashflows!AP$241</f>
        <v>0</v>
      </c>
      <c r="AQ262" s="366">
        <f ca="1" xml:space="preserve"> ProjectCashflows!AQ$241</f>
        <v>0</v>
      </c>
      <c r="AR262" s="366">
        <f ca="1" xml:space="preserve"> ProjectCashflows!AR$241</f>
        <v>0</v>
      </c>
      <c r="AS262" s="366">
        <f ca="1" xml:space="preserve"> ProjectCashflows!AS$241</f>
        <v>0</v>
      </c>
      <c r="AT262" s="366">
        <f ca="1" xml:space="preserve"> ProjectCashflows!AT$241</f>
        <v>0</v>
      </c>
      <c r="AU262" s="366">
        <f ca="1" xml:space="preserve"> ProjectCashflows!AU$241</f>
        <v>0</v>
      </c>
      <c r="AV262" s="366">
        <f ca="1" xml:space="preserve"> ProjectCashflows!AV$241</f>
        <v>0</v>
      </c>
      <c r="AW262" s="366">
        <f ca="1" xml:space="preserve"> ProjectCashflows!AW$241</f>
        <v>0</v>
      </c>
      <c r="AX262" s="366">
        <f ca="1" xml:space="preserve"> ProjectCashflows!AX$241</f>
        <v>0</v>
      </c>
    </row>
    <row r="263" spans="1:50" ht="15" customHeight="1">
      <c r="A263" s="347"/>
      <c r="B263" s="643"/>
      <c r="C263" s="333"/>
      <c r="D263" s="1112"/>
      <c r="E263" s="1036" t="str">
        <f t="shared" ref="E263:AX263" si="55" xml:space="preserve"> E$121</f>
        <v>Net decommissioning cashflows including fund</v>
      </c>
      <c r="F263" s="1036">
        <f t="shared" si="55"/>
        <v>0</v>
      </c>
      <c r="G263" s="1036" t="str">
        <f t="shared" si="55"/>
        <v>US$ mn</v>
      </c>
      <c r="H263" s="1036">
        <f t="shared" si="55"/>
        <v>0</v>
      </c>
      <c r="I263" s="1036">
        <f t="shared" ca="1" si="55"/>
        <v>28.254397005016219</v>
      </c>
      <c r="J263" s="1036">
        <f t="shared" si="55"/>
        <v>0</v>
      </c>
      <c r="K263" s="1036">
        <f t="shared" ca="1" si="55"/>
        <v>0</v>
      </c>
      <c r="L263" s="1036">
        <f t="shared" ca="1" si="55"/>
        <v>0</v>
      </c>
      <c r="M263" s="1036">
        <f t="shared" ca="1" si="55"/>
        <v>0</v>
      </c>
      <c r="N263" s="1036">
        <f t="shared" ca="1" si="55"/>
        <v>0</v>
      </c>
      <c r="O263" s="1036">
        <f t="shared" ca="1" si="55"/>
        <v>0</v>
      </c>
      <c r="P263" s="1036">
        <f t="shared" ca="1" si="55"/>
        <v>0</v>
      </c>
      <c r="Q263" s="1036">
        <f t="shared" ca="1" si="55"/>
        <v>0</v>
      </c>
      <c r="R263" s="1036">
        <f t="shared" ca="1" si="55"/>
        <v>0</v>
      </c>
      <c r="S263" s="1036">
        <f t="shared" ca="1" si="55"/>
        <v>0</v>
      </c>
      <c r="T263" s="1036">
        <f t="shared" ca="1" si="55"/>
        <v>0</v>
      </c>
      <c r="U263" s="1036">
        <f t="shared" ca="1" si="55"/>
        <v>0</v>
      </c>
      <c r="V263" s="1036">
        <f t="shared" ca="1" si="55"/>
        <v>0</v>
      </c>
      <c r="W263" s="1036">
        <f t="shared" ca="1" si="55"/>
        <v>0</v>
      </c>
      <c r="X263" s="1036">
        <f t="shared" ca="1" si="55"/>
        <v>3.5317996256270274</v>
      </c>
      <c r="Y263" s="1036">
        <f t="shared" ca="1" si="55"/>
        <v>3.5317996256270274</v>
      </c>
      <c r="Z263" s="1036">
        <f t="shared" ca="1" si="55"/>
        <v>3.5317996256270274</v>
      </c>
      <c r="AA263" s="1036">
        <f t="shared" ca="1" si="55"/>
        <v>3.5317996256270274</v>
      </c>
      <c r="AB263" s="1036">
        <f t="shared" ca="1" si="55"/>
        <v>3.5317996256270274</v>
      </c>
      <c r="AC263" s="1036">
        <f t="shared" ca="1" si="55"/>
        <v>3.5317996256270274</v>
      </c>
      <c r="AD263" s="1036">
        <f t="shared" ca="1" si="55"/>
        <v>3.5317996256270274</v>
      </c>
      <c r="AE263" s="1036">
        <f t="shared" ca="1" si="55"/>
        <v>3.5317996256270274</v>
      </c>
      <c r="AF263" s="1036">
        <f t="shared" ca="1" si="55"/>
        <v>0</v>
      </c>
      <c r="AG263" s="1036">
        <f t="shared" ca="1" si="55"/>
        <v>0</v>
      </c>
      <c r="AH263" s="1036">
        <f t="shared" ca="1" si="55"/>
        <v>0</v>
      </c>
      <c r="AI263" s="1036">
        <f t="shared" ca="1" si="55"/>
        <v>0</v>
      </c>
      <c r="AJ263" s="1036">
        <f t="shared" ca="1" si="55"/>
        <v>0</v>
      </c>
      <c r="AK263" s="1036">
        <f t="shared" ca="1" si="55"/>
        <v>0</v>
      </c>
      <c r="AL263" s="1036">
        <f t="shared" ca="1" si="55"/>
        <v>0</v>
      </c>
      <c r="AM263" s="1036">
        <f t="shared" ca="1" si="55"/>
        <v>0</v>
      </c>
      <c r="AN263" s="1036">
        <f t="shared" ca="1" si="55"/>
        <v>0</v>
      </c>
      <c r="AO263" s="1036">
        <f t="shared" ca="1" si="55"/>
        <v>0</v>
      </c>
      <c r="AP263" s="1036">
        <f t="shared" ca="1" si="55"/>
        <v>0</v>
      </c>
      <c r="AQ263" s="1036">
        <f t="shared" ca="1" si="55"/>
        <v>0</v>
      </c>
      <c r="AR263" s="1036">
        <f t="shared" ca="1" si="55"/>
        <v>0</v>
      </c>
      <c r="AS263" s="1036">
        <f t="shared" ca="1" si="55"/>
        <v>0</v>
      </c>
      <c r="AT263" s="1036">
        <f t="shared" ca="1" si="55"/>
        <v>0</v>
      </c>
      <c r="AU263" s="1036">
        <f t="shared" ca="1" si="55"/>
        <v>0</v>
      </c>
      <c r="AV263" s="1036">
        <f t="shared" ca="1" si="55"/>
        <v>0</v>
      </c>
      <c r="AW263" s="1036">
        <f t="shared" ca="1" si="55"/>
        <v>0</v>
      </c>
      <c r="AX263" s="1036">
        <f t="shared" ca="1" si="55"/>
        <v>0</v>
      </c>
    </row>
    <row r="264" spans="1:50" ht="15" customHeight="1">
      <c r="A264" s="347"/>
      <c r="B264" s="643"/>
      <c r="C264" s="333"/>
      <c r="D264" s="1112"/>
      <c r="E264" s="1036" t="str">
        <f t="shared" ref="E264:AX264" si="56" xml:space="preserve"> E$136</f>
        <v>Signature bonus</v>
      </c>
      <c r="F264" s="1036">
        <f t="shared" si="56"/>
        <v>0</v>
      </c>
      <c r="G264" s="1036" t="str">
        <f t="shared" si="56"/>
        <v>US$ mn</v>
      </c>
      <c r="H264" s="1036">
        <f t="shared" si="56"/>
        <v>0</v>
      </c>
      <c r="I264" s="1036">
        <f t="shared" ca="1" si="56"/>
        <v>0</v>
      </c>
      <c r="J264" s="1036">
        <f t="shared" si="56"/>
        <v>0</v>
      </c>
      <c r="K264" s="1036">
        <f t="shared" ca="1" si="56"/>
        <v>0</v>
      </c>
      <c r="L264" s="1036">
        <f t="shared" ca="1" si="56"/>
        <v>0</v>
      </c>
      <c r="M264" s="1036">
        <f t="shared" ca="1" si="56"/>
        <v>0</v>
      </c>
      <c r="N264" s="1036">
        <f t="shared" ca="1" si="56"/>
        <v>0</v>
      </c>
      <c r="O264" s="1036">
        <f t="shared" ca="1" si="56"/>
        <v>0</v>
      </c>
      <c r="P264" s="1036">
        <f t="shared" ca="1" si="56"/>
        <v>0</v>
      </c>
      <c r="Q264" s="1036">
        <f t="shared" ca="1" si="56"/>
        <v>0</v>
      </c>
      <c r="R264" s="1036">
        <f t="shared" ca="1" si="56"/>
        <v>0</v>
      </c>
      <c r="S264" s="1036">
        <f t="shared" ca="1" si="56"/>
        <v>0</v>
      </c>
      <c r="T264" s="1036">
        <f t="shared" ca="1" si="56"/>
        <v>0</v>
      </c>
      <c r="U264" s="1036">
        <f t="shared" ca="1" si="56"/>
        <v>0</v>
      </c>
      <c r="V264" s="1036">
        <f t="shared" ca="1" si="56"/>
        <v>0</v>
      </c>
      <c r="W264" s="1036">
        <f t="shared" ca="1" si="56"/>
        <v>0</v>
      </c>
      <c r="X264" s="1036">
        <f t="shared" ca="1" si="56"/>
        <v>0</v>
      </c>
      <c r="Y264" s="1036">
        <f t="shared" ca="1" si="56"/>
        <v>0</v>
      </c>
      <c r="Z264" s="1036">
        <f t="shared" ca="1" si="56"/>
        <v>0</v>
      </c>
      <c r="AA264" s="1036">
        <f t="shared" ca="1" si="56"/>
        <v>0</v>
      </c>
      <c r="AB264" s="1036">
        <f t="shared" ca="1" si="56"/>
        <v>0</v>
      </c>
      <c r="AC264" s="1036">
        <f t="shared" ca="1" si="56"/>
        <v>0</v>
      </c>
      <c r="AD264" s="1036">
        <f t="shared" ca="1" si="56"/>
        <v>0</v>
      </c>
      <c r="AE264" s="1036">
        <f t="shared" ca="1" si="56"/>
        <v>0</v>
      </c>
      <c r="AF264" s="1036">
        <f t="shared" ca="1" si="56"/>
        <v>0</v>
      </c>
      <c r="AG264" s="1036">
        <f t="shared" ca="1" si="56"/>
        <v>0</v>
      </c>
      <c r="AH264" s="1036">
        <f t="shared" ca="1" si="56"/>
        <v>0</v>
      </c>
      <c r="AI264" s="1036">
        <f t="shared" ca="1" si="56"/>
        <v>0</v>
      </c>
      <c r="AJ264" s="1036">
        <f t="shared" ca="1" si="56"/>
        <v>0</v>
      </c>
      <c r="AK264" s="1036">
        <f t="shared" ca="1" si="56"/>
        <v>0</v>
      </c>
      <c r="AL264" s="1036">
        <f t="shared" ca="1" si="56"/>
        <v>0</v>
      </c>
      <c r="AM264" s="1036">
        <f t="shared" ca="1" si="56"/>
        <v>0</v>
      </c>
      <c r="AN264" s="1036">
        <f t="shared" ca="1" si="56"/>
        <v>0</v>
      </c>
      <c r="AO264" s="1036">
        <f t="shared" ca="1" si="56"/>
        <v>0</v>
      </c>
      <c r="AP264" s="1036">
        <f t="shared" ca="1" si="56"/>
        <v>0</v>
      </c>
      <c r="AQ264" s="1036">
        <f t="shared" ca="1" si="56"/>
        <v>0</v>
      </c>
      <c r="AR264" s="1036">
        <f t="shared" ca="1" si="56"/>
        <v>0</v>
      </c>
      <c r="AS264" s="1036">
        <f t="shared" ca="1" si="56"/>
        <v>0</v>
      </c>
      <c r="AT264" s="1036">
        <f t="shared" ca="1" si="56"/>
        <v>0</v>
      </c>
      <c r="AU264" s="1036">
        <f t="shared" ca="1" si="56"/>
        <v>0</v>
      </c>
      <c r="AV264" s="1036">
        <f t="shared" ca="1" si="56"/>
        <v>0</v>
      </c>
      <c r="AW264" s="1036">
        <f t="shared" ca="1" si="56"/>
        <v>0</v>
      </c>
      <c r="AX264" s="1036">
        <f t="shared" ca="1" si="56"/>
        <v>0</v>
      </c>
    </row>
    <row r="265" spans="1:50" ht="15" customHeight="1">
      <c r="A265" s="347"/>
      <c r="B265" s="643"/>
      <c r="C265" s="333"/>
      <c r="D265" s="1112"/>
      <c r="E265" s="1036" t="str">
        <f>E$249</f>
        <v>Carbon tax</v>
      </c>
      <c r="F265" s="1036">
        <f t="shared" ref="F265:AX265" si="57">F$249</f>
        <v>0</v>
      </c>
      <c r="G265" s="1036" t="str">
        <f t="shared" si="57"/>
        <v>US$ mn</v>
      </c>
      <c r="H265" s="1036">
        <f t="shared" si="57"/>
        <v>0</v>
      </c>
      <c r="I265" s="1036">
        <f t="shared" ca="1" si="57"/>
        <v>0</v>
      </c>
      <c r="J265" s="1036">
        <f t="shared" si="57"/>
        <v>0</v>
      </c>
      <c r="K265" s="1036">
        <f t="shared" ca="1" si="57"/>
        <v>0</v>
      </c>
      <c r="L265" s="1036">
        <f t="shared" ca="1" si="57"/>
        <v>0</v>
      </c>
      <c r="M265" s="1036">
        <f t="shared" ca="1" si="57"/>
        <v>0</v>
      </c>
      <c r="N265" s="1036">
        <f t="shared" ca="1" si="57"/>
        <v>0</v>
      </c>
      <c r="O265" s="1036">
        <f t="shared" ca="1" si="57"/>
        <v>0</v>
      </c>
      <c r="P265" s="1036">
        <f t="shared" ca="1" si="57"/>
        <v>0</v>
      </c>
      <c r="Q265" s="1036">
        <f t="shared" ca="1" si="57"/>
        <v>0</v>
      </c>
      <c r="R265" s="1036">
        <f t="shared" ca="1" si="57"/>
        <v>0</v>
      </c>
      <c r="S265" s="1036">
        <f t="shared" ca="1" si="57"/>
        <v>0</v>
      </c>
      <c r="T265" s="1036">
        <f t="shared" ca="1" si="57"/>
        <v>0</v>
      </c>
      <c r="U265" s="1036">
        <f t="shared" ca="1" si="57"/>
        <v>0</v>
      </c>
      <c r="V265" s="1036">
        <f t="shared" ca="1" si="57"/>
        <v>0</v>
      </c>
      <c r="W265" s="1036">
        <f t="shared" ca="1" si="57"/>
        <v>0</v>
      </c>
      <c r="X265" s="1036">
        <f t="shared" ca="1" si="57"/>
        <v>0</v>
      </c>
      <c r="Y265" s="1036">
        <f t="shared" ca="1" si="57"/>
        <v>0</v>
      </c>
      <c r="Z265" s="1036">
        <f t="shared" ca="1" si="57"/>
        <v>0</v>
      </c>
      <c r="AA265" s="1036">
        <f t="shared" ca="1" si="57"/>
        <v>0</v>
      </c>
      <c r="AB265" s="1036">
        <f t="shared" ca="1" si="57"/>
        <v>0</v>
      </c>
      <c r="AC265" s="1036">
        <f t="shared" ca="1" si="57"/>
        <v>0</v>
      </c>
      <c r="AD265" s="1036">
        <f t="shared" ca="1" si="57"/>
        <v>0</v>
      </c>
      <c r="AE265" s="1036">
        <f t="shared" ca="1" si="57"/>
        <v>0</v>
      </c>
      <c r="AF265" s="1036">
        <f t="shared" ca="1" si="57"/>
        <v>0</v>
      </c>
      <c r="AG265" s="1036">
        <f t="shared" ca="1" si="57"/>
        <v>0</v>
      </c>
      <c r="AH265" s="1036">
        <f t="shared" ca="1" si="57"/>
        <v>0</v>
      </c>
      <c r="AI265" s="1036">
        <f t="shared" ca="1" si="57"/>
        <v>0</v>
      </c>
      <c r="AJ265" s="1036">
        <f t="shared" ca="1" si="57"/>
        <v>0</v>
      </c>
      <c r="AK265" s="1036">
        <f t="shared" ca="1" si="57"/>
        <v>0</v>
      </c>
      <c r="AL265" s="1036">
        <f t="shared" ca="1" si="57"/>
        <v>0</v>
      </c>
      <c r="AM265" s="1036">
        <f t="shared" ca="1" si="57"/>
        <v>0</v>
      </c>
      <c r="AN265" s="1036">
        <f t="shared" ca="1" si="57"/>
        <v>0</v>
      </c>
      <c r="AO265" s="1036">
        <f t="shared" ca="1" si="57"/>
        <v>0</v>
      </c>
      <c r="AP265" s="1036">
        <f t="shared" ca="1" si="57"/>
        <v>0</v>
      </c>
      <c r="AQ265" s="1036">
        <f t="shared" ca="1" si="57"/>
        <v>0</v>
      </c>
      <c r="AR265" s="1036">
        <f t="shared" ca="1" si="57"/>
        <v>0</v>
      </c>
      <c r="AS265" s="1036">
        <f t="shared" ca="1" si="57"/>
        <v>0</v>
      </c>
      <c r="AT265" s="1036">
        <f t="shared" ca="1" si="57"/>
        <v>0</v>
      </c>
      <c r="AU265" s="1036">
        <f t="shared" ca="1" si="57"/>
        <v>0</v>
      </c>
      <c r="AV265" s="1036">
        <f t="shared" ca="1" si="57"/>
        <v>0</v>
      </c>
      <c r="AW265" s="1036">
        <f t="shared" ca="1" si="57"/>
        <v>0</v>
      </c>
      <c r="AX265" s="1036">
        <f t="shared" ca="1" si="57"/>
        <v>0</v>
      </c>
    </row>
    <row r="266" spans="1:50" s="556" customFormat="1" ht="15" customHeight="1">
      <c r="A266" s="569"/>
      <c r="B266" s="692"/>
      <c r="C266" s="554"/>
      <c r="D266" s="1107"/>
      <c r="E266" s="1108" t="str">
        <f>Translate!$E$379</f>
        <v>Project costs</v>
      </c>
      <c r="F266" s="1109"/>
      <c r="G266" s="1109" t="str">
        <f xml:space="preserve"> Translate!E$10</f>
        <v>US$ mn</v>
      </c>
      <c r="H266" s="1109"/>
      <c r="I266" s="1109">
        <f ca="1" xml:space="preserve"> SUM(K266:AX266)</f>
        <v>1750.3653390514589</v>
      </c>
      <c r="J266" s="1109"/>
      <c r="K266" s="1109">
        <f ca="1">SUM(K259:K265)</f>
        <v>10</v>
      </c>
      <c r="L266" s="1109">
        <f t="shared" ref="L266:AX266" ca="1" si="58">SUM(L259:L265)</f>
        <v>10.199999999999999</v>
      </c>
      <c r="M266" s="1109">
        <f t="shared" ca="1" si="58"/>
        <v>10.404</v>
      </c>
      <c r="N266" s="1109">
        <f t="shared" ca="1" si="58"/>
        <v>53.060399999999994</v>
      </c>
      <c r="O266" s="1109">
        <f t="shared" ca="1" si="58"/>
        <v>275.47898472000003</v>
      </c>
      <c r="P266" s="1109">
        <f t="shared" ca="1" si="58"/>
        <v>156.50345385360001</v>
      </c>
      <c r="Q266" s="1109">
        <f t="shared" ca="1" si="58"/>
        <v>85.025262654432012</v>
      </c>
      <c r="R266" s="1109">
        <f t="shared" ca="1" si="58"/>
        <v>86.725767907520648</v>
      </c>
      <c r="S266" s="1109">
        <f t="shared" ca="1" si="58"/>
        <v>88.460283265671066</v>
      </c>
      <c r="T266" s="1109">
        <f t="shared" ca="1" si="58"/>
        <v>90.229488930984488</v>
      </c>
      <c r="U266" s="1109">
        <f t="shared" ca="1" si="58"/>
        <v>92.034078709604174</v>
      </c>
      <c r="V266" s="1109">
        <f t="shared" ca="1" si="58"/>
        <v>93.874760283796263</v>
      </c>
      <c r="W266" s="1109">
        <f t="shared" ca="1" si="58"/>
        <v>95.752255489472176</v>
      </c>
      <c r="X266" s="1109">
        <f t="shared" ca="1" si="58"/>
        <v>101.19910022488865</v>
      </c>
      <c r="Y266" s="1109">
        <f t="shared" ca="1" si="58"/>
        <v>103.15244623687389</v>
      </c>
      <c r="Z266" s="1109">
        <f t="shared" ca="1" si="58"/>
        <v>105.14485916909885</v>
      </c>
      <c r="AA266" s="1109">
        <f t="shared" ca="1" si="58"/>
        <v>91.733281177698885</v>
      </c>
      <c r="AB266" s="1109">
        <f t="shared" ca="1" si="58"/>
        <v>66.542663489286141</v>
      </c>
      <c r="AC266" s="1109">
        <f t="shared" ca="1" si="58"/>
        <v>51.735110481326259</v>
      </c>
      <c r="AD266" s="1109">
        <f t="shared" ca="1" si="58"/>
        <v>46.143526422065143</v>
      </c>
      <c r="AE266" s="1109">
        <f t="shared" ca="1" si="58"/>
        <v>36.965616035140016</v>
      </c>
      <c r="AF266" s="1109">
        <f t="shared" ca="1" si="58"/>
        <v>0</v>
      </c>
      <c r="AG266" s="1109">
        <f t="shared" ca="1" si="58"/>
        <v>0</v>
      </c>
      <c r="AH266" s="1109">
        <f t="shared" ca="1" si="58"/>
        <v>0</v>
      </c>
      <c r="AI266" s="1109">
        <f t="shared" ca="1" si="58"/>
        <v>0</v>
      </c>
      <c r="AJ266" s="1109">
        <f t="shared" ca="1" si="58"/>
        <v>0</v>
      </c>
      <c r="AK266" s="1109">
        <f t="shared" ca="1" si="58"/>
        <v>0</v>
      </c>
      <c r="AL266" s="1109">
        <f t="shared" ca="1" si="58"/>
        <v>0</v>
      </c>
      <c r="AM266" s="1109">
        <f t="shared" ca="1" si="58"/>
        <v>0</v>
      </c>
      <c r="AN266" s="1109">
        <f t="shared" ca="1" si="58"/>
        <v>0</v>
      </c>
      <c r="AO266" s="1109">
        <f t="shared" ca="1" si="58"/>
        <v>0</v>
      </c>
      <c r="AP266" s="1109">
        <f t="shared" ca="1" si="58"/>
        <v>0</v>
      </c>
      <c r="AQ266" s="1109">
        <f t="shared" ca="1" si="58"/>
        <v>0</v>
      </c>
      <c r="AR266" s="1109">
        <f t="shared" ca="1" si="58"/>
        <v>0</v>
      </c>
      <c r="AS266" s="1109">
        <f t="shared" ca="1" si="58"/>
        <v>0</v>
      </c>
      <c r="AT266" s="1109">
        <f t="shared" ca="1" si="58"/>
        <v>0</v>
      </c>
      <c r="AU266" s="1109">
        <f t="shared" ca="1" si="58"/>
        <v>0</v>
      </c>
      <c r="AV266" s="1109">
        <f t="shared" ca="1" si="58"/>
        <v>0</v>
      </c>
      <c r="AW266" s="1109">
        <f t="shared" ca="1" si="58"/>
        <v>0</v>
      </c>
      <c r="AX266" s="1109">
        <f t="shared" ca="1" si="58"/>
        <v>0</v>
      </c>
    </row>
    <row r="267" spans="1:50" ht="15" customHeight="1">
      <c r="A267" s="347"/>
      <c r="B267" s="643"/>
      <c r="C267" s="333"/>
      <c r="D267" s="1077"/>
      <c r="E267" s="1024"/>
      <c r="F267" s="1059"/>
      <c r="G267" s="1059"/>
      <c r="H267" s="1059"/>
      <c r="I267" s="1049"/>
      <c r="J267" s="1059"/>
      <c r="K267" s="1059"/>
      <c r="L267" s="1059"/>
      <c r="M267" s="1059"/>
      <c r="N267" s="1059"/>
      <c r="O267" s="1059"/>
      <c r="P267" s="1059"/>
      <c r="Q267" s="1059"/>
      <c r="R267" s="1059"/>
      <c r="S267" s="1059"/>
      <c r="T267" s="1059"/>
      <c r="U267" s="1059"/>
      <c r="V267" s="1059"/>
      <c r="W267" s="1059"/>
      <c r="X267" s="1059"/>
      <c r="Y267" s="1059"/>
      <c r="Z267" s="1059"/>
      <c r="AA267" s="1059"/>
      <c r="AB267" s="1059"/>
      <c r="AC267" s="1059"/>
      <c r="AD267" s="1059"/>
      <c r="AE267" s="1059"/>
      <c r="AF267" s="1059"/>
      <c r="AG267" s="1059"/>
      <c r="AH267" s="1059"/>
      <c r="AI267" s="1059"/>
      <c r="AJ267" s="1059"/>
      <c r="AK267" s="1059"/>
      <c r="AL267" s="1059"/>
      <c r="AM267" s="1059"/>
      <c r="AN267" s="1059"/>
      <c r="AO267" s="1059"/>
      <c r="AP267" s="1059"/>
      <c r="AQ267" s="1059"/>
      <c r="AR267" s="1059"/>
      <c r="AS267" s="1059"/>
      <c r="AT267" s="1059"/>
      <c r="AU267" s="1059"/>
      <c r="AV267" s="1059"/>
      <c r="AW267" s="1059"/>
      <c r="AX267" s="1059"/>
    </row>
    <row r="268" spans="1:50" ht="15" customHeight="1">
      <c r="A268" s="347"/>
      <c r="B268" s="643"/>
      <c r="C268" s="333"/>
      <c r="D268" s="1077"/>
      <c r="E268" s="1024" t="str">
        <f>Translate!$E$27</f>
        <v>Project cashflows after decommissioning, royalty, bonus and carbon tax</v>
      </c>
      <c r="F268" s="1059"/>
      <c r="G268" s="1059" t="str">
        <f xml:space="preserve"> Translate!E$10</f>
        <v>US$ mn</v>
      </c>
      <c r="H268" s="1059"/>
      <c r="I268" s="1049">
        <f ca="1" xml:space="preserve"> SUM(K268:AX268)</f>
        <v>1796.2487791272606</v>
      </c>
      <c r="J268" s="1059"/>
      <c r="K268" s="1059">
        <f t="shared" ref="K268:AX268" ca="1" si="59" xml:space="preserve"> K257 - K266</f>
        <v>-10</v>
      </c>
      <c r="L268" s="1059">
        <f t="shared" ca="1" si="59"/>
        <v>-10.199999999999999</v>
      </c>
      <c r="M268" s="1059">
        <f t="shared" ca="1" si="59"/>
        <v>-10.404</v>
      </c>
      <c r="N268" s="1059">
        <f t="shared" ca="1" si="59"/>
        <v>-53.060399999999994</v>
      </c>
      <c r="O268" s="1059">
        <f t="shared" ca="1" si="59"/>
        <v>-260.31140407800001</v>
      </c>
      <c r="P268" s="1059">
        <f t="shared" ca="1" si="59"/>
        <v>-40.47146194230001</v>
      </c>
      <c r="Q268" s="1059">
        <f t="shared" ca="1" si="59"/>
        <v>151.68000084462</v>
      </c>
      <c r="R268" s="1059">
        <f t="shared" ca="1" si="59"/>
        <v>154.71360086151236</v>
      </c>
      <c r="S268" s="1059">
        <f t="shared" ca="1" si="59"/>
        <v>157.80787287874267</v>
      </c>
      <c r="T268" s="1059">
        <f t="shared" ca="1" si="59"/>
        <v>160.96403033631753</v>
      </c>
      <c r="U268" s="1059">
        <f t="shared" ca="1" si="59"/>
        <v>164.18331094304392</v>
      </c>
      <c r="V268" s="1059">
        <f t="shared" ca="1" si="59"/>
        <v>167.46697716190471</v>
      </c>
      <c r="W268" s="1059">
        <f t="shared" ca="1" si="59"/>
        <v>170.81631670514287</v>
      </c>
      <c r="X268" s="1059">
        <f t="shared" ca="1" si="59"/>
        <v>170.70084341361866</v>
      </c>
      <c r="Y268" s="1059">
        <f t="shared" ca="1" si="59"/>
        <v>174.18549627440362</v>
      </c>
      <c r="Z268" s="1059">
        <f t="shared" ca="1" si="59"/>
        <v>177.73984219240421</v>
      </c>
      <c r="AA268" s="1059">
        <f t="shared" ca="1" si="59"/>
        <v>148.71871497957875</v>
      </c>
      <c r="AB268" s="1059">
        <f t="shared" ca="1" si="59"/>
        <v>129.6661653750524</v>
      </c>
      <c r="AC268" s="1059">
        <f t="shared" ca="1" si="59"/>
        <v>98.364643599892716</v>
      </c>
      <c r="AD268" s="1059">
        <f t="shared" ca="1" si="59"/>
        <v>86.544656185732407</v>
      </c>
      <c r="AE268" s="1059">
        <f t="shared" ca="1" si="59"/>
        <v>67.143573395593464</v>
      </c>
      <c r="AF268" s="1059">
        <f t="shared" ca="1" si="59"/>
        <v>0</v>
      </c>
      <c r="AG268" s="1059">
        <f t="shared" ca="1" si="59"/>
        <v>0</v>
      </c>
      <c r="AH268" s="1059">
        <f t="shared" ca="1" si="59"/>
        <v>0</v>
      </c>
      <c r="AI268" s="1059">
        <f t="shared" ca="1" si="59"/>
        <v>0</v>
      </c>
      <c r="AJ268" s="1059">
        <f t="shared" ca="1" si="59"/>
        <v>0</v>
      </c>
      <c r="AK268" s="1059">
        <f t="shared" ca="1" si="59"/>
        <v>0</v>
      </c>
      <c r="AL268" s="1059">
        <f t="shared" ca="1" si="59"/>
        <v>0</v>
      </c>
      <c r="AM268" s="1059">
        <f t="shared" ca="1" si="59"/>
        <v>0</v>
      </c>
      <c r="AN268" s="1059">
        <f t="shared" ca="1" si="59"/>
        <v>0</v>
      </c>
      <c r="AO268" s="1059">
        <f t="shared" ca="1" si="59"/>
        <v>0</v>
      </c>
      <c r="AP268" s="1059">
        <f t="shared" ca="1" si="59"/>
        <v>0</v>
      </c>
      <c r="AQ268" s="1059">
        <f t="shared" ca="1" si="59"/>
        <v>0</v>
      </c>
      <c r="AR268" s="1059">
        <f t="shared" ca="1" si="59"/>
        <v>0</v>
      </c>
      <c r="AS268" s="1059">
        <f t="shared" ca="1" si="59"/>
        <v>0</v>
      </c>
      <c r="AT268" s="1059">
        <f t="shared" ca="1" si="59"/>
        <v>0</v>
      </c>
      <c r="AU268" s="1059">
        <f t="shared" ca="1" si="59"/>
        <v>0</v>
      </c>
      <c r="AV268" s="1059">
        <f t="shared" ca="1" si="59"/>
        <v>0</v>
      </c>
      <c r="AW268" s="1059">
        <f t="shared" ca="1" si="59"/>
        <v>0</v>
      </c>
      <c r="AX268" s="1059">
        <f t="shared" ca="1" si="59"/>
        <v>0</v>
      </c>
    </row>
    <row r="269" spans="1:50" ht="15" customHeight="1">
      <c r="A269" s="1041"/>
      <c r="D269" s="1005"/>
      <c r="E269" s="1041"/>
      <c r="F269" s="1041"/>
      <c r="G269" s="1041"/>
      <c r="H269" s="1041"/>
      <c r="I269" s="1041"/>
      <c r="J269" s="1041"/>
      <c r="K269" s="1041"/>
      <c r="L269" s="1041"/>
      <c r="M269" s="1041"/>
      <c r="N269" s="1041"/>
      <c r="O269" s="1041"/>
      <c r="P269" s="1041"/>
      <c r="Q269" s="1041"/>
      <c r="R269" s="1041"/>
      <c r="S269" s="1041"/>
      <c r="T269" s="1041"/>
      <c r="U269" s="1041"/>
      <c r="V269" s="1041"/>
      <c r="W269" s="1041"/>
      <c r="X269" s="1041"/>
      <c r="Y269" s="1041"/>
      <c r="Z269" s="1041"/>
      <c r="AA269" s="1041"/>
      <c r="AB269" s="1041"/>
      <c r="AC269" s="1041"/>
      <c r="AD269" s="1041"/>
      <c r="AE269" s="1041"/>
      <c r="AF269" s="1041"/>
      <c r="AG269" s="1041"/>
      <c r="AH269" s="1041"/>
      <c r="AI269" s="1041"/>
      <c r="AJ269" s="1041"/>
      <c r="AK269" s="1041"/>
      <c r="AL269" s="1041"/>
      <c r="AM269" s="1041"/>
      <c r="AN269" s="1041"/>
      <c r="AO269" s="1041"/>
      <c r="AP269" s="1041"/>
      <c r="AQ269" s="1041"/>
      <c r="AR269" s="1041"/>
      <c r="AS269" s="1041"/>
      <c r="AT269" s="1041"/>
      <c r="AU269" s="1041"/>
      <c r="AV269" s="1041"/>
      <c r="AW269" s="1041"/>
      <c r="AX269" s="1041"/>
    </row>
    <row r="270" spans="1:50" ht="15" customHeight="1">
      <c r="A270" s="347"/>
      <c r="B270" s="643"/>
      <c r="C270" s="333"/>
      <c r="D270" s="1077"/>
      <c r="E270" s="1024"/>
      <c r="F270" s="1059"/>
      <c r="G270" s="1059"/>
      <c r="H270" s="1059"/>
      <c r="I270" s="1049"/>
      <c r="J270" s="1059"/>
      <c r="K270" s="1059"/>
      <c r="L270" s="1059"/>
      <c r="M270" s="1059"/>
      <c r="N270" s="1059"/>
      <c r="O270" s="1059"/>
      <c r="P270" s="1059"/>
      <c r="Q270" s="1059"/>
      <c r="R270" s="1059"/>
      <c r="S270" s="1059"/>
      <c r="T270" s="1059"/>
      <c r="U270" s="1059"/>
      <c r="V270" s="1059"/>
      <c r="W270" s="1059"/>
      <c r="X270" s="1059"/>
      <c r="Y270" s="1059"/>
      <c r="Z270" s="1059"/>
      <c r="AA270" s="1059"/>
      <c r="AB270" s="1059"/>
      <c r="AC270" s="1059"/>
      <c r="AD270" s="1059"/>
      <c r="AE270" s="1059"/>
      <c r="AF270" s="1059"/>
      <c r="AG270" s="1059"/>
      <c r="AH270" s="1059"/>
      <c r="AI270" s="1059"/>
      <c r="AJ270" s="1059"/>
      <c r="AK270" s="1059"/>
      <c r="AL270" s="1059"/>
      <c r="AM270" s="1059"/>
      <c r="AN270" s="1059"/>
      <c r="AO270" s="1059"/>
      <c r="AP270" s="1059"/>
      <c r="AQ270" s="1059"/>
      <c r="AR270" s="1059"/>
      <c r="AS270" s="1059"/>
      <c r="AT270" s="1059"/>
      <c r="AU270" s="1059"/>
      <c r="AV270" s="1059"/>
      <c r="AW270" s="1059"/>
      <c r="AX270" s="1059"/>
    </row>
    <row r="271" spans="1:50" ht="15" customHeight="1">
      <c r="A271" s="351" t="str">
        <f>Translate!$E$28</f>
        <v>Project debt financing</v>
      </c>
      <c r="B271" s="686"/>
      <c r="C271" s="352"/>
      <c r="D271" s="353"/>
      <c r="E271" s="3"/>
      <c r="F271" s="351"/>
      <c r="G271" s="351"/>
      <c r="H271" s="351"/>
      <c r="I271" s="351"/>
      <c r="J271" s="351"/>
      <c r="K271" s="351"/>
      <c r="L271" s="351"/>
      <c r="M271" s="351"/>
      <c r="N271" s="351"/>
      <c r="O271" s="351"/>
      <c r="P271" s="351"/>
      <c r="Q271" s="351"/>
      <c r="R271" s="351"/>
      <c r="S271" s="351"/>
      <c r="T271" s="351"/>
      <c r="U271" s="351"/>
      <c r="V271" s="351"/>
      <c r="W271" s="351"/>
      <c r="X271" s="351"/>
      <c r="Y271" s="351"/>
      <c r="Z271" s="351"/>
      <c r="AA271" s="351"/>
      <c r="AB271" s="351"/>
      <c r="AC271" s="351"/>
      <c r="AD271" s="351"/>
      <c r="AE271" s="351"/>
      <c r="AF271" s="351"/>
      <c r="AG271" s="351"/>
      <c r="AH271" s="351"/>
      <c r="AI271" s="351"/>
      <c r="AJ271" s="351"/>
      <c r="AK271" s="351"/>
      <c r="AL271" s="351"/>
      <c r="AM271" s="351"/>
      <c r="AN271" s="351"/>
      <c r="AO271" s="351"/>
      <c r="AP271" s="351"/>
      <c r="AQ271" s="351"/>
      <c r="AR271" s="351"/>
      <c r="AS271" s="351"/>
      <c r="AT271" s="351"/>
      <c r="AU271" s="351"/>
      <c r="AV271" s="351"/>
      <c r="AW271" s="351"/>
      <c r="AX271" s="351"/>
    </row>
    <row r="272" spans="1:50" ht="15" customHeight="1">
      <c r="A272" s="347"/>
      <c r="B272" s="643"/>
      <c r="C272" s="333"/>
      <c r="D272" s="1077"/>
      <c r="E272" s="1024"/>
      <c r="F272" s="1059"/>
      <c r="G272" s="1059"/>
      <c r="H272" s="1059"/>
      <c r="I272" s="1049"/>
      <c r="J272" s="1059"/>
      <c r="K272" s="1059"/>
      <c r="L272" s="1059"/>
      <c r="M272" s="1059"/>
      <c r="N272" s="1059"/>
      <c r="O272" s="1059"/>
      <c r="P272" s="1059"/>
      <c r="Q272" s="1059"/>
      <c r="R272" s="1059"/>
      <c r="S272" s="1059"/>
      <c r="T272" s="1059"/>
      <c r="U272" s="1059"/>
      <c r="V272" s="1059"/>
      <c r="W272" s="1059"/>
      <c r="X272" s="1059"/>
      <c r="Y272" s="1059"/>
      <c r="Z272" s="1059"/>
      <c r="AA272" s="1059"/>
      <c r="AB272" s="1059"/>
      <c r="AC272" s="1059"/>
      <c r="AD272" s="1059"/>
      <c r="AE272" s="1059"/>
      <c r="AF272" s="1059"/>
      <c r="AG272" s="1059"/>
      <c r="AH272" s="1059"/>
      <c r="AI272" s="1059"/>
      <c r="AJ272" s="1059"/>
      <c r="AK272" s="1059"/>
      <c r="AL272" s="1059"/>
      <c r="AM272" s="1059"/>
      <c r="AN272" s="1059"/>
      <c r="AO272" s="1059"/>
      <c r="AP272" s="1059"/>
      <c r="AQ272" s="1059"/>
      <c r="AR272" s="1059"/>
      <c r="AS272" s="1059"/>
      <c r="AT272" s="1059"/>
      <c r="AU272" s="1059"/>
      <c r="AV272" s="1059"/>
      <c r="AW272" s="1059"/>
      <c r="AX272" s="1059"/>
    </row>
    <row r="273" spans="1:50" ht="15" customHeight="1">
      <c r="A273" s="347"/>
      <c r="B273" s="643" t="str">
        <f>Translate!$E$67</f>
        <v>Development costs to be financed by debt</v>
      </c>
      <c r="C273" s="333"/>
      <c r="D273" s="1077"/>
      <c r="E273" s="1024"/>
      <c r="F273" s="1059"/>
      <c r="G273" s="1059"/>
      <c r="H273" s="1059"/>
      <c r="I273" s="1049"/>
      <c r="J273" s="1059"/>
      <c r="K273" s="1059"/>
      <c r="L273" s="1059"/>
      <c r="M273" s="1059"/>
      <c r="N273" s="1059"/>
      <c r="O273" s="1059"/>
      <c r="P273" s="1059"/>
      <c r="Q273" s="1059"/>
      <c r="R273" s="1059"/>
      <c r="S273" s="1059"/>
      <c r="T273" s="1059"/>
      <c r="U273" s="1059"/>
      <c r="V273" s="1059"/>
      <c r="W273" s="1059"/>
      <c r="X273" s="1059"/>
      <c r="Y273" s="1059"/>
      <c r="Z273" s="1059"/>
      <c r="AA273" s="1059"/>
      <c r="AB273" s="1059"/>
      <c r="AC273" s="1059"/>
      <c r="AD273" s="1059"/>
      <c r="AE273" s="1059"/>
      <c r="AF273" s="1059"/>
      <c r="AG273" s="1059"/>
      <c r="AH273" s="1059"/>
      <c r="AI273" s="1059"/>
      <c r="AJ273" s="1059"/>
      <c r="AK273" s="1059"/>
      <c r="AL273" s="1059"/>
      <c r="AM273" s="1059"/>
      <c r="AN273" s="1059"/>
      <c r="AO273" s="1059"/>
      <c r="AP273" s="1059"/>
      <c r="AQ273" s="1059"/>
      <c r="AR273" s="1059"/>
      <c r="AS273" s="1059"/>
      <c r="AT273" s="1059"/>
      <c r="AU273" s="1059"/>
      <c r="AV273" s="1059"/>
      <c r="AW273" s="1059"/>
      <c r="AX273" s="1059"/>
    </row>
    <row r="274" spans="1:50" ht="15" customHeight="1">
      <c r="A274" s="347"/>
      <c r="B274" s="643"/>
      <c r="C274" s="333" t="str">
        <f>Translate!$E$104</f>
        <v>Determine financing and repayment period</v>
      </c>
      <c r="D274" s="1077"/>
      <c r="E274" s="1024"/>
      <c r="F274" s="1059"/>
      <c r="G274" s="1059"/>
      <c r="H274" s="1059"/>
      <c r="I274" s="1049"/>
      <c r="J274" s="1059"/>
      <c r="K274" s="1059"/>
      <c r="L274" s="1059"/>
      <c r="M274" s="1059"/>
      <c r="N274" s="1059"/>
      <c r="O274" s="1059"/>
      <c r="P274" s="1059"/>
      <c r="Q274" s="1059"/>
      <c r="R274" s="1059"/>
      <c r="S274" s="1059"/>
      <c r="T274" s="1059"/>
      <c r="U274" s="1059"/>
      <c r="V274" s="1059"/>
      <c r="W274" s="1059"/>
      <c r="X274" s="1059"/>
      <c r="Y274" s="1059"/>
      <c r="Z274" s="1059"/>
      <c r="AA274" s="1059"/>
      <c r="AB274" s="1059"/>
      <c r="AC274" s="1059"/>
      <c r="AD274" s="1059"/>
      <c r="AE274" s="1059"/>
      <c r="AF274" s="1059"/>
      <c r="AG274" s="1059"/>
      <c r="AH274" s="1059"/>
      <c r="AI274" s="1059"/>
      <c r="AJ274" s="1059"/>
      <c r="AK274" s="1059"/>
      <c r="AL274" s="1059"/>
      <c r="AM274" s="1059"/>
      <c r="AN274" s="1059"/>
      <c r="AO274" s="1059"/>
      <c r="AP274" s="1059"/>
      <c r="AQ274" s="1059"/>
      <c r="AR274" s="1059"/>
      <c r="AS274" s="1059"/>
      <c r="AT274" s="1059"/>
      <c r="AU274" s="1059"/>
      <c r="AV274" s="1059"/>
      <c r="AW274" s="1059"/>
      <c r="AX274" s="1059"/>
    </row>
    <row r="275" spans="1:50" ht="15" customHeight="1">
      <c r="A275" s="347"/>
      <c r="B275" s="643"/>
      <c r="C275" s="333"/>
      <c r="D275" s="1077"/>
      <c r="E275" s="1024" t="str">
        <f t="shared" ref="E275:AX275" si="60" xml:space="preserve"> E$268</f>
        <v>Project cashflows after decommissioning, royalty, bonus and carbon tax</v>
      </c>
      <c r="F275" s="1024">
        <f t="shared" si="60"/>
        <v>0</v>
      </c>
      <c r="G275" s="1024" t="str">
        <f t="shared" si="60"/>
        <v>US$ mn</v>
      </c>
      <c r="H275" s="1024">
        <f t="shared" si="60"/>
        <v>0</v>
      </c>
      <c r="I275" s="1024">
        <f t="shared" ca="1" si="60"/>
        <v>1796.2487791272606</v>
      </c>
      <c r="J275" s="1024">
        <f t="shared" si="60"/>
        <v>0</v>
      </c>
      <c r="K275" s="1024">
        <f t="shared" ca="1" si="60"/>
        <v>-10</v>
      </c>
      <c r="L275" s="1024">
        <f t="shared" ca="1" si="60"/>
        <v>-10.199999999999999</v>
      </c>
      <c r="M275" s="1024">
        <f t="shared" ca="1" si="60"/>
        <v>-10.404</v>
      </c>
      <c r="N275" s="1024">
        <f t="shared" ca="1" si="60"/>
        <v>-53.060399999999994</v>
      </c>
      <c r="O275" s="1024">
        <f t="shared" ca="1" si="60"/>
        <v>-260.31140407800001</v>
      </c>
      <c r="P275" s="1024">
        <f t="shared" ca="1" si="60"/>
        <v>-40.47146194230001</v>
      </c>
      <c r="Q275" s="1024">
        <f t="shared" ca="1" si="60"/>
        <v>151.68000084462</v>
      </c>
      <c r="R275" s="1024">
        <f t="shared" ca="1" si="60"/>
        <v>154.71360086151236</v>
      </c>
      <c r="S275" s="1024">
        <f t="shared" ca="1" si="60"/>
        <v>157.80787287874267</v>
      </c>
      <c r="T275" s="1024">
        <f t="shared" ca="1" si="60"/>
        <v>160.96403033631753</v>
      </c>
      <c r="U275" s="1024">
        <f t="shared" ca="1" si="60"/>
        <v>164.18331094304392</v>
      </c>
      <c r="V275" s="1024">
        <f t="shared" ca="1" si="60"/>
        <v>167.46697716190471</v>
      </c>
      <c r="W275" s="1024">
        <f t="shared" ca="1" si="60"/>
        <v>170.81631670514287</v>
      </c>
      <c r="X275" s="1024">
        <f t="shared" ca="1" si="60"/>
        <v>170.70084341361866</v>
      </c>
      <c r="Y275" s="1024">
        <f t="shared" ca="1" si="60"/>
        <v>174.18549627440362</v>
      </c>
      <c r="Z275" s="1024">
        <f t="shared" ca="1" si="60"/>
        <v>177.73984219240421</v>
      </c>
      <c r="AA275" s="1024">
        <f t="shared" ca="1" si="60"/>
        <v>148.71871497957875</v>
      </c>
      <c r="AB275" s="1024">
        <f t="shared" ca="1" si="60"/>
        <v>129.6661653750524</v>
      </c>
      <c r="AC275" s="1024">
        <f t="shared" ca="1" si="60"/>
        <v>98.364643599892716</v>
      </c>
      <c r="AD275" s="1024">
        <f t="shared" ca="1" si="60"/>
        <v>86.544656185732407</v>
      </c>
      <c r="AE275" s="1024">
        <f t="shared" ca="1" si="60"/>
        <v>67.143573395593464</v>
      </c>
      <c r="AF275" s="1024">
        <f t="shared" ca="1" si="60"/>
        <v>0</v>
      </c>
      <c r="AG275" s="1024">
        <f t="shared" ca="1" si="60"/>
        <v>0</v>
      </c>
      <c r="AH275" s="1024">
        <f t="shared" ca="1" si="60"/>
        <v>0</v>
      </c>
      <c r="AI275" s="1024">
        <f t="shared" ca="1" si="60"/>
        <v>0</v>
      </c>
      <c r="AJ275" s="1024">
        <f t="shared" ca="1" si="60"/>
        <v>0</v>
      </c>
      <c r="AK275" s="1024">
        <f t="shared" ca="1" si="60"/>
        <v>0</v>
      </c>
      <c r="AL275" s="1024">
        <f t="shared" ca="1" si="60"/>
        <v>0</v>
      </c>
      <c r="AM275" s="1024">
        <f t="shared" ca="1" si="60"/>
        <v>0</v>
      </c>
      <c r="AN275" s="1024">
        <f t="shared" ca="1" si="60"/>
        <v>0</v>
      </c>
      <c r="AO275" s="1024">
        <f t="shared" ca="1" si="60"/>
        <v>0</v>
      </c>
      <c r="AP275" s="1024">
        <f t="shared" ca="1" si="60"/>
        <v>0</v>
      </c>
      <c r="AQ275" s="1024">
        <f t="shared" ca="1" si="60"/>
        <v>0</v>
      </c>
      <c r="AR275" s="1024">
        <f t="shared" ca="1" si="60"/>
        <v>0</v>
      </c>
      <c r="AS275" s="1024">
        <f t="shared" ca="1" si="60"/>
        <v>0</v>
      </c>
      <c r="AT275" s="1024">
        <f t="shared" ca="1" si="60"/>
        <v>0</v>
      </c>
      <c r="AU275" s="1024">
        <f t="shared" ca="1" si="60"/>
        <v>0</v>
      </c>
      <c r="AV275" s="1024">
        <f t="shared" ca="1" si="60"/>
        <v>0</v>
      </c>
      <c r="AW275" s="1024">
        <f t="shared" ca="1" si="60"/>
        <v>0</v>
      </c>
      <c r="AX275" s="1024">
        <f t="shared" ca="1" si="60"/>
        <v>0</v>
      </c>
    </row>
    <row r="276" spans="1:50" ht="15" customHeight="1">
      <c r="A276" s="347"/>
      <c r="B276" s="643"/>
      <c r="C276" s="333"/>
      <c r="D276" s="1077"/>
      <c r="E276" s="1024" t="str">
        <f>Translate!$E$194</f>
        <v>Project cashflows turn positive</v>
      </c>
      <c r="F276" s="1059"/>
      <c r="G276" s="1059" t="str">
        <f>Translate!$E$586</f>
        <v>Flag</v>
      </c>
      <c r="H276" s="1059"/>
      <c r="I276" s="1049">
        <f ca="1" xml:space="preserve"> SUM(K276:AX276)</f>
        <v>1</v>
      </c>
      <c r="J276" s="1053"/>
      <c r="K276" s="1059">
        <f ca="1" xml:space="preserve"> AND(L275 &gt; 0, K275 &lt; 0, (SUM($J276:J276) = 0 ) )* 1</f>
        <v>0</v>
      </c>
      <c r="L276" s="1059">
        <f ca="1" xml:space="preserve"> AND(M275 &gt; 0, L275 &lt; 0, (SUM($J276:K276) = 0 ) )* 1</f>
        <v>0</v>
      </c>
      <c r="M276" s="1059">
        <f ca="1" xml:space="preserve"> AND(N275 &gt; 0, M275 &lt; 0, (SUM($J276:L276) = 0 ) )* 1</f>
        <v>0</v>
      </c>
      <c r="N276" s="1059">
        <f ca="1" xml:space="preserve"> AND(O275 &gt; 0, N275 &lt; 0, (SUM($J276:M276) = 0 ) )* 1</f>
        <v>0</v>
      </c>
      <c r="O276" s="1059">
        <f ca="1" xml:space="preserve"> AND(P275 &gt; 0, O275 &lt; 0, (SUM($J276:N276) = 0 ) )* 1</f>
        <v>0</v>
      </c>
      <c r="P276" s="1059">
        <f ca="1" xml:space="preserve"> AND(Q275 &gt; 0, P275 &lt; 0, (SUM($J276:O276) = 0 ) )* 1</f>
        <v>1</v>
      </c>
      <c r="Q276" s="1059">
        <f ca="1" xml:space="preserve"> AND(R275 &gt; 0, Q275 &lt; 0, (SUM($J276:P276) = 0 ) )* 1</f>
        <v>0</v>
      </c>
      <c r="R276" s="1059">
        <f ca="1" xml:space="preserve"> AND(S275 &gt; 0, R275 &lt; 0, (SUM($J276:Q276) = 0 ) )* 1</f>
        <v>0</v>
      </c>
      <c r="S276" s="1059">
        <f ca="1" xml:space="preserve"> AND(T275 &gt; 0, S275 &lt; 0, (SUM($J276:R276) = 0 ) )* 1</f>
        <v>0</v>
      </c>
      <c r="T276" s="1059">
        <f ca="1" xml:space="preserve"> AND(U275 &gt; 0, T275 &lt; 0, (SUM($J276:S276) = 0 ) )* 1</f>
        <v>0</v>
      </c>
      <c r="U276" s="1059">
        <f ca="1" xml:space="preserve"> AND(V275 &gt; 0, U275 &lt; 0, (SUM($J276:T276) = 0 ) )* 1</f>
        <v>0</v>
      </c>
      <c r="V276" s="1059">
        <f ca="1" xml:space="preserve"> AND(W275 &gt; 0, V275 &lt; 0, (SUM($J276:U276) = 0 ) )* 1</f>
        <v>0</v>
      </c>
      <c r="W276" s="1059">
        <f ca="1" xml:space="preserve"> AND(X275 &gt; 0, W275 &lt; 0, (SUM($J276:V276) = 0 ) )* 1</f>
        <v>0</v>
      </c>
      <c r="X276" s="1059">
        <f ca="1" xml:space="preserve"> AND(Y275 &gt; 0, X275 &lt; 0, (SUM($J276:W276) = 0 ) )* 1</f>
        <v>0</v>
      </c>
      <c r="Y276" s="1059">
        <f ca="1" xml:space="preserve"> AND(Z275 &gt; 0, Y275 &lt; 0, (SUM($J276:X276) = 0 ) )* 1</f>
        <v>0</v>
      </c>
      <c r="Z276" s="1059">
        <f ca="1" xml:space="preserve"> AND(AA275 &gt; 0, Z275 &lt; 0, (SUM($J276:Y276) = 0 ) )* 1</f>
        <v>0</v>
      </c>
      <c r="AA276" s="1059">
        <f ca="1" xml:space="preserve"> AND(AB275 &gt; 0, AA275 &lt; 0, (SUM($J276:Z276) = 0 ) )* 1</f>
        <v>0</v>
      </c>
      <c r="AB276" s="1059">
        <f ca="1" xml:space="preserve"> AND(AC275 &gt; 0, AB275 &lt; 0, (SUM($J276:AA276) = 0 ) )* 1</f>
        <v>0</v>
      </c>
      <c r="AC276" s="1059">
        <f ca="1" xml:space="preserve"> AND(AD275 &gt; 0, AC275 &lt; 0, (SUM($J276:AB276) = 0 ) )* 1</f>
        <v>0</v>
      </c>
      <c r="AD276" s="1059">
        <f ca="1" xml:space="preserve"> AND(AE275 &gt; 0, AD275 &lt; 0, (SUM($J276:AC276) = 0 ) )* 1</f>
        <v>0</v>
      </c>
      <c r="AE276" s="1059">
        <f ca="1" xml:space="preserve"> AND(AF275 &gt; 0, AE275 &lt; 0, (SUM($J276:AD276) = 0 ) )* 1</f>
        <v>0</v>
      </c>
      <c r="AF276" s="1059">
        <f ca="1" xml:space="preserve"> AND(AG275 &gt; 0, AF275 &lt; 0, (SUM($J276:AE276) = 0 ) )* 1</f>
        <v>0</v>
      </c>
      <c r="AG276" s="1059">
        <f ca="1" xml:space="preserve"> AND(AH275 &gt; 0, AG275 &lt; 0, (SUM($J276:AF276) = 0 ) )* 1</f>
        <v>0</v>
      </c>
      <c r="AH276" s="1059">
        <f ca="1" xml:space="preserve"> AND(AI275 &gt; 0, AH275 &lt; 0, (SUM($J276:AG276) = 0 ) )* 1</f>
        <v>0</v>
      </c>
      <c r="AI276" s="1059">
        <f ca="1" xml:space="preserve"> AND(AJ275 &gt; 0, AI275 &lt; 0, (SUM($J276:AH276) = 0 ) )* 1</f>
        <v>0</v>
      </c>
      <c r="AJ276" s="1059">
        <f ca="1" xml:space="preserve"> AND(AK275 &gt; 0, AJ275 &lt; 0, (SUM($J276:AI276) = 0 ) )* 1</f>
        <v>0</v>
      </c>
      <c r="AK276" s="1059">
        <f ca="1" xml:space="preserve"> AND(AL275 &gt; 0, AK275 &lt; 0, (SUM($J276:AJ276) = 0 ) )* 1</f>
        <v>0</v>
      </c>
      <c r="AL276" s="1059">
        <f ca="1" xml:space="preserve"> AND(AM275 &gt; 0, AL275 &lt; 0, (SUM($J276:AK276) = 0 ) )* 1</f>
        <v>0</v>
      </c>
      <c r="AM276" s="1059">
        <f ca="1" xml:space="preserve"> AND(AN275 &gt; 0, AM275 &lt; 0, (SUM($J276:AL276) = 0 ) )* 1</f>
        <v>0</v>
      </c>
      <c r="AN276" s="1059">
        <f ca="1" xml:space="preserve"> AND(AO275 &gt; 0, AN275 &lt; 0, (SUM($J276:AM276) = 0 ) )* 1</f>
        <v>0</v>
      </c>
      <c r="AO276" s="1059">
        <f ca="1" xml:space="preserve"> AND(AP275 &gt; 0, AO275 &lt; 0, (SUM($J276:AN276) = 0 ) )* 1</f>
        <v>0</v>
      </c>
      <c r="AP276" s="1059">
        <f ca="1" xml:space="preserve"> AND(AQ275 &gt; 0, AP275 &lt; 0, (SUM($J276:AO276) = 0 ) )* 1</f>
        <v>0</v>
      </c>
      <c r="AQ276" s="1059">
        <f ca="1" xml:space="preserve"> AND(AR275 &gt; 0, AQ275 &lt; 0, (SUM($J276:AP276) = 0 ) )* 1</f>
        <v>0</v>
      </c>
      <c r="AR276" s="1059">
        <f ca="1" xml:space="preserve"> AND(AS275 &gt; 0, AR275 &lt; 0, (SUM($J276:AQ276) = 0 ) )* 1</f>
        <v>0</v>
      </c>
      <c r="AS276" s="1059">
        <f ca="1" xml:space="preserve"> AND(AT275 &gt; 0, AS275 &lt; 0, (SUM($J276:AR276) = 0 ) )* 1</f>
        <v>0</v>
      </c>
      <c r="AT276" s="1059">
        <f ca="1" xml:space="preserve"> AND(AU275 &gt; 0, AT275 &lt; 0, (SUM($J276:AS276) = 0 ) )* 1</f>
        <v>0</v>
      </c>
      <c r="AU276" s="1059">
        <f ca="1" xml:space="preserve"> AND(AV275 &gt; 0, AU275 &lt; 0, (SUM($J276:AT276) = 0 ) )* 1</f>
        <v>0</v>
      </c>
      <c r="AV276" s="1059">
        <f ca="1" xml:space="preserve"> AND(AW275 &gt; 0, AV275 &lt; 0, (SUM($J276:AU276) = 0 ) )* 1</f>
        <v>0</v>
      </c>
      <c r="AW276" s="1059">
        <f ca="1" xml:space="preserve"> AND(AX275 &gt; 0, AW275 &lt; 0, (SUM($J276:AV276) = 0 ) )* 1</f>
        <v>0</v>
      </c>
      <c r="AX276" s="1059">
        <f ca="1" xml:space="preserve"> AND(AY275 &gt; 0, AX275 &lt; 0, (SUM($J276:AW276) = 0 ) )* 1</f>
        <v>0</v>
      </c>
    </row>
    <row r="277" spans="1:50" ht="15" customHeight="1">
      <c r="A277" s="347"/>
      <c r="B277" s="643"/>
      <c r="C277" s="333"/>
      <c r="D277" s="1077"/>
      <c r="E277" s="1024" t="str">
        <f>Translate!$E$195</f>
        <v>Financing period</v>
      </c>
      <c r="F277" s="1059"/>
      <c r="G277" s="1059" t="str">
        <f>Translate!$E$586</f>
        <v>Flag</v>
      </c>
      <c r="H277" s="1059"/>
      <c r="I277" s="1049">
        <f ca="1" xml:space="preserve"> SUM(K277:AX277)</f>
        <v>6</v>
      </c>
      <c r="J277" s="1041"/>
      <c r="K277" s="1059">
        <f ca="1" xml:space="preserve"> ( SUM(K276:$AX276) &gt; 0) * 1</f>
        <v>1</v>
      </c>
      <c r="L277" s="1059">
        <f ca="1" xml:space="preserve"> ( SUM(L276:$AX276) &gt; 0) * 1</f>
        <v>1</v>
      </c>
      <c r="M277" s="1059">
        <f ca="1" xml:space="preserve"> ( SUM(M276:$AX276) &gt; 0) * 1</f>
        <v>1</v>
      </c>
      <c r="N277" s="1059">
        <f ca="1" xml:space="preserve"> ( SUM(N276:$AX276) &gt; 0) * 1</f>
        <v>1</v>
      </c>
      <c r="O277" s="1059">
        <f ca="1" xml:space="preserve"> ( SUM(O276:$AX276) &gt; 0) * 1</f>
        <v>1</v>
      </c>
      <c r="P277" s="1059">
        <f ca="1" xml:space="preserve"> ( SUM(P276:$AX276) &gt; 0) * 1</f>
        <v>1</v>
      </c>
      <c r="Q277" s="1059">
        <f ca="1" xml:space="preserve"> ( SUM(Q276:$AX276) &gt; 0) * 1</f>
        <v>0</v>
      </c>
      <c r="R277" s="1059">
        <f ca="1" xml:space="preserve"> ( SUM(R276:$AX276) &gt; 0) * 1</f>
        <v>0</v>
      </c>
      <c r="S277" s="1059">
        <f ca="1" xml:space="preserve"> ( SUM(S276:$AX276) &gt; 0) * 1</f>
        <v>0</v>
      </c>
      <c r="T277" s="1059">
        <f ca="1" xml:space="preserve"> ( SUM(T276:$AX276) &gt; 0) * 1</f>
        <v>0</v>
      </c>
      <c r="U277" s="1059">
        <f ca="1" xml:space="preserve"> ( SUM(U276:$AX276) &gt; 0) * 1</f>
        <v>0</v>
      </c>
      <c r="V277" s="1059">
        <f ca="1" xml:space="preserve"> ( SUM(V276:$AX276) &gt; 0) * 1</f>
        <v>0</v>
      </c>
      <c r="W277" s="1059">
        <f ca="1" xml:space="preserve"> ( SUM(W276:$AX276) &gt; 0) * 1</f>
        <v>0</v>
      </c>
      <c r="X277" s="1059">
        <f ca="1" xml:space="preserve"> ( SUM(X276:$AX276) &gt; 0) * 1</f>
        <v>0</v>
      </c>
      <c r="Y277" s="1059">
        <f ca="1" xml:space="preserve"> ( SUM(Y276:$AX276) &gt; 0) * 1</f>
        <v>0</v>
      </c>
      <c r="Z277" s="1059">
        <f ca="1" xml:space="preserve"> ( SUM(Z276:$AX276) &gt; 0) * 1</f>
        <v>0</v>
      </c>
      <c r="AA277" s="1059">
        <f ca="1" xml:space="preserve"> ( SUM(AA276:$AX276) &gt; 0) * 1</f>
        <v>0</v>
      </c>
      <c r="AB277" s="1059">
        <f ca="1" xml:space="preserve"> ( SUM(AB276:$AX276) &gt; 0) * 1</f>
        <v>0</v>
      </c>
      <c r="AC277" s="1059">
        <f ca="1" xml:space="preserve"> ( SUM(AC276:$AX276) &gt; 0) * 1</f>
        <v>0</v>
      </c>
      <c r="AD277" s="1059">
        <f ca="1" xml:space="preserve"> ( SUM(AD276:$AX276) &gt; 0) * 1</f>
        <v>0</v>
      </c>
      <c r="AE277" s="1059">
        <f ca="1" xml:space="preserve"> ( SUM(AE276:$AX276) &gt; 0) * 1</f>
        <v>0</v>
      </c>
      <c r="AF277" s="1059">
        <f ca="1" xml:space="preserve"> ( SUM(AF276:$AX276) &gt; 0) * 1</f>
        <v>0</v>
      </c>
      <c r="AG277" s="1059">
        <f ca="1" xml:space="preserve"> ( SUM(AG276:$AX276) &gt; 0) * 1</f>
        <v>0</v>
      </c>
      <c r="AH277" s="1059">
        <f ca="1" xml:space="preserve"> ( SUM(AH276:$AX276) &gt; 0) * 1</f>
        <v>0</v>
      </c>
      <c r="AI277" s="1059">
        <f ca="1" xml:space="preserve"> ( SUM(AI276:$AX276) &gt; 0) * 1</f>
        <v>0</v>
      </c>
      <c r="AJ277" s="1059">
        <f ca="1" xml:space="preserve"> ( SUM(AJ276:$AX276) &gt; 0) * 1</f>
        <v>0</v>
      </c>
      <c r="AK277" s="1059">
        <f ca="1" xml:space="preserve"> ( SUM(AK276:$AX276) &gt; 0) * 1</f>
        <v>0</v>
      </c>
      <c r="AL277" s="1059">
        <f ca="1" xml:space="preserve"> ( SUM(AL276:$AX276) &gt; 0) * 1</f>
        <v>0</v>
      </c>
      <c r="AM277" s="1059">
        <f ca="1" xml:space="preserve"> ( SUM(AM276:$AX276) &gt; 0) * 1</f>
        <v>0</v>
      </c>
      <c r="AN277" s="1059">
        <f ca="1" xml:space="preserve"> ( SUM(AN276:$AX276) &gt; 0) * 1</f>
        <v>0</v>
      </c>
      <c r="AO277" s="1059">
        <f ca="1" xml:space="preserve"> ( SUM(AO276:$AX276) &gt; 0) * 1</f>
        <v>0</v>
      </c>
      <c r="AP277" s="1059">
        <f ca="1" xml:space="preserve"> ( SUM(AP276:$AX276) &gt; 0) * 1</f>
        <v>0</v>
      </c>
      <c r="AQ277" s="1059">
        <f ca="1" xml:space="preserve"> ( SUM(AQ276:$AX276) &gt; 0) * 1</f>
        <v>0</v>
      </c>
      <c r="AR277" s="1059">
        <f ca="1" xml:space="preserve"> ( SUM(AR276:$AX276) &gt; 0) * 1</f>
        <v>0</v>
      </c>
      <c r="AS277" s="1059">
        <f ca="1" xml:space="preserve"> ( SUM(AS276:$AX276) &gt; 0) * 1</f>
        <v>0</v>
      </c>
      <c r="AT277" s="1059">
        <f ca="1" xml:space="preserve"> ( SUM(AT276:$AX276) &gt; 0) * 1</f>
        <v>0</v>
      </c>
      <c r="AU277" s="1059">
        <f ca="1" xml:space="preserve"> ( SUM(AU276:$AX276) &gt; 0) * 1</f>
        <v>0</v>
      </c>
      <c r="AV277" s="1059">
        <f ca="1" xml:space="preserve"> ( SUM(AV276:$AX276) &gt; 0) * 1</f>
        <v>0</v>
      </c>
      <c r="AW277" s="1059">
        <f ca="1" xml:space="preserve"> ( SUM(AW276:$AX276) &gt; 0) * 1</f>
        <v>0</v>
      </c>
      <c r="AX277" s="1059">
        <f ca="1" xml:space="preserve"> ( SUM(AX276:$AX276) &gt; 0) * 1</f>
        <v>0</v>
      </c>
    </row>
    <row r="278" spans="1:50" ht="15" customHeight="1">
      <c r="A278" s="347"/>
      <c r="B278" s="643"/>
      <c r="C278" s="333"/>
      <c r="D278" s="1077"/>
      <c r="E278" s="1024"/>
      <c r="F278" s="1059"/>
      <c r="G278" s="1059"/>
      <c r="H278" s="1059"/>
      <c r="I278" s="1049"/>
      <c r="J278" s="1041"/>
      <c r="K278" s="1059"/>
      <c r="L278" s="1059"/>
      <c r="M278" s="1059"/>
      <c r="N278" s="1059"/>
      <c r="O278" s="1059"/>
      <c r="P278" s="1059"/>
      <c r="Q278" s="1059"/>
      <c r="R278" s="1059"/>
      <c r="S278" s="1059"/>
      <c r="T278" s="1059"/>
      <c r="U278" s="1059"/>
      <c r="V278" s="1059"/>
      <c r="W278" s="1059"/>
      <c r="X278" s="1059"/>
      <c r="Y278" s="1059"/>
      <c r="Z278" s="1059"/>
      <c r="AA278" s="1059"/>
      <c r="AB278" s="1059"/>
      <c r="AC278" s="1059"/>
      <c r="AD278" s="1059"/>
      <c r="AE278" s="1059"/>
      <c r="AF278" s="1059"/>
      <c r="AG278" s="1059"/>
      <c r="AH278" s="1059"/>
      <c r="AI278" s="1059"/>
      <c r="AJ278" s="1059"/>
      <c r="AK278" s="1059"/>
      <c r="AL278" s="1059"/>
      <c r="AM278" s="1059"/>
      <c r="AN278" s="1059"/>
      <c r="AO278" s="1059"/>
      <c r="AP278" s="1059"/>
      <c r="AQ278" s="1059"/>
      <c r="AR278" s="1059"/>
      <c r="AS278" s="1059"/>
      <c r="AT278" s="1059"/>
      <c r="AU278" s="1059"/>
      <c r="AV278" s="1059"/>
      <c r="AW278" s="1059"/>
      <c r="AX278" s="1059"/>
    </row>
    <row r="279" spans="1:50" s="221" customFormat="1" ht="15" customHeight="1">
      <c r="A279" s="371"/>
      <c r="B279" s="643"/>
      <c r="C279" s="363"/>
      <c r="D279" s="390"/>
      <c r="E279" s="366" t="str">
        <f xml:space="preserve"> ProjectCashflows!E$192</f>
        <v>Production years after ELT</v>
      </c>
      <c r="F279" s="366">
        <f xml:space="preserve"> ProjectCashflows!F$192</f>
        <v>0</v>
      </c>
      <c r="G279" s="366" t="str">
        <f xml:space="preserve"> ProjectCashflows!G$192</f>
        <v>Flag</v>
      </c>
      <c r="H279" s="366">
        <f xml:space="preserve"> ProjectCashflows!H$192</f>
        <v>0</v>
      </c>
      <c r="I279" s="366">
        <f ca="1" xml:space="preserve"> ProjectCashflows!I$192</f>
        <v>17</v>
      </c>
      <c r="J279" s="366">
        <f xml:space="preserve"> ProjectCashflows!J$192</f>
        <v>0</v>
      </c>
      <c r="K279" s="366">
        <f ca="1" xml:space="preserve"> ProjectCashflows!K$192</f>
        <v>0</v>
      </c>
      <c r="L279" s="366">
        <f ca="1" xml:space="preserve"> ProjectCashflows!L$192</f>
        <v>0</v>
      </c>
      <c r="M279" s="366">
        <f ca="1" xml:space="preserve"> ProjectCashflows!M$192</f>
        <v>0</v>
      </c>
      <c r="N279" s="366">
        <f ca="1" xml:space="preserve"> ProjectCashflows!N$192</f>
        <v>0</v>
      </c>
      <c r="O279" s="366">
        <f ca="1" xml:space="preserve"> ProjectCashflows!O$192</f>
        <v>1</v>
      </c>
      <c r="P279" s="366">
        <f ca="1" xml:space="preserve"> ProjectCashflows!P$192</f>
        <v>1</v>
      </c>
      <c r="Q279" s="366">
        <f ca="1" xml:space="preserve"> ProjectCashflows!Q$192</f>
        <v>1</v>
      </c>
      <c r="R279" s="366">
        <f ca="1" xml:space="preserve"> ProjectCashflows!R$192</f>
        <v>1</v>
      </c>
      <c r="S279" s="366">
        <f ca="1" xml:space="preserve"> ProjectCashflows!S$192</f>
        <v>1</v>
      </c>
      <c r="T279" s="366">
        <f ca="1" xml:space="preserve"> ProjectCashflows!T$192</f>
        <v>1</v>
      </c>
      <c r="U279" s="366">
        <f ca="1" xml:space="preserve"> ProjectCashflows!U$192</f>
        <v>1</v>
      </c>
      <c r="V279" s="366">
        <f ca="1" xml:space="preserve"> ProjectCashflows!V$192</f>
        <v>1</v>
      </c>
      <c r="W279" s="366">
        <f ca="1" xml:space="preserve"> ProjectCashflows!W$192</f>
        <v>1</v>
      </c>
      <c r="X279" s="366">
        <f ca="1" xml:space="preserve"> ProjectCashflows!X$192</f>
        <v>1</v>
      </c>
      <c r="Y279" s="366">
        <f ca="1" xml:space="preserve"> ProjectCashflows!Y$192</f>
        <v>1</v>
      </c>
      <c r="Z279" s="366">
        <f ca="1" xml:space="preserve"> ProjectCashflows!Z$192</f>
        <v>1</v>
      </c>
      <c r="AA279" s="366">
        <f ca="1" xml:space="preserve"> ProjectCashflows!AA$192</f>
        <v>1</v>
      </c>
      <c r="AB279" s="366">
        <f ca="1" xml:space="preserve"> ProjectCashflows!AB$192</f>
        <v>1</v>
      </c>
      <c r="AC279" s="366">
        <f ca="1" xml:space="preserve"> ProjectCashflows!AC$192</f>
        <v>1</v>
      </c>
      <c r="AD279" s="366">
        <f ca="1" xml:space="preserve"> ProjectCashflows!AD$192</f>
        <v>1</v>
      </c>
      <c r="AE279" s="366">
        <f ca="1" xml:space="preserve"> ProjectCashflows!AE$192</f>
        <v>1</v>
      </c>
      <c r="AF279" s="366">
        <f ca="1" xml:space="preserve"> ProjectCashflows!AF$192</f>
        <v>0</v>
      </c>
      <c r="AG279" s="366">
        <f ca="1" xml:space="preserve"> ProjectCashflows!AG$192</f>
        <v>0</v>
      </c>
      <c r="AH279" s="366">
        <f ca="1" xml:space="preserve"> ProjectCashflows!AH$192</f>
        <v>0</v>
      </c>
      <c r="AI279" s="366">
        <f ca="1" xml:space="preserve"> ProjectCashflows!AI$192</f>
        <v>0</v>
      </c>
      <c r="AJ279" s="366">
        <f ca="1" xml:space="preserve"> ProjectCashflows!AJ$192</f>
        <v>0</v>
      </c>
      <c r="AK279" s="366">
        <f ca="1" xml:space="preserve"> ProjectCashflows!AK$192</f>
        <v>0</v>
      </c>
      <c r="AL279" s="366">
        <f ca="1" xml:space="preserve"> ProjectCashflows!AL$192</f>
        <v>0</v>
      </c>
      <c r="AM279" s="366">
        <f ca="1" xml:space="preserve"> ProjectCashflows!AM$192</f>
        <v>0</v>
      </c>
      <c r="AN279" s="366">
        <f ca="1" xml:space="preserve"> ProjectCashflows!AN$192</f>
        <v>0</v>
      </c>
      <c r="AO279" s="366">
        <f ca="1" xml:space="preserve"> ProjectCashflows!AO$192</f>
        <v>0</v>
      </c>
      <c r="AP279" s="366">
        <f ca="1" xml:space="preserve"> ProjectCashflows!AP$192</f>
        <v>0</v>
      </c>
      <c r="AQ279" s="366">
        <f ca="1" xml:space="preserve"> ProjectCashflows!AQ$192</f>
        <v>0</v>
      </c>
      <c r="AR279" s="366">
        <f ca="1" xml:space="preserve"> ProjectCashflows!AR$192</f>
        <v>0</v>
      </c>
      <c r="AS279" s="366">
        <f ca="1" xml:space="preserve"> ProjectCashflows!AS$192</f>
        <v>0</v>
      </c>
      <c r="AT279" s="366">
        <f ca="1" xml:space="preserve"> ProjectCashflows!AT$192</f>
        <v>0</v>
      </c>
      <c r="AU279" s="366">
        <f ca="1" xml:space="preserve"> ProjectCashflows!AU$192</f>
        <v>0</v>
      </c>
      <c r="AV279" s="366">
        <f ca="1" xml:space="preserve"> ProjectCashflows!AV$192</f>
        <v>0</v>
      </c>
      <c r="AW279" s="366">
        <f ca="1" xml:space="preserve"> ProjectCashflows!AW$192</f>
        <v>0</v>
      </c>
      <c r="AX279" s="366">
        <f ca="1" xml:space="preserve"> ProjectCashflows!AX$192</f>
        <v>0</v>
      </c>
    </row>
    <row r="280" spans="1:50" ht="15" customHeight="1">
      <c r="A280" s="347"/>
      <c r="B280" s="643"/>
      <c r="C280" s="333"/>
      <c r="D280" s="1077"/>
      <c r="E280" s="1024" t="str">
        <f xml:space="preserve"> Translate!$E$457 &amp; " " &amp; E279</f>
        <v>Post financing Production years after ELT</v>
      </c>
      <c r="F280" s="1024"/>
      <c r="G280" s="1024" t="str">
        <f>Translate!$E$586</f>
        <v>Flag</v>
      </c>
      <c r="H280" s="1024"/>
      <c r="I280" s="1024">
        <f ca="1" xml:space="preserve"> SUM(K280:AX280)</f>
        <v>15</v>
      </c>
      <c r="J280" s="1024"/>
      <c r="K280" s="1024">
        <f t="shared" ref="K280:AX280" ca="1" si="61" xml:space="preserve"> K279 * ( K277 = 0)</f>
        <v>0</v>
      </c>
      <c r="L280" s="1024">
        <f t="shared" ca="1" si="61"/>
        <v>0</v>
      </c>
      <c r="M280" s="1024">
        <f t="shared" ca="1" si="61"/>
        <v>0</v>
      </c>
      <c r="N280" s="1024">
        <f t="shared" ca="1" si="61"/>
        <v>0</v>
      </c>
      <c r="O280" s="1024">
        <f t="shared" ca="1" si="61"/>
        <v>0</v>
      </c>
      <c r="P280" s="1024">
        <f t="shared" ca="1" si="61"/>
        <v>0</v>
      </c>
      <c r="Q280" s="1024">
        <f t="shared" ca="1" si="61"/>
        <v>1</v>
      </c>
      <c r="R280" s="1024">
        <f t="shared" ca="1" si="61"/>
        <v>1</v>
      </c>
      <c r="S280" s="1024">
        <f t="shared" ca="1" si="61"/>
        <v>1</v>
      </c>
      <c r="T280" s="1024">
        <f t="shared" ca="1" si="61"/>
        <v>1</v>
      </c>
      <c r="U280" s="1024">
        <f t="shared" ca="1" si="61"/>
        <v>1</v>
      </c>
      <c r="V280" s="1024">
        <f t="shared" ca="1" si="61"/>
        <v>1</v>
      </c>
      <c r="W280" s="1024">
        <f t="shared" ca="1" si="61"/>
        <v>1</v>
      </c>
      <c r="X280" s="1024">
        <f t="shared" ca="1" si="61"/>
        <v>1</v>
      </c>
      <c r="Y280" s="1024">
        <f t="shared" ca="1" si="61"/>
        <v>1</v>
      </c>
      <c r="Z280" s="1024">
        <f t="shared" ca="1" si="61"/>
        <v>1</v>
      </c>
      <c r="AA280" s="1024">
        <f t="shared" ca="1" si="61"/>
        <v>1</v>
      </c>
      <c r="AB280" s="1024">
        <f t="shared" ca="1" si="61"/>
        <v>1</v>
      </c>
      <c r="AC280" s="1024">
        <f t="shared" ca="1" si="61"/>
        <v>1</v>
      </c>
      <c r="AD280" s="1024">
        <f t="shared" ca="1" si="61"/>
        <v>1</v>
      </c>
      <c r="AE280" s="1024">
        <f t="shared" ca="1" si="61"/>
        <v>1</v>
      </c>
      <c r="AF280" s="1024">
        <f t="shared" ca="1" si="61"/>
        <v>0</v>
      </c>
      <c r="AG280" s="1024">
        <f t="shared" ca="1" si="61"/>
        <v>0</v>
      </c>
      <c r="AH280" s="1024">
        <f t="shared" ca="1" si="61"/>
        <v>0</v>
      </c>
      <c r="AI280" s="1024">
        <f t="shared" ca="1" si="61"/>
        <v>0</v>
      </c>
      <c r="AJ280" s="1024">
        <f t="shared" ca="1" si="61"/>
        <v>0</v>
      </c>
      <c r="AK280" s="1024">
        <f t="shared" ca="1" si="61"/>
        <v>0</v>
      </c>
      <c r="AL280" s="1024">
        <f t="shared" ca="1" si="61"/>
        <v>0</v>
      </c>
      <c r="AM280" s="1024">
        <f t="shared" ca="1" si="61"/>
        <v>0</v>
      </c>
      <c r="AN280" s="1024">
        <f t="shared" ca="1" si="61"/>
        <v>0</v>
      </c>
      <c r="AO280" s="1024">
        <f t="shared" ca="1" si="61"/>
        <v>0</v>
      </c>
      <c r="AP280" s="1024">
        <f t="shared" ca="1" si="61"/>
        <v>0</v>
      </c>
      <c r="AQ280" s="1024">
        <f t="shared" ca="1" si="61"/>
        <v>0</v>
      </c>
      <c r="AR280" s="1024">
        <f t="shared" ca="1" si="61"/>
        <v>0</v>
      </c>
      <c r="AS280" s="1024">
        <f t="shared" ca="1" si="61"/>
        <v>0</v>
      </c>
      <c r="AT280" s="1024">
        <f t="shared" ca="1" si="61"/>
        <v>0</v>
      </c>
      <c r="AU280" s="1024">
        <f t="shared" ca="1" si="61"/>
        <v>0</v>
      </c>
      <c r="AV280" s="1024">
        <f t="shared" ca="1" si="61"/>
        <v>0</v>
      </c>
      <c r="AW280" s="1024">
        <f t="shared" ca="1" si="61"/>
        <v>0</v>
      </c>
      <c r="AX280" s="1024">
        <f t="shared" ca="1" si="61"/>
        <v>0</v>
      </c>
    </row>
    <row r="281" spans="1:50" ht="15" customHeight="1">
      <c r="A281" s="347"/>
      <c r="B281" s="643"/>
      <c r="C281" s="333"/>
      <c r="D281" s="1077"/>
      <c r="E281" s="1024"/>
      <c r="F281" s="1024"/>
      <c r="G281" s="1024"/>
      <c r="H281" s="1024"/>
      <c r="I281" s="1024"/>
      <c r="J281" s="1024"/>
      <c r="K281" s="1024"/>
      <c r="L281" s="1024"/>
      <c r="M281" s="1024"/>
      <c r="N281" s="1024"/>
      <c r="O281" s="1024"/>
      <c r="P281" s="1024"/>
      <c r="Q281" s="1024"/>
      <c r="R281" s="1024"/>
      <c r="S281" s="1024"/>
      <c r="T281" s="1024"/>
      <c r="U281" s="1024"/>
      <c r="V281" s="1024"/>
      <c r="W281" s="1024"/>
      <c r="X281" s="1024"/>
      <c r="Y281" s="1024"/>
      <c r="Z281" s="1024"/>
      <c r="AA281" s="1024"/>
      <c r="AB281" s="1024"/>
      <c r="AC281" s="1024"/>
      <c r="AD281" s="1024"/>
      <c r="AE281" s="1024"/>
      <c r="AF281" s="1024"/>
      <c r="AG281" s="1024"/>
      <c r="AH281" s="1024"/>
      <c r="AI281" s="1024"/>
      <c r="AJ281" s="1024"/>
      <c r="AK281" s="1024"/>
      <c r="AL281" s="1024"/>
      <c r="AM281" s="1024"/>
      <c r="AN281" s="1024"/>
      <c r="AO281" s="1024"/>
      <c r="AP281" s="1024"/>
      <c r="AQ281" s="1024"/>
      <c r="AR281" s="1024"/>
      <c r="AS281" s="1024"/>
      <c r="AT281" s="1024"/>
      <c r="AU281" s="1024"/>
      <c r="AV281" s="1024"/>
      <c r="AW281" s="1024"/>
      <c r="AX281" s="1024"/>
    </row>
    <row r="282" spans="1:50" ht="15" customHeight="1">
      <c r="A282" s="347"/>
      <c r="B282" s="643"/>
      <c r="C282" s="333"/>
      <c r="D282" s="1077"/>
      <c r="E282" s="1024" t="str">
        <f xml:space="preserve"> E280 &amp; " Cum"</f>
        <v>Post financing Production years after ELT Cum</v>
      </c>
      <c r="F282" s="1024"/>
      <c r="G282" s="1024" t="str">
        <f xml:space="preserve"> Translate!E$358</f>
        <v>Years</v>
      </c>
      <c r="H282" s="1024"/>
      <c r="I282" s="1024"/>
      <c r="J282" s="1068"/>
      <c r="K282" s="1024">
        <f t="shared" ref="K282:AX282" ca="1" si="62" xml:space="preserve"> (J282 + K280) * K280</f>
        <v>0</v>
      </c>
      <c r="L282" s="1024">
        <f t="shared" ca="1" si="62"/>
        <v>0</v>
      </c>
      <c r="M282" s="1024">
        <f t="shared" ca="1" si="62"/>
        <v>0</v>
      </c>
      <c r="N282" s="1024">
        <f t="shared" ca="1" si="62"/>
        <v>0</v>
      </c>
      <c r="O282" s="1024">
        <f t="shared" ca="1" si="62"/>
        <v>0</v>
      </c>
      <c r="P282" s="1024">
        <f t="shared" ca="1" si="62"/>
        <v>0</v>
      </c>
      <c r="Q282" s="1024">
        <f t="shared" ca="1" si="62"/>
        <v>1</v>
      </c>
      <c r="R282" s="1024">
        <f t="shared" ca="1" si="62"/>
        <v>2</v>
      </c>
      <c r="S282" s="1024">
        <f t="shared" ca="1" si="62"/>
        <v>3</v>
      </c>
      <c r="T282" s="1024">
        <f t="shared" ca="1" si="62"/>
        <v>4</v>
      </c>
      <c r="U282" s="1024">
        <f t="shared" ca="1" si="62"/>
        <v>5</v>
      </c>
      <c r="V282" s="1024">
        <f t="shared" ca="1" si="62"/>
        <v>6</v>
      </c>
      <c r="W282" s="1024">
        <f t="shared" ca="1" si="62"/>
        <v>7</v>
      </c>
      <c r="X282" s="1024">
        <f t="shared" ca="1" si="62"/>
        <v>8</v>
      </c>
      <c r="Y282" s="1024">
        <f t="shared" ca="1" si="62"/>
        <v>9</v>
      </c>
      <c r="Z282" s="1024">
        <f t="shared" ca="1" si="62"/>
        <v>10</v>
      </c>
      <c r="AA282" s="1024">
        <f t="shared" ca="1" si="62"/>
        <v>11</v>
      </c>
      <c r="AB282" s="1024">
        <f t="shared" ca="1" si="62"/>
        <v>12</v>
      </c>
      <c r="AC282" s="1024">
        <f t="shared" ca="1" si="62"/>
        <v>13</v>
      </c>
      <c r="AD282" s="1024">
        <f t="shared" ca="1" si="62"/>
        <v>14</v>
      </c>
      <c r="AE282" s="1024">
        <f t="shared" ca="1" si="62"/>
        <v>15</v>
      </c>
      <c r="AF282" s="1024">
        <f t="shared" ca="1" si="62"/>
        <v>0</v>
      </c>
      <c r="AG282" s="1024">
        <f t="shared" ca="1" si="62"/>
        <v>0</v>
      </c>
      <c r="AH282" s="1024">
        <f t="shared" ca="1" si="62"/>
        <v>0</v>
      </c>
      <c r="AI282" s="1024">
        <f t="shared" ca="1" si="62"/>
        <v>0</v>
      </c>
      <c r="AJ282" s="1024">
        <f t="shared" ca="1" si="62"/>
        <v>0</v>
      </c>
      <c r="AK282" s="1024">
        <f t="shared" ca="1" si="62"/>
        <v>0</v>
      </c>
      <c r="AL282" s="1024">
        <f t="shared" ca="1" si="62"/>
        <v>0</v>
      </c>
      <c r="AM282" s="1024">
        <f t="shared" ca="1" si="62"/>
        <v>0</v>
      </c>
      <c r="AN282" s="1024">
        <f t="shared" ca="1" si="62"/>
        <v>0</v>
      </c>
      <c r="AO282" s="1024">
        <f t="shared" ca="1" si="62"/>
        <v>0</v>
      </c>
      <c r="AP282" s="1024">
        <f t="shared" ca="1" si="62"/>
        <v>0</v>
      </c>
      <c r="AQ282" s="1024">
        <f t="shared" ca="1" si="62"/>
        <v>0</v>
      </c>
      <c r="AR282" s="1024">
        <f t="shared" ca="1" si="62"/>
        <v>0</v>
      </c>
      <c r="AS282" s="1024">
        <f t="shared" ca="1" si="62"/>
        <v>0</v>
      </c>
      <c r="AT282" s="1024">
        <f t="shared" ca="1" si="62"/>
        <v>0</v>
      </c>
      <c r="AU282" s="1024">
        <f t="shared" ca="1" si="62"/>
        <v>0</v>
      </c>
      <c r="AV282" s="1024">
        <f t="shared" ca="1" si="62"/>
        <v>0</v>
      </c>
      <c r="AW282" s="1024">
        <f t="shared" ca="1" si="62"/>
        <v>0</v>
      </c>
      <c r="AX282" s="1024">
        <f t="shared" ca="1" si="62"/>
        <v>0</v>
      </c>
    </row>
    <row r="283" spans="1:50" ht="15" customHeight="1">
      <c r="A283" s="347"/>
      <c r="B283" s="643"/>
      <c r="C283" s="333"/>
      <c r="D283" s="1077"/>
      <c r="E283" s="1024"/>
      <c r="F283" s="1024"/>
      <c r="G283" s="1024"/>
      <c r="H283" s="1024"/>
      <c r="I283" s="1024"/>
      <c r="J283" s="1024"/>
      <c r="K283" s="1024"/>
      <c r="L283" s="1024"/>
      <c r="M283" s="1024"/>
      <c r="N283" s="1024"/>
      <c r="O283" s="1024"/>
      <c r="P283" s="1024"/>
      <c r="Q283" s="1024"/>
      <c r="R283" s="1024"/>
      <c r="S283" s="1024"/>
      <c r="T283" s="1024"/>
      <c r="U283" s="1024"/>
      <c r="V283" s="1024"/>
      <c r="W283" s="1024"/>
      <c r="X283" s="1024"/>
      <c r="Y283" s="1024"/>
      <c r="Z283" s="1024"/>
      <c r="AA283" s="1024"/>
      <c r="AB283" s="1024"/>
      <c r="AC283" s="1024"/>
      <c r="AD283" s="1024"/>
      <c r="AE283" s="1024"/>
      <c r="AF283" s="1024"/>
      <c r="AG283" s="1024"/>
      <c r="AH283" s="1024"/>
      <c r="AI283" s="1024"/>
      <c r="AJ283" s="1024"/>
      <c r="AK283" s="1024"/>
      <c r="AL283" s="1024"/>
      <c r="AM283" s="1024"/>
      <c r="AN283" s="1024"/>
      <c r="AO283" s="1024"/>
      <c r="AP283" s="1024"/>
      <c r="AQ283" s="1024"/>
      <c r="AR283" s="1024"/>
      <c r="AS283" s="1024"/>
      <c r="AT283" s="1024"/>
      <c r="AU283" s="1024"/>
      <c r="AV283" s="1024"/>
      <c r="AW283" s="1024"/>
      <c r="AX283" s="1024"/>
    </row>
    <row r="284" spans="1:50" ht="15" customHeight="1">
      <c r="A284" s="347"/>
      <c r="B284" s="643"/>
      <c r="C284" s="333" t="str">
        <f>Translate!$E$105</f>
        <v>Costs to be financed</v>
      </c>
      <c r="D284" s="1077"/>
      <c r="E284" s="1024"/>
      <c r="F284" s="1059"/>
      <c r="G284" s="1059"/>
      <c r="H284" s="1059"/>
      <c r="I284" s="1049"/>
      <c r="J284" s="1059"/>
      <c r="K284" s="1059"/>
      <c r="L284" s="1059"/>
      <c r="M284" s="1059"/>
      <c r="N284" s="1059"/>
      <c r="O284" s="1059"/>
      <c r="P284" s="1059"/>
      <c r="Q284" s="1059"/>
      <c r="R284" s="1059"/>
      <c r="S284" s="1059"/>
      <c r="T284" s="1059"/>
      <c r="U284" s="1059"/>
      <c r="V284" s="1059"/>
      <c r="W284" s="1059"/>
      <c r="X284" s="1059"/>
      <c r="Y284" s="1059"/>
      <c r="Z284" s="1059"/>
      <c r="AA284" s="1059"/>
      <c r="AB284" s="1059"/>
      <c r="AC284" s="1059"/>
      <c r="AD284" s="1059"/>
      <c r="AE284" s="1059"/>
      <c r="AF284" s="1059"/>
      <c r="AG284" s="1059"/>
      <c r="AH284" s="1059"/>
      <c r="AI284" s="1059"/>
      <c r="AJ284" s="1059"/>
      <c r="AK284" s="1059"/>
      <c r="AL284" s="1059"/>
      <c r="AM284" s="1059"/>
      <c r="AN284" s="1059"/>
      <c r="AO284" s="1059"/>
      <c r="AP284" s="1059"/>
      <c r="AQ284" s="1059"/>
      <c r="AR284" s="1059"/>
      <c r="AS284" s="1059"/>
      <c r="AT284" s="1059"/>
      <c r="AU284" s="1059"/>
      <c r="AV284" s="1059"/>
      <c r="AW284" s="1059"/>
      <c r="AX284" s="1059"/>
    </row>
    <row r="285" spans="1:50" s="221" customFormat="1" ht="15" customHeight="1">
      <c r="A285" s="371"/>
      <c r="B285" s="643"/>
      <c r="C285" s="363"/>
      <c r="D285" s="390"/>
      <c r="E285" s="366" t="str">
        <f xml:space="preserve"> ProjectCashflows!E$239</f>
        <v>Development costs, after ELT</v>
      </c>
      <c r="F285" s="366">
        <f xml:space="preserve"> ProjectCashflows!F$239</f>
        <v>0</v>
      </c>
      <c r="G285" s="366" t="str">
        <f xml:space="preserve"> ProjectCashflows!G$239</f>
        <v>US$ mn</v>
      </c>
      <c r="H285" s="366">
        <f xml:space="preserve"> ProjectCashflows!H$239</f>
        <v>0</v>
      </c>
      <c r="I285" s="366">
        <f ca="1" xml:space="preserve"> ProjectCashflows!I$239</f>
        <v>434.07652032000004</v>
      </c>
      <c r="J285" s="366">
        <f xml:space="preserve"> ProjectCashflows!J$239</f>
        <v>0</v>
      </c>
      <c r="K285" s="366">
        <f ca="1" xml:space="preserve"> ProjectCashflows!K$239</f>
        <v>0</v>
      </c>
      <c r="L285" s="366">
        <f ca="1" xml:space="preserve"> ProjectCashflows!L$239</f>
        <v>0</v>
      </c>
      <c r="M285" s="366">
        <f ca="1" xml:space="preserve"> ProjectCashflows!M$239</f>
        <v>0</v>
      </c>
      <c r="N285" s="366">
        <f ca="1" xml:space="preserve"> ProjectCashflows!N$239</f>
        <v>53.060399999999994</v>
      </c>
      <c r="O285" s="366">
        <f ca="1" xml:space="preserve"> ProjectCashflows!O$239</f>
        <v>270.60804000000002</v>
      </c>
      <c r="P285" s="366">
        <f ca="1" xml:space="preserve"> ProjectCashflows!P$239</f>
        <v>110.40808032</v>
      </c>
      <c r="Q285" s="366">
        <f ca="1" xml:space="preserve"> ProjectCashflows!Q$239</f>
        <v>0</v>
      </c>
      <c r="R285" s="366">
        <f ca="1" xml:space="preserve"> ProjectCashflows!R$239</f>
        <v>0</v>
      </c>
      <c r="S285" s="366">
        <f ca="1" xml:space="preserve"> ProjectCashflows!S$239</f>
        <v>0</v>
      </c>
      <c r="T285" s="366">
        <f ca="1" xml:space="preserve"> ProjectCashflows!T$239</f>
        <v>0</v>
      </c>
      <c r="U285" s="366">
        <f ca="1" xml:space="preserve"> ProjectCashflows!U$239</f>
        <v>0</v>
      </c>
      <c r="V285" s="366">
        <f ca="1" xml:space="preserve"> ProjectCashflows!V$239</f>
        <v>0</v>
      </c>
      <c r="W285" s="366">
        <f ca="1" xml:space="preserve"> ProjectCashflows!W$239</f>
        <v>0</v>
      </c>
      <c r="X285" s="366">
        <f ca="1" xml:space="preserve"> ProjectCashflows!X$239</f>
        <v>0</v>
      </c>
      <c r="Y285" s="366">
        <f ca="1" xml:space="preserve"> ProjectCashflows!Y$239</f>
        <v>0</v>
      </c>
      <c r="Z285" s="366">
        <f ca="1" xml:space="preserve"> ProjectCashflows!Z$239</f>
        <v>0</v>
      </c>
      <c r="AA285" s="366">
        <f ca="1" xml:space="preserve"> ProjectCashflows!AA$239</f>
        <v>0</v>
      </c>
      <c r="AB285" s="366">
        <f ca="1" xml:space="preserve"> ProjectCashflows!AB$239</f>
        <v>0</v>
      </c>
      <c r="AC285" s="366">
        <f ca="1" xml:space="preserve"> ProjectCashflows!AC$239</f>
        <v>0</v>
      </c>
      <c r="AD285" s="366">
        <f ca="1" xml:space="preserve"> ProjectCashflows!AD$239</f>
        <v>0</v>
      </c>
      <c r="AE285" s="366">
        <f ca="1" xml:space="preserve"> ProjectCashflows!AE$239</f>
        <v>0</v>
      </c>
      <c r="AF285" s="366">
        <f ca="1" xml:space="preserve"> ProjectCashflows!AF$239</f>
        <v>0</v>
      </c>
      <c r="AG285" s="366">
        <f ca="1" xml:space="preserve"> ProjectCashflows!AG$239</f>
        <v>0</v>
      </c>
      <c r="AH285" s="366">
        <f ca="1" xml:space="preserve"> ProjectCashflows!AH$239</f>
        <v>0</v>
      </c>
      <c r="AI285" s="366">
        <f ca="1" xml:space="preserve"> ProjectCashflows!AI$239</f>
        <v>0</v>
      </c>
      <c r="AJ285" s="366">
        <f ca="1" xml:space="preserve"> ProjectCashflows!AJ$239</f>
        <v>0</v>
      </c>
      <c r="AK285" s="366">
        <f ca="1" xml:space="preserve"> ProjectCashflows!AK$239</f>
        <v>0</v>
      </c>
      <c r="AL285" s="366">
        <f ca="1" xml:space="preserve"> ProjectCashflows!AL$239</f>
        <v>0</v>
      </c>
      <c r="AM285" s="366">
        <f ca="1" xml:space="preserve"> ProjectCashflows!AM$239</f>
        <v>0</v>
      </c>
      <c r="AN285" s="366">
        <f ca="1" xml:space="preserve"> ProjectCashflows!AN$239</f>
        <v>0</v>
      </c>
      <c r="AO285" s="366">
        <f ca="1" xml:space="preserve"> ProjectCashflows!AO$239</f>
        <v>0</v>
      </c>
      <c r="AP285" s="366">
        <f ca="1" xml:space="preserve"> ProjectCashflows!AP$239</f>
        <v>0</v>
      </c>
      <c r="AQ285" s="366">
        <f ca="1" xml:space="preserve"> ProjectCashflows!AQ$239</f>
        <v>0</v>
      </c>
      <c r="AR285" s="366">
        <f ca="1" xml:space="preserve"> ProjectCashflows!AR$239</f>
        <v>0</v>
      </c>
      <c r="AS285" s="366">
        <f ca="1" xml:space="preserve"> ProjectCashflows!AS$239</f>
        <v>0</v>
      </c>
      <c r="AT285" s="366">
        <f ca="1" xml:space="preserve"> ProjectCashflows!AT$239</f>
        <v>0</v>
      </c>
      <c r="AU285" s="366">
        <f ca="1" xml:space="preserve"> ProjectCashflows!AU$239</f>
        <v>0</v>
      </c>
      <c r="AV285" s="366">
        <f ca="1" xml:space="preserve"> ProjectCashflows!AV$239</f>
        <v>0</v>
      </c>
      <c r="AW285" s="366">
        <f ca="1" xml:space="preserve"> ProjectCashflows!AW$239</f>
        <v>0</v>
      </c>
      <c r="AX285" s="366">
        <f ca="1" xml:space="preserve"> ProjectCashflows!AX$239</f>
        <v>0</v>
      </c>
    </row>
    <row r="286" spans="1:50" ht="15" customHeight="1">
      <c r="A286" s="347"/>
      <c r="B286" s="643"/>
      <c r="C286" s="333"/>
      <c r="D286" s="1077"/>
      <c r="E286" s="1024" t="str">
        <f>E285 &amp; " " &amp; Translate!$E$466</f>
        <v>Development costs, after ELT during financing period</v>
      </c>
      <c r="F286" s="1024"/>
      <c r="G286" s="1024" t="str">
        <f xml:space="preserve"> Translate!E$10</f>
        <v>US$ mn</v>
      </c>
      <c r="H286" s="1024"/>
      <c r="I286" s="1024">
        <f ca="1" xml:space="preserve"> SUM(K286:AX286)</f>
        <v>434.07652032000004</v>
      </c>
      <c r="J286" s="1024"/>
      <c r="K286" s="1024">
        <f t="shared" ref="K286:AX286" ca="1" si="63" xml:space="preserve"> K285 * K277</f>
        <v>0</v>
      </c>
      <c r="L286" s="1024">
        <f t="shared" ca="1" si="63"/>
        <v>0</v>
      </c>
      <c r="M286" s="1024">
        <f t="shared" ca="1" si="63"/>
        <v>0</v>
      </c>
      <c r="N286" s="1024">
        <f t="shared" ca="1" si="63"/>
        <v>53.060399999999994</v>
      </c>
      <c r="O286" s="1024">
        <f t="shared" ca="1" si="63"/>
        <v>270.60804000000002</v>
      </c>
      <c r="P286" s="1024">
        <f t="shared" ca="1" si="63"/>
        <v>110.40808032</v>
      </c>
      <c r="Q286" s="1024">
        <f t="shared" ca="1" si="63"/>
        <v>0</v>
      </c>
      <c r="R286" s="1024">
        <f t="shared" ca="1" si="63"/>
        <v>0</v>
      </c>
      <c r="S286" s="1024">
        <f t="shared" ca="1" si="63"/>
        <v>0</v>
      </c>
      <c r="T286" s="1024">
        <f t="shared" ca="1" si="63"/>
        <v>0</v>
      </c>
      <c r="U286" s="1024">
        <f t="shared" ca="1" si="63"/>
        <v>0</v>
      </c>
      <c r="V286" s="1024">
        <f t="shared" ca="1" si="63"/>
        <v>0</v>
      </c>
      <c r="W286" s="1024">
        <f t="shared" ca="1" si="63"/>
        <v>0</v>
      </c>
      <c r="X286" s="1024">
        <f t="shared" ca="1" si="63"/>
        <v>0</v>
      </c>
      <c r="Y286" s="1024">
        <f t="shared" ca="1" si="63"/>
        <v>0</v>
      </c>
      <c r="Z286" s="1024">
        <f t="shared" ca="1" si="63"/>
        <v>0</v>
      </c>
      <c r="AA286" s="1024">
        <f t="shared" ca="1" si="63"/>
        <v>0</v>
      </c>
      <c r="AB286" s="1024">
        <f t="shared" ca="1" si="63"/>
        <v>0</v>
      </c>
      <c r="AC286" s="1024">
        <f t="shared" ca="1" si="63"/>
        <v>0</v>
      </c>
      <c r="AD286" s="1024">
        <f t="shared" ca="1" si="63"/>
        <v>0</v>
      </c>
      <c r="AE286" s="1024">
        <f t="shared" ca="1" si="63"/>
        <v>0</v>
      </c>
      <c r="AF286" s="1024">
        <f t="shared" ca="1" si="63"/>
        <v>0</v>
      </c>
      <c r="AG286" s="1024">
        <f t="shared" ca="1" si="63"/>
        <v>0</v>
      </c>
      <c r="AH286" s="1024">
        <f t="shared" ca="1" si="63"/>
        <v>0</v>
      </c>
      <c r="AI286" s="1024">
        <f t="shared" ca="1" si="63"/>
        <v>0</v>
      </c>
      <c r="AJ286" s="1024">
        <f t="shared" ca="1" si="63"/>
        <v>0</v>
      </c>
      <c r="AK286" s="1024">
        <f t="shared" ca="1" si="63"/>
        <v>0</v>
      </c>
      <c r="AL286" s="1024">
        <f t="shared" ca="1" si="63"/>
        <v>0</v>
      </c>
      <c r="AM286" s="1024">
        <f t="shared" ca="1" si="63"/>
        <v>0</v>
      </c>
      <c r="AN286" s="1024">
        <f t="shared" ca="1" si="63"/>
        <v>0</v>
      </c>
      <c r="AO286" s="1024">
        <f t="shared" ca="1" si="63"/>
        <v>0</v>
      </c>
      <c r="AP286" s="1024">
        <f t="shared" ca="1" si="63"/>
        <v>0</v>
      </c>
      <c r="AQ286" s="1024">
        <f t="shared" ca="1" si="63"/>
        <v>0</v>
      </c>
      <c r="AR286" s="1024">
        <f t="shared" ca="1" si="63"/>
        <v>0</v>
      </c>
      <c r="AS286" s="1024">
        <f t="shared" ca="1" si="63"/>
        <v>0</v>
      </c>
      <c r="AT286" s="1024">
        <f t="shared" ca="1" si="63"/>
        <v>0</v>
      </c>
      <c r="AU286" s="1024">
        <f t="shared" ca="1" si="63"/>
        <v>0</v>
      </c>
      <c r="AV286" s="1024">
        <f t="shared" ca="1" si="63"/>
        <v>0</v>
      </c>
      <c r="AW286" s="1024">
        <f t="shared" ca="1" si="63"/>
        <v>0</v>
      </c>
      <c r="AX286" s="1024">
        <f t="shared" ca="1" si="63"/>
        <v>0</v>
      </c>
    </row>
    <row r="287" spans="1:50" ht="15" customHeight="1">
      <c r="A287" s="347"/>
      <c r="B287" s="507"/>
      <c r="C287" s="333"/>
      <c r="D287" s="1112"/>
      <c r="E287" s="383" t="str">
        <f xml:space="preserve"> FiscalModel!E$58</f>
        <v>Proportion development costs borrowed</v>
      </c>
      <c r="F287" s="386">
        <f xml:space="preserve"> FiscalModel!F$58</f>
        <v>0.7</v>
      </c>
      <c r="G287" s="386" t="str">
        <f xml:space="preserve"> FiscalModel!G$58</f>
        <v>%</v>
      </c>
      <c r="H287" s="346"/>
      <c r="I287" s="1112"/>
      <c r="J287" s="1125"/>
      <c r="K287" s="1048"/>
      <c r="L287" s="1048"/>
      <c r="M287" s="1048"/>
      <c r="N287" s="1048"/>
      <c r="O287" s="1048"/>
      <c r="P287" s="1048"/>
      <c r="Q287" s="1048"/>
      <c r="R287" s="1048"/>
      <c r="S287" s="1048"/>
      <c r="T287" s="1048"/>
      <c r="U287" s="1048"/>
      <c r="V287" s="1048"/>
      <c r="W287" s="1048"/>
      <c r="X287" s="1048"/>
      <c r="Y287" s="1048"/>
      <c r="Z287" s="1048"/>
      <c r="AA287" s="1048"/>
      <c r="AB287" s="1048"/>
      <c r="AC287" s="1048"/>
      <c r="AD287" s="1048"/>
      <c r="AE287" s="1048"/>
      <c r="AF287" s="1048"/>
      <c r="AG287" s="1048"/>
      <c r="AH287" s="1048"/>
      <c r="AI287" s="1048"/>
      <c r="AJ287" s="1048"/>
      <c r="AK287" s="1048"/>
      <c r="AL287" s="1048"/>
      <c r="AM287" s="1048"/>
      <c r="AN287" s="1048"/>
      <c r="AO287" s="1048"/>
      <c r="AP287" s="1048"/>
      <c r="AQ287" s="1048"/>
      <c r="AR287" s="1048"/>
      <c r="AS287" s="1048"/>
      <c r="AT287" s="1048"/>
      <c r="AU287" s="1048"/>
      <c r="AV287" s="1048"/>
      <c r="AW287" s="1048"/>
      <c r="AX287" s="1048"/>
    </row>
    <row r="288" spans="1:50" ht="15" customHeight="1">
      <c r="A288" s="391"/>
      <c r="B288" s="507"/>
      <c r="C288" s="392"/>
      <c r="D288" s="393"/>
      <c r="E288" s="22" t="str">
        <f>Translate!$E$196</f>
        <v>Loan drawdowns (mid-period)</v>
      </c>
      <c r="F288" s="22"/>
      <c r="G288" s="22" t="str">
        <f xml:space="preserve"> Translate!E$10</f>
        <v>US$ mn</v>
      </c>
      <c r="H288" s="22"/>
      <c r="I288" s="22">
        <f ca="1" xml:space="preserve"> SUM(K288:AX288)</f>
        <v>303.85356422399997</v>
      </c>
      <c r="J288" s="22"/>
      <c r="K288" s="22">
        <f t="shared" ref="K288:AX288" ca="1" si="64" xml:space="preserve"> K286 * $F287</f>
        <v>0</v>
      </c>
      <c r="L288" s="22">
        <f t="shared" ca="1" si="64"/>
        <v>0</v>
      </c>
      <c r="M288" s="22">
        <f t="shared" ca="1" si="64"/>
        <v>0</v>
      </c>
      <c r="N288" s="22">
        <f t="shared" ca="1" si="64"/>
        <v>37.142279999999992</v>
      </c>
      <c r="O288" s="22">
        <f t="shared" ca="1" si="64"/>
        <v>189.42562799999999</v>
      </c>
      <c r="P288" s="22">
        <f t="shared" ca="1" si="64"/>
        <v>77.285656223999993</v>
      </c>
      <c r="Q288" s="22">
        <f t="shared" ca="1" si="64"/>
        <v>0</v>
      </c>
      <c r="R288" s="22">
        <f t="shared" ca="1" si="64"/>
        <v>0</v>
      </c>
      <c r="S288" s="22">
        <f t="shared" ca="1" si="64"/>
        <v>0</v>
      </c>
      <c r="T288" s="22">
        <f t="shared" ca="1" si="64"/>
        <v>0</v>
      </c>
      <c r="U288" s="22">
        <f t="shared" ca="1" si="64"/>
        <v>0</v>
      </c>
      <c r="V288" s="22">
        <f t="shared" ca="1" si="64"/>
        <v>0</v>
      </c>
      <c r="W288" s="22">
        <f t="shared" ca="1" si="64"/>
        <v>0</v>
      </c>
      <c r="X288" s="22">
        <f t="shared" ca="1" si="64"/>
        <v>0</v>
      </c>
      <c r="Y288" s="22">
        <f t="shared" ca="1" si="64"/>
        <v>0</v>
      </c>
      <c r="Z288" s="22">
        <f t="shared" ca="1" si="64"/>
        <v>0</v>
      </c>
      <c r="AA288" s="22">
        <f t="shared" ca="1" si="64"/>
        <v>0</v>
      </c>
      <c r="AB288" s="22">
        <f t="shared" ca="1" si="64"/>
        <v>0</v>
      </c>
      <c r="AC288" s="22">
        <f t="shared" ca="1" si="64"/>
        <v>0</v>
      </c>
      <c r="AD288" s="22">
        <f t="shared" ca="1" si="64"/>
        <v>0</v>
      </c>
      <c r="AE288" s="22">
        <f t="shared" ca="1" si="64"/>
        <v>0</v>
      </c>
      <c r="AF288" s="22">
        <f t="shared" ca="1" si="64"/>
        <v>0</v>
      </c>
      <c r="AG288" s="22">
        <f t="shared" ca="1" si="64"/>
        <v>0</v>
      </c>
      <c r="AH288" s="22">
        <f t="shared" ca="1" si="64"/>
        <v>0</v>
      </c>
      <c r="AI288" s="22">
        <f t="shared" ca="1" si="64"/>
        <v>0</v>
      </c>
      <c r="AJ288" s="22">
        <f t="shared" ca="1" si="64"/>
        <v>0</v>
      </c>
      <c r="AK288" s="22">
        <f t="shared" ca="1" si="64"/>
        <v>0</v>
      </c>
      <c r="AL288" s="22">
        <f t="shared" ca="1" si="64"/>
        <v>0</v>
      </c>
      <c r="AM288" s="22">
        <f t="shared" ca="1" si="64"/>
        <v>0</v>
      </c>
      <c r="AN288" s="22">
        <f t="shared" ca="1" si="64"/>
        <v>0</v>
      </c>
      <c r="AO288" s="22">
        <f t="shared" ca="1" si="64"/>
        <v>0</v>
      </c>
      <c r="AP288" s="22">
        <f t="shared" ca="1" si="64"/>
        <v>0</v>
      </c>
      <c r="AQ288" s="22">
        <f t="shared" ca="1" si="64"/>
        <v>0</v>
      </c>
      <c r="AR288" s="22">
        <f t="shared" ca="1" si="64"/>
        <v>0</v>
      </c>
      <c r="AS288" s="22">
        <f t="shared" ca="1" si="64"/>
        <v>0</v>
      </c>
      <c r="AT288" s="22">
        <f t="shared" ca="1" si="64"/>
        <v>0</v>
      </c>
      <c r="AU288" s="22">
        <f t="shared" ca="1" si="64"/>
        <v>0</v>
      </c>
      <c r="AV288" s="22">
        <f t="shared" ca="1" si="64"/>
        <v>0</v>
      </c>
      <c r="AW288" s="22">
        <f t="shared" ca="1" si="64"/>
        <v>0</v>
      </c>
      <c r="AX288" s="22">
        <f t="shared" ca="1" si="64"/>
        <v>0</v>
      </c>
    </row>
    <row r="289" spans="1:50" ht="15" customHeight="1">
      <c r="A289" s="391"/>
      <c r="B289" s="507"/>
      <c r="C289" s="392"/>
      <c r="D289" s="393"/>
      <c r="E289" s="22"/>
      <c r="F289" s="394"/>
      <c r="G289" s="394"/>
      <c r="H289" s="346"/>
      <c r="I289" s="393"/>
      <c r="J289" s="395"/>
      <c r="K289" s="396"/>
      <c r="L289" s="396"/>
      <c r="M289" s="396"/>
      <c r="N289" s="396"/>
      <c r="O289" s="396"/>
      <c r="P289" s="396"/>
      <c r="Q289" s="396"/>
      <c r="R289" s="396"/>
      <c r="S289" s="396"/>
      <c r="T289" s="396"/>
      <c r="U289" s="396"/>
      <c r="V289" s="396"/>
      <c r="W289" s="396"/>
      <c r="X289" s="396"/>
      <c r="Y289" s="396"/>
      <c r="Z289" s="396"/>
      <c r="AA289" s="396"/>
      <c r="AB289" s="396"/>
      <c r="AC289" s="396"/>
      <c r="AD289" s="396"/>
      <c r="AE289" s="396"/>
      <c r="AF289" s="396"/>
      <c r="AG289" s="396"/>
      <c r="AH289" s="396"/>
      <c r="AI289" s="396"/>
      <c r="AJ289" s="396"/>
      <c r="AK289" s="396"/>
      <c r="AL289" s="396"/>
      <c r="AM289" s="396"/>
      <c r="AN289" s="396"/>
      <c r="AO289" s="396"/>
      <c r="AP289" s="396"/>
      <c r="AQ289" s="396"/>
      <c r="AR289" s="396"/>
      <c r="AS289" s="396"/>
      <c r="AT289" s="396"/>
      <c r="AU289" s="396"/>
      <c r="AV289" s="396"/>
      <c r="AW289" s="396"/>
      <c r="AX289" s="396"/>
    </row>
    <row r="290" spans="1:50" ht="15" customHeight="1">
      <c r="A290" s="391"/>
      <c r="B290" s="507" t="str">
        <f>Translate!$E$68</f>
        <v>Loan repayments</v>
      </c>
      <c r="C290" s="392"/>
      <c r="D290" s="393"/>
      <c r="E290" s="22"/>
      <c r="F290" s="394"/>
      <c r="G290" s="394"/>
      <c r="H290" s="346"/>
      <c r="I290" s="393"/>
      <c r="J290" s="395"/>
      <c r="K290" s="396"/>
      <c r="L290" s="396"/>
      <c r="M290" s="396"/>
      <c r="N290" s="396"/>
      <c r="O290" s="396"/>
      <c r="P290" s="396"/>
      <c r="Q290" s="396"/>
      <c r="R290" s="396"/>
      <c r="S290" s="396"/>
      <c r="T290" s="396"/>
      <c r="U290" s="396"/>
      <c r="V290" s="396"/>
      <c r="W290" s="396"/>
      <c r="X290" s="396"/>
      <c r="Y290" s="396"/>
      <c r="Z290" s="396"/>
      <c r="AA290" s="396"/>
      <c r="AB290" s="396"/>
      <c r="AC290" s="396"/>
      <c r="AD290" s="396"/>
      <c r="AE290" s="396"/>
      <c r="AF290" s="396"/>
      <c r="AG290" s="396"/>
      <c r="AH290" s="396"/>
      <c r="AI290" s="396"/>
      <c r="AJ290" s="396"/>
      <c r="AK290" s="396"/>
      <c r="AL290" s="396"/>
      <c r="AM290" s="396"/>
      <c r="AN290" s="396"/>
      <c r="AO290" s="396"/>
      <c r="AP290" s="396"/>
      <c r="AQ290" s="396"/>
      <c r="AR290" s="396"/>
      <c r="AS290" s="396"/>
      <c r="AT290" s="396"/>
      <c r="AU290" s="396"/>
      <c r="AV290" s="396"/>
      <c r="AW290" s="396"/>
      <c r="AX290" s="396"/>
    </row>
    <row r="291" spans="1:50" ht="15" customHeight="1">
      <c r="A291" s="397"/>
      <c r="B291" s="508"/>
      <c r="C291" s="372"/>
      <c r="D291" s="1102"/>
      <c r="E291" s="22" t="str">
        <f t="shared" ref="E291:AX291" si="65" xml:space="preserve"> E$282</f>
        <v>Post financing Production years after ELT Cum</v>
      </c>
      <c r="F291" s="22">
        <f t="shared" si="65"/>
        <v>0</v>
      </c>
      <c r="G291" s="22" t="str">
        <f t="shared" si="65"/>
        <v>Years</v>
      </c>
      <c r="H291" s="22">
        <f t="shared" si="65"/>
        <v>0</v>
      </c>
      <c r="I291" s="22">
        <f t="shared" si="65"/>
        <v>0</v>
      </c>
      <c r="J291" s="22">
        <f t="shared" si="65"/>
        <v>0</v>
      </c>
      <c r="K291" s="22">
        <f t="shared" ca="1" si="65"/>
        <v>0</v>
      </c>
      <c r="L291" s="22">
        <f t="shared" ca="1" si="65"/>
        <v>0</v>
      </c>
      <c r="M291" s="22">
        <f t="shared" ca="1" si="65"/>
        <v>0</v>
      </c>
      <c r="N291" s="22">
        <f t="shared" ca="1" si="65"/>
        <v>0</v>
      </c>
      <c r="O291" s="22">
        <f t="shared" ca="1" si="65"/>
        <v>0</v>
      </c>
      <c r="P291" s="22">
        <f t="shared" ca="1" si="65"/>
        <v>0</v>
      </c>
      <c r="Q291" s="22">
        <f t="shared" ca="1" si="65"/>
        <v>1</v>
      </c>
      <c r="R291" s="22">
        <f t="shared" ca="1" si="65"/>
        <v>2</v>
      </c>
      <c r="S291" s="22">
        <f t="shared" ca="1" si="65"/>
        <v>3</v>
      </c>
      <c r="T291" s="22">
        <f t="shared" ca="1" si="65"/>
        <v>4</v>
      </c>
      <c r="U291" s="22">
        <f t="shared" ca="1" si="65"/>
        <v>5</v>
      </c>
      <c r="V291" s="22">
        <f t="shared" ca="1" si="65"/>
        <v>6</v>
      </c>
      <c r="W291" s="22">
        <f t="shared" ca="1" si="65"/>
        <v>7</v>
      </c>
      <c r="X291" s="22">
        <f t="shared" ca="1" si="65"/>
        <v>8</v>
      </c>
      <c r="Y291" s="22">
        <f t="shared" ca="1" si="65"/>
        <v>9</v>
      </c>
      <c r="Z291" s="22">
        <f t="shared" ca="1" si="65"/>
        <v>10</v>
      </c>
      <c r="AA291" s="22">
        <f t="shared" ca="1" si="65"/>
        <v>11</v>
      </c>
      <c r="AB291" s="22">
        <f t="shared" ca="1" si="65"/>
        <v>12</v>
      </c>
      <c r="AC291" s="22">
        <f t="shared" ca="1" si="65"/>
        <v>13</v>
      </c>
      <c r="AD291" s="22">
        <f t="shared" ca="1" si="65"/>
        <v>14</v>
      </c>
      <c r="AE291" s="22">
        <f t="shared" ca="1" si="65"/>
        <v>15</v>
      </c>
      <c r="AF291" s="22">
        <f t="shared" ca="1" si="65"/>
        <v>0</v>
      </c>
      <c r="AG291" s="22">
        <f t="shared" ca="1" si="65"/>
        <v>0</v>
      </c>
      <c r="AH291" s="22">
        <f t="shared" ca="1" si="65"/>
        <v>0</v>
      </c>
      <c r="AI291" s="22">
        <f t="shared" ca="1" si="65"/>
        <v>0</v>
      </c>
      <c r="AJ291" s="22">
        <f t="shared" ca="1" si="65"/>
        <v>0</v>
      </c>
      <c r="AK291" s="22">
        <f t="shared" ca="1" si="65"/>
        <v>0</v>
      </c>
      <c r="AL291" s="22">
        <f t="shared" ca="1" si="65"/>
        <v>0</v>
      </c>
      <c r="AM291" s="22">
        <f t="shared" ca="1" si="65"/>
        <v>0</v>
      </c>
      <c r="AN291" s="22">
        <f t="shared" ca="1" si="65"/>
        <v>0</v>
      </c>
      <c r="AO291" s="22">
        <f t="shared" ca="1" si="65"/>
        <v>0</v>
      </c>
      <c r="AP291" s="22">
        <f t="shared" ca="1" si="65"/>
        <v>0</v>
      </c>
      <c r="AQ291" s="22">
        <f t="shared" ca="1" si="65"/>
        <v>0</v>
      </c>
      <c r="AR291" s="22">
        <f t="shared" ca="1" si="65"/>
        <v>0</v>
      </c>
      <c r="AS291" s="22">
        <f t="shared" ca="1" si="65"/>
        <v>0</v>
      </c>
      <c r="AT291" s="22">
        <f t="shared" ca="1" si="65"/>
        <v>0</v>
      </c>
      <c r="AU291" s="22">
        <f t="shared" ca="1" si="65"/>
        <v>0</v>
      </c>
      <c r="AV291" s="22">
        <f t="shared" ca="1" si="65"/>
        <v>0</v>
      </c>
      <c r="AW291" s="22">
        <f t="shared" ca="1" si="65"/>
        <v>0</v>
      </c>
      <c r="AX291" s="22">
        <f t="shared" ca="1" si="65"/>
        <v>0</v>
      </c>
    </row>
    <row r="292" spans="1:50" s="434" customFormat="1" ht="15" customHeight="1">
      <c r="A292" s="451"/>
      <c r="B292" s="507"/>
      <c r="C292" s="452"/>
      <c r="D292" s="443"/>
      <c r="E292" s="383" t="str">
        <f xml:space="preserve"> FiscalModel!E$59</f>
        <v>Repayment period (yrs after financing period) (max)</v>
      </c>
      <c r="F292" s="383">
        <f xml:space="preserve"> FiscalModel!F$59</f>
        <v>5</v>
      </c>
      <c r="G292" s="383" t="str">
        <f xml:space="preserve"> FiscalModel!G$59</f>
        <v>Years</v>
      </c>
      <c r="H292" s="432"/>
      <c r="I292" s="432"/>
      <c r="J292" s="432"/>
      <c r="K292" s="432"/>
      <c r="L292" s="432"/>
      <c r="M292" s="432"/>
      <c r="N292" s="432"/>
      <c r="O292" s="432"/>
      <c r="P292" s="432"/>
      <c r="Q292" s="432"/>
      <c r="R292" s="432"/>
      <c r="S292" s="432"/>
      <c r="T292" s="432"/>
      <c r="U292" s="432"/>
      <c r="V292" s="432"/>
      <c r="W292" s="432"/>
      <c r="X292" s="432"/>
      <c r="Y292" s="432"/>
      <c r="Z292" s="432"/>
      <c r="AA292" s="432"/>
      <c r="AB292" s="432"/>
      <c r="AC292" s="432"/>
      <c r="AD292" s="432"/>
      <c r="AE292" s="432"/>
      <c r="AF292" s="432"/>
      <c r="AG292" s="432"/>
      <c r="AH292" s="432"/>
      <c r="AI292" s="432"/>
      <c r="AJ292" s="432"/>
      <c r="AK292" s="432"/>
      <c r="AL292" s="432"/>
      <c r="AM292" s="432"/>
      <c r="AN292" s="432"/>
      <c r="AO292" s="432"/>
      <c r="AP292" s="432"/>
      <c r="AQ292" s="432"/>
      <c r="AR292" s="432"/>
      <c r="AS292" s="432"/>
      <c r="AT292" s="432"/>
      <c r="AU292" s="432"/>
      <c r="AV292" s="432"/>
      <c r="AW292" s="432"/>
      <c r="AX292" s="432"/>
    </row>
    <row r="293" spans="1:50" ht="15" customHeight="1">
      <c r="A293" s="260"/>
      <c r="B293" s="508"/>
      <c r="C293" s="217"/>
      <c r="D293" s="398"/>
      <c r="E293" s="22" t="str">
        <f>Translate!$E$197</f>
        <v>Loan repayment flag</v>
      </c>
      <c r="F293" s="22"/>
      <c r="G293" s="22" t="str">
        <f>Translate!$E$586</f>
        <v>Flag</v>
      </c>
      <c r="H293" s="22"/>
      <c r="I293" s="22">
        <f ca="1" xml:space="preserve"> SUM(K293:AX293)</f>
        <v>5</v>
      </c>
      <c r="J293" s="22"/>
      <c r="K293" s="22">
        <f t="shared" ref="K293:AX293" ca="1" si="66" xml:space="preserve"> AND( K291 &gt;0, K291 &lt;= $F292) * 1</f>
        <v>0</v>
      </c>
      <c r="L293" s="22">
        <f t="shared" ca="1" si="66"/>
        <v>0</v>
      </c>
      <c r="M293" s="22">
        <f t="shared" ca="1" si="66"/>
        <v>0</v>
      </c>
      <c r="N293" s="22">
        <f t="shared" ca="1" si="66"/>
        <v>0</v>
      </c>
      <c r="O293" s="22">
        <f t="shared" ca="1" si="66"/>
        <v>0</v>
      </c>
      <c r="P293" s="22">
        <f t="shared" ca="1" si="66"/>
        <v>0</v>
      </c>
      <c r="Q293" s="22">
        <f t="shared" ca="1" si="66"/>
        <v>1</v>
      </c>
      <c r="R293" s="22">
        <f t="shared" ca="1" si="66"/>
        <v>1</v>
      </c>
      <c r="S293" s="22">
        <f t="shared" ca="1" si="66"/>
        <v>1</v>
      </c>
      <c r="T293" s="22">
        <f t="shared" ca="1" si="66"/>
        <v>1</v>
      </c>
      <c r="U293" s="22">
        <f t="shared" ca="1" si="66"/>
        <v>1</v>
      </c>
      <c r="V293" s="22">
        <f t="shared" ca="1" si="66"/>
        <v>0</v>
      </c>
      <c r="W293" s="22">
        <f t="shared" ca="1" si="66"/>
        <v>0</v>
      </c>
      <c r="X293" s="22">
        <f t="shared" ca="1" si="66"/>
        <v>0</v>
      </c>
      <c r="Y293" s="22">
        <f t="shared" ca="1" si="66"/>
        <v>0</v>
      </c>
      <c r="Z293" s="22">
        <f t="shared" ca="1" si="66"/>
        <v>0</v>
      </c>
      <c r="AA293" s="22">
        <f t="shared" ca="1" si="66"/>
        <v>0</v>
      </c>
      <c r="AB293" s="22">
        <f t="shared" ca="1" si="66"/>
        <v>0</v>
      </c>
      <c r="AC293" s="22">
        <f t="shared" ca="1" si="66"/>
        <v>0</v>
      </c>
      <c r="AD293" s="22">
        <f t="shared" ca="1" si="66"/>
        <v>0</v>
      </c>
      <c r="AE293" s="22">
        <f t="shared" ca="1" si="66"/>
        <v>0</v>
      </c>
      <c r="AF293" s="22">
        <f t="shared" ca="1" si="66"/>
        <v>0</v>
      </c>
      <c r="AG293" s="22">
        <f t="shared" ca="1" si="66"/>
        <v>0</v>
      </c>
      <c r="AH293" s="22">
        <f t="shared" ca="1" si="66"/>
        <v>0</v>
      </c>
      <c r="AI293" s="22">
        <f t="shared" ca="1" si="66"/>
        <v>0</v>
      </c>
      <c r="AJ293" s="22">
        <f t="shared" ca="1" si="66"/>
        <v>0</v>
      </c>
      <c r="AK293" s="22">
        <f t="shared" ca="1" si="66"/>
        <v>0</v>
      </c>
      <c r="AL293" s="22">
        <f t="shared" ca="1" si="66"/>
        <v>0</v>
      </c>
      <c r="AM293" s="22">
        <f t="shared" ca="1" si="66"/>
        <v>0</v>
      </c>
      <c r="AN293" s="22">
        <f t="shared" ca="1" si="66"/>
        <v>0</v>
      </c>
      <c r="AO293" s="22">
        <f t="shared" ca="1" si="66"/>
        <v>0</v>
      </c>
      <c r="AP293" s="22">
        <f t="shared" ca="1" si="66"/>
        <v>0</v>
      </c>
      <c r="AQ293" s="22">
        <f t="shared" ca="1" si="66"/>
        <v>0</v>
      </c>
      <c r="AR293" s="22">
        <f t="shared" ca="1" si="66"/>
        <v>0</v>
      </c>
      <c r="AS293" s="22">
        <f t="shared" ca="1" si="66"/>
        <v>0</v>
      </c>
      <c r="AT293" s="22">
        <f t="shared" ca="1" si="66"/>
        <v>0</v>
      </c>
      <c r="AU293" s="22">
        <f t="shared" ca="1" si="66"/>
        <v>0</v>
      </c>
      <c r="AV293" s="22">
        <f t="shared" ca="1" si="66"/>
        <v>0</v>
      </c>
      <c r="AW293" s="22">
        <f t="shared" ca="1" si="66"/>
        <v>0</v>
      </c>
      <c r="AX293" s="22">
        <f t="shared" ca="1" si="66"/>
        <v>0</v>
      </c>
    </row>
    <row r="294" spans="1:50" ht="15" customHeight="1">
      <c r="A294" s="391"/>
      <c r="B294" s="507"/>
      <c r="C294" s="392"/>
      <c r="D294" s="393"/>
      <c r="E294" s="22" t="str">
        <f>Translate!$E$198</f>
        <v>Proportion of remaining loan balance to be paid</v>
      </c>
      <c r="F294" s="394"/>
      <c r="G294" s="394" t="s">
        <v>29</v>
      </c>
      <c r="H294" s="346"/>
      <c r="I294" s="393"/>
      <c r="J294" s="395"/>
      <c r="K294" s="394">
        <f ca="1" xml:space="preserve"> IFERROR( K293 / SUM(K293:$AX293), 0 )</f>
        <v>0</v>
      </c>
      <c r="L294" s="394">
        <f ca="1" xml:space="preserve"> IFERROR( L293 / SUM(L293:$AX293), 0 )</f>
        <v>0</v>
      </c>
      <c r="M294" s="394">
        <f ca="1" xml:space="preserve"> IFERROR( M293 / SUM(M293:$AX293), 0 )</f>
        <v>0</v>
      </c>
      <c r="N294" s="394">
        <f ca="1" xml:space="preserve"> IFERROR( N293 / SUM(N293:$AX293), 0 )</f>
        <v>0</v>
      </c>
      <c r="O294" s="394">
        <f ca="1" xml:space="preserve"> IFERROR( O293 / SUM(O293:$AX293), 0 )</f>
        <v>0</v>
      </c>
      <c r="P294" s="394">
        <f ca="1" xml:space="preserve"> IFERROR( P293 / SUM(P293:$AX293), 0 )</f>
        <v>0</v>
      </c>
      <c r="Q294" s="394">
        <f ca="1" xml:space="preserve"> IFERROR( Q293 / SUM(Q293:$AX293), 0 )</f>
        <v>0.2</v>
      </c>
      <c r="R294" s="394">
        <f ca="1" xml:space="preserve"> IFERROR( R293 / SUM(R293:$AX293), 0 )</f>
        <v>0.25</v>
      </c>
      <c r="S294" s="394">
        <f ca="1" xml:space="preserve"> IFERROR( S293 / SUM(S293:$AX293), 0 )</f>
        <v>0.33333333333333331</v>
      </c>
      <c r="T294" s="394">
        <f ca="1" xml:space="preserve"> IFERROR( T293 / SUM(T293:$AX293), 0 )</f>
        <v>0.5</v>
      </c>
      <c r="U294" s="394">
        <f ca="1" xml:space="preserve"> IFERROR( U293 / SUM(U293:$AX293), 0 )</f>
        <v>1</v>
      </c>
      <c r="V294" s="394">
        <f ca="1" xml:space="preserve"> IFERROR( V293 / SUM(V293:$AX293), 0 )</f>
        <v>0</v>
      </c>
      <c r="W294" s="394">
        <f ca="1" xml:space="preserve"> IFERROR( W293 / SUM(W293:$AX293), 0 )</f>
        <v>0</v>
      </c>
      <c r="X294" s="394">
        <f ca="1" xml:space="preserve"> IFERROR( X293 / SUM(X293:$AX293), 0 )</f>
        <v>0</v>
      </c>
      <c r="Y294" s="394">
        <f ca="1" xml:space="preserve"> IFERROR( Y293 / SUM(Y293:$AX293), 0 )</f>
        <v>0</v>
      </c>
      <c r="Z294" s="394">
        <f ca="1" xml:space="preserve"> IFERROR( Z293 / SUM(Z293:$AX293), 0 )</f>
        <v>0</v>
      </c>
      <c r="AA294" s="394">
        <f ca="1" xml:space="preserve"> IFERROR( AA293 / SUM(AA293:$AX293), 0 )</f>
        <v>0</v>
      </c>
      <c r="AB294" s="394">
        <f ca="1" xml:space="preserve"> IFERROR( AB293 / SUM(AB293:$AX293), 0 )</f>
        <v>0</v>
      </c>
      <c r="AC294" s="394">
        <f ca="1" xml:space="preserve"> IFERROR( AC293 / SUM(AC293:$AX293), 0 )</f>
        <v>0</v>
      </c>
      <c r="AD294" s="394">
        <f ca="1" xml:space="preserve"> IFERROR( AD293 / SUM(AD293:$AX293), 0 )</f>
        <v>0</v>
      </c>
      <c r="AE294" s="394">
        <f ca="1" xml:space="preserve"> IFERROR( AE293 / SUM(AE293:$AX293), 0 )</f>
        <v>0</v>
      </c>
      <c r="AF294" s="394">
        <f ca="1" xml:space="preserve"> IFERROR( AF293 / SUM(AF293:$AX293), 0 )</f>
        <v>0</v>
      </c>
      <c r="AG294" s="394">
        <f ca="1" xml:space="preserve"> IFERROR( AG293 / SUM(AG293:$AX293), 0 )</f>
        <v>0</v>
      </c>
      <c r="AH294" s="394">
        <f ca="1" xml:space="preserve"> IFERROR( AH293 / SUM(AH293:$AX293), 0 )</f>
        <v>0</v>
      </c>
      <c r="AI294" s="394">
        <f ca="1" xml:space="preserve"> IFERROR( AI293 / SUM(AI293:$AX293), 0 )</f>
        <v>0</v>
      </c>
      <c r="AJ294" s="394">
        <f ca="1" xml:space="preserve"> IFERROR( AJ293 / SUM(AJ293:$AX293), 0 )</f>
        <v>0</v>
      </c>
      <c r="AK294" s="394">
        <f ca="1" xml:space="preserve"> IFERROR( AK293 / SUM(AK293:$AX293), 0 )</f>
        <v>0</v>
      </c>
      <c r="AL294" s="394">
        <f ca="1" xml:space="preserve"> IFERROR( AL293 / SUM(AL293:$AX293), 0 )</f>
        <v>0</v>
      </c>
      <c r="AM294" s="394">
        <f ca="1" xml:space="preserve"> IFERROR( AM293 / SUM(AM293:$AX293), 0 )</f>
        <v>0</v>
      </c>
      <c r="AN294" s="394">
        <f ca="1" xml:space="preserve"> IFERROR( AN293 / SUM(AN293:$AX293), 0 )</f>
        <v>0</v>
      </c>
      <c r="AO294" s="394">
        <f ca="1" xml:space="preserve"> IFERROR( AO293 / SUM(AO293:$AX293), 0 )</f>
        <v>0</v>
      </c>
      <c r="AP294" s="394">
        <f ca="1" xml:space="preserve"> IFERROR( AP293 / SUM(AP293:$AX293), 0 )</f>
        <v>0</v>
      </c>
      <c r="AQ294" s="394">
        <f ca="1" xml:space="preserve"> IFERROR( AQ293 / SUM(AQ293:$AX293), 0 )</f>
        <v>0</v>
      </c>
      <c r="AR294" s="394">
        <f ca="1" xml:space="preserve"> IFERROR( AR293 / SUM(AR293:$AX293), 0 )</f>
        <v>0</v>
      </c>
      <c r="AS294" s="394">
        <f ca="1" xml:space="preserve"> IFERROR( AS293 / SUM(AS293:$AX293), 0 )</f>
        <v>0</v>
      </c>
      <c r="AT294" s="394">
        <f ca="1" xml:space="preserve"> IFERROR( AT293 / SUM(AT293:$AX293), 0 )</f>
        <v>0</v>
      </c>
      <c r="AU294" s="394">
        <f ca="1" xml:space="preserve"> IFERROR( AU293 / SUM(AU293:$AX293), 0 )</f>
        <v>0</v>
      </c>
      <c r="AV294" s="394">
        <f ca="1" xml:space="preserve"> IFERROR( AV293 / SUM(AV293:$AX293), 0 )</f>
        <v>0</v>
      </c>
      <c r="AW294" s="394">
        <f ca="1" xml:space="preserve"> IFERROR( AW293 / SUM(AW293:$AX293), 0 )</f>
        <v>0</v>
      </c>
      <c r="AX294" s="394">
        <f ca="1" xml:space="preserve"> IFERROR( AX293 / SUM(AX293:$AX293), 0 )</f>
        <v>0</v>
      </c>
    </row>
    <row r="295" spans="1:50" ht="15" customHeight="1">
      <c r="A295" s="391"/>
      <c r="B295" s="507"/>
      <c r="C295" s="392"/>
      <c r="D295" s="393"/>
      <c r="E295" s="22"/>
      <c r="F295" s="394"/>
      <c r="G295" s="394"/>
      <c r="H295" s="346"/>
      <c r="I295" s="393"/>
      <c r="J295" s="395"/>
      <c r="K295" s="396"/>
      <c r="L295" s="396"/>
      <c r="M295" s="396"/>
      <c r="N295" s="396"/>
      <c r="O295" s="396"/>
      <c r="P295" s="396"/>
      <c r="Q295" s="396"/>
      <c r="R295" s="396"/>
      <c r="S295" s="396"/>
      <c r="T295" s="396"/>
      <c r="U295" s="396"/>
      <c r="V295" s="396"/>
      <c r="W295" s="396"/>
      <c r="X295" s="396"/>
      <c r="Y295" s="396"/>
      <c r="Z295" s="396"/>
      <c r="AA295" s="396"/>
      <c r="AB295" s="396"/>
      <c r="AC295" s="396"/>
      <c r="AD295" s="396"/>
      <c r="AE295" s="396"/>
      <c r="AF295" s="396"/>
      <c r="AG295" s="396"/>
      <c r="AH295" s="396"/>
      <c r="AI295" s="396"/>
      <c r="AJ295" s="396"/>
      <c r="AK295" s="396"/>
      <c r="AL295" s="396"/>
      <c r="AM295" s="396"/>
      <c r="AN295" s="396"/>
      <c r="AO295" s="396"/>
      <c r="AP295" s="396"/>
      <c r="AQ295" s="396"/>
      <c r="AR295" s="396"/>
      <c r="AS295" s="396"/>
      <c r="AT295" s="396"/>
      <c r="AU295" s="396"/>
      <c r="AV295" s="396"/>
      <c r="AW295" s="396"/>
      <c r="AX295" s="396"/>
    </row>
    <row r="296" spans="1:50" ht="15" customHeight="1">
      <c r="A296" s="391"/>
      <c r="B296" s="507" t="str">
        <f>Translate!$E$69</f>
        <v>Loan account</v>
      </c>
      <c r="C296" s="392"/>
      <c r="D296" s="393"/>
      <c r="E296" s="22"/>
      <c r="F296" s="394"/>
      <c r="G296" s="394"/>
      <c r="H296" s="346"/>
      <c r="I296" s="393"/>
      <c r="J296" s="395"/>
      <c r="K296" s="396"/>
      <c r="L296" s="396"/>
      <c r="M296" s="396"/>
      <c r="N296" s="396"/>
      <c r="O296" s="396"/>
      <c r="P296" s="396"/>
      <c r="Q296" s="396"/>
      <c r="R296" s="396"/>
      <c r="S296" s="396"/>
      <c r="T296" s="396"/>
      <c r="U296" s="396"/>
      <c r="V296" s="396"/>
      <c r="W296" s="396"/>
      <c r="X296" s="396"/>
      <c r="Y296" s="396"/>
      <c r="Z296" s="396"/>
      <c r="AA296" s="396"/>
      <c r="AB296" s="396"/>
      <c r="AC296" s="396"/>
      <c r="AD296" s="396"/>
      <c r="AE296" s="396"/>
      <c r="AF296" s="396"/>
      <c r="AG296" s="396"/>
      <c r="AH296" s="396"/>
      <c r="AI296" s="396"/>
      <c r="AJ296" s="396"/>
      <c r="AK296" s="396"/>
      <c r="AL296" s="396"/>
      <c r="AM296" s="396"/>
      <c r="AN296" s="396"/>
      <c r="AO296" s="396"/>
      <c r="AP296" s="396"/>
      <c r="AQ296" s="396"/>
      <c r="AR296" s="396"/>
      <c r="AS296" s="396"/>
      <c r="AT296" s="396"/>
      <c r="AU296" s="396"/>
      <c r="AV296" s="396"/>
      <c r="AW296" s="396"/>
      <c r="AX296" s="396"/>
    </row>
    <row r="297" spans="1:50" ht="15" customHeight="1">
      <c r="A297" s="391"/>
      <c r="B297" s="507"/>
      <c r="C297" s="392"/>
      <c r="D297" s="393"/>
      <c r="E297" s="386" t="str">
        <f xml:space="preserve"> FiscalModel!E$60</f>
        <v>Loan real interest rate (margin over LIBOR)</v>
      </c>
      <c r="F297" s="386">
        <f xml:space="preserve"> FiscalModel!F$60</f>
        <v>0.05</v>
      </c>
      <c r="G297" s="386" t="str">
        <f xml:space="preserve"> FiscalModel!G$60</f>
        <v>%</v>
      </c>
      <c r="H297" s="346"/>
      <c r="I297" s="393"/>
      <c r="J297" s="395"/>
      <c r="K297" s="396"/>
      <c r="L297" s="396"/>
      <c r="M297" s="396"/>
      <c r="N297" s="396"/>
      <c r="O297" s="396"/>
      <c r="P297" s="396"/>
      <c r="Q297" s="396"/>
      <c r="R297" s="396"/>
      <c r="S297" s="396"/>
      <c r="T297" s="396"/>
      <c r="U297" s="396"/>
      <c r="V297" s="396"/>
      <c r="W297" s="396"/>
      <c r="X297" s="396"/>
      <c r="Y297" s="396"/>
      <c r="Z297" s="396"/>
      <c r="AA297" s="396"/>
      <c r="AB297" s="396"/>
      <c r="AC297" s="396"/>
      <c r="AD297" s="396"/>
      <c r="AE297" s="396"/>
      <c r="AF297" s="396"/>
      <c r="AG297" s="396"/>
      <c r="AH297" s="396"/>
      <c r="AI297" s="396"/>
      <c r="AJ297" s="396"/>
      <c r="AK297" s="396"/>
      <c r="AL297" s="396"/>
      <c r="AM297" s="396"/>
      <c r="AN297" s="396"/>
      <c r="AO297" s="396"/>
      <c r="AP297" s="396"/>
      <c r="AQ297" s="396"/>
      <c r="AR297" s="396"/>
      <c r="AS297" s="396"/>
      <c r="AT297" s="396"/>
      <c r="AU297" s="396"/>
      <c r="AV297" s="396"/>
      <c r="AW297" s="396"/>
      <c r="AX297" s="396"/>
    </row>
    <row r="298" spans="1:50" ht="15" customHeight="1">
      <c r="A298" s="391"/>
      <c r="B298" s="507"/>
      <c r="C298" s="392"/>
      <c r="D298" s="393"/>
      <c r="E298" s="399" t="str">
        <f xml:space="preserve"> Inputs!E$47</f>
        <v>LIBOR: nominal</v>
      </c>
      <c r="F298" s="399">
        <f xml:space="preserve"> Inputs!F$47</f>
        <v>2.0000000000000018E-2</v>
      </c>
      <c r="G298" s="399" t="str">
        <f xml:space="preserve"> Inputs!G$47</f>
        <v>%</v>
      </c>
      <c r="H298" s="346"/>
      <c r="I298" s="393"/>
      <c r="J298" s="395"/>
      <c r="K298" s="396"/>
      <c r="L298" s="396"/>
      <c r="M298" s="396"/>
      <c r="N298" s="396"/>
      <c r="O298" s="396"/>
      <c r="P298" s="396"/>
      <c r="Q298" s="396"/>
      <c r="R298" s="396"/>
      <c r="S298" s="396"/>
      <c r="T298" s="396"/>
      <c r="U298" s="396"/>
      <c r="V298" s="396"/>
      <c r="W298" s="396"/>
      <c r="X298" s="396"/>
      <c r="Y298" s="396"/>
      <c r="Z298" s="396"/>
      <c r="AA298" s="396"/>
      <c r="AB298" s="396"/>
      <c r="AC298" s="396"/>
      <c r="AD298" s="396"/>
      <c r="AE298" s="396"/>
      <c r="AF298" s="396"/>
      <c r="AG298" s="396"/>
      <c r="AH298" s="396"/>
      <c r="AI298" s="396"/>
      <c r="AJ298" s="396"/>
      <c r="AK298" s="396"/>
      <c r="AL298" s="396"/>
      <c r="AM298" s="396"/>
      <c r="AN298" s="396"/>
      <c r="AO298" s="396"/>
      <c r="AP298" s="396"/>
      <c r="AQ298" s="396"/>
      <c r="AR298" s="396"/>
      <c r="AS298" s="396"/>
      <c r="AT298" s="396"/>
      <c r="AU298" s="396"/>
      <c r="AV298" s="396"/>
      <c r="AW298" s="396"/>
      <c r="AX298" s="396"/>
    </row>
    <row r="299" spans="1:50" ht="15" customHeight="1">
      <c r="A299" s="391"/>
      <c r="B299" s="507"/>
      <c r="C299" s="392"/>
      <c r="D299" s="393"/>
      <c r="E299" s="22" t="str">
        <f>Translate!$E$199</f>
        <v>Loan nominal interest rate</v>
      </c>
      <c r="F299" s="394">
        <f xml:space="preserve"> ( 1 + F297 ) * ( 1 + F298 ) - 1</f>
        <v>7.1000000000000174E-2</v>
      </c>
      <c r="G299" s="394" t="s">
        <v>29</v>
      </c>
      <c r="H299" s="346"/>
      <c r="I299" s="393"/>
      <c r="J299" s="395"/>
      <c r="K299" s="396"/>
      <c r="L299" s="396"/>
      <c r="M299" s="396"/>
      <c r="N299" s="396"/>
      <c r="O299" s="396"/>
      <c r="P299" s="396"/>
      <c r="Q299" s="396"/>
      <c r="R299" s="396"/>
      <c r="S299" s="396"/>
      <c r="T299" s="396"/>
      <c r="U299" s="396"/>
      <c r="V299" s="396"/>
      <c r="W299" s="396"/>
      <c r="X299" s="396"/>
      <c r="Y299" s="396"/>
      <c r="Z299" s="396"/>
      <c r="AA299" s="396"/>
      <c r="AB299" s="396"/>
      <c r="AC299" s="396"/>
      <c r="AD299" s="396"/>
      <c r="AE299" s="396"/>
      <c r="AF299" s="396"/>
      <c r="AG299" s="396"/>
      <c r="AH299" s="396"/>
      <c r="AI299" s="396"/>
      <c r="AJ299" s="396"/>
      <c r="AK299" s="396"/>
      <c r="AL299" s="396"/>
      <c r="AM299" s="396"/>
      <c r="AN299" s="396"/>
      <c r="AO299" s="396"/>
      <c r="AP299" s="396"/>
      <c r="AQ299" s="396"/>
      <c r="AR299" s="396"/>
      <c r="AS299" s="396"/>
      <c r="AT299" s="396"/>
      <c r="AU299" s="396"/>
      <c r="AV299" s="396"/>
      <c r="AW299" s="396"/>
      <c r="AX299" s="396"/>
    </row>
    <row r="300" spans="1:50" ht="15" customHeight="1">
      <c r="A300" s="391"/>
      <c r="B300" s="507"/>
      <c r="C300" s="392"/>
      <c r="D300" s="393"/>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row>
    <row r="301" spans="1:50" ht="15" customHeight="1">
      <c r="A301" s="400"/>
      <c r="B301" s="687"/>
      <c r="C301" s="401"/>
      <c r="D301" s="402" t="str">
        <f>Translate!$E$605</f>
        <v>add</v>
      </c>
      <c r="E301" s="400" t="str">
        <f>Translate!$E$200</f>
        <v>Loan account opening balance: BEG</v>
      </c>
      <c r="F301" s="400"/>
      <c r="G301" s="400" t="str">
        <f xml:space="preserve"> Translate!E$10</f>
        <v>US$ mn</v>
      </c>
      <c r="H301" s="400"/>
      <c r="I301" s="400"/>
      <c r="J301" s="400"/>
      <c r="K301" s="400">
        <f t="shared" ref="K301:AX301" si="67" xml:space="preserve"> J307</f>
        <v>0</v>
      </c>
      <c r="L301" s="400">
        <f t="shared" ca="1" si="67"/>
        <v>0</v>
      </c>
      <c r="M301" s="400">
        <f t="shared" ca="1" si="67"/>
        <v>0</v>
      </c>
      <c r="N301" s="400">
        <f t="shared" ca="1" si="67"/>
        <v>0</v>
      </c>
      <c r="O301" s="400">
        <f t="shared" ca="1" si="67"/>
        <v>38.460830939999994</v>
      </c>
      <c r="P301" s="400">
        <f t="shared" ca="1" si="67"/>
        <v>237.34178773074001</v>
      </c>
      <c r="Q301" s="400">
        <f t="shared" ca="1" si="67"/>
        <v>334.22235167957456</v>
      </c>
      <c r="R301" s="400">
        <f t="shared" ca="1" si="67"/>
        <v>267.37788134365962</v>
      </c>
      <c r="S301" s="400">
        <f t="shared" ca="1" si="67"/>
        <v>200.53341100774472</v>
      </c>
      <c r="T301" s="400">
        <f t="shared" ca="1" si="67"/>
        <v>133.68894067182981</v>
      </c>
      <c r="U301" s="400">
        <f t="shared" ca="1" si="67"/>
        <v>66.844470335914906</v>
      </c>
      <c r="V301" s="400">
        <f t="shared" ca="1" si="67"/>
        <v>0</v>
      </c>
      <c r="W301" s="400">
        <f t="shared" ca="1" si="67"/>
        <v>0</v>
      </c>
      <c r="X301" s="400">
        <f t="shared" ca="1" si="67"/>
        <v>0</v>
      </c>
      <c r="Y301" s="400">
        <f t="shared" ca="1" si="67"/>
        <v>0</v>
      </c>
      <c r="Z301" s="400">
        <f t="shared" ca="1" si="67"/>
        <v>0</v>
      </c>
      <c r="AA301" s="400">
        <f t="shared" ca="1" si="67"/>
        <v>0</v>
      </c>
      <c r="AB301" s="400">
        <f t="shared" ca="1" si="67"/>
        <v>0</v>
      </c>
      <c r="AC301" s="400">
        <f t="shared" ca="1" si="67"/>
        <v>0</v>
      </c>
      <c r="AD301" s="400">
        <f t="shared" ca="1" si="67"/>
        <v>0</v>
      </c>
      <c r="AE301" s="400">
        <f t="shared" ca="1" si="67"/>
        <v>0</v>
      </c>
      <c r="AF301" s="400">
        <f t="shared" ca="1" si="67"/>
        <v>0</v>
      </c>
      <c r="AG301" s="400">
        <f t="shared" ca="1" si="67"/>
        <v>0</v>
      </c>
      <c r="AH301" s="400">
        <f t="shared" ca="1" si="67"/>
        <v>0</v>
      </c>
      <c r="AI301" s="400">
        <f t="shared" ca="1" si="67"/>
        <v>0</v>
      </c>
      <c r="AJ301" s="400">
        <f t="shared" ca="1" si="67"/>
        <v>0</v>
      </c>
      <c r="AK301" s="400">
        <f t="shared" ca="1" si="67"/>
        <v>0</v>
      </c>
      <c r="AL301" s="400">
        <f t="shared" ca="1" si="67"/>
        <v>0</v>
      </c>
      <c r="AM301" s="400">
        <f t="shared" ca="1" si="67"/>
        <v>0</v>
      </c>
      <c r="AN301" s="400">
        <f t="shared" ca="1" si="67"/>
        <v>0</v>
      </c>
      <c r="AO301" s="400">
        <f t="shared" ca="1" si="67"/>
        <v>0</v>
      </c>
      <c r="AP301" s="400">
        <f t="shared" ca="1" si="67"/>
        <v>0</v>
      </c>
      <c r="AQ301" s="400">
        <f t="shared" ca="1" si="67"/>
        <v>0</v>
      </c>
      <c r="AR301" s="400">
        <f t="shared" ca="1" si="67"/>
        <v>0</v>
      </c>
      <c r="AS301" s="400">
        <f t="shared" ca="1" si="67"/>
        <v>0</v>
      </c>
      <c r="AT301" s="400">
        <f t="shared" ca="1" si="67"/>
        <v>0</v>
      </c>
      <c r="AU301" s="400">
        <f t="shared" ca="1" si="67"/>
        <v>0</v>
      </c>
      <c r="AV301" s="400">
        <f t="shared" ca="1" si="67"/>
        <v>0</v>
      </c>
      <c r="AW301" s="400">
        <f t="shared" ca="1" si="67"/>
        <v>0</v>
      </c>
      <c r="AX301" s="400">
        <f t="shared" ca="1" si="67"/>
        <v>0</v>
      </c>
    </row>
    <row r="302" spans="1:50" ht="15" customHeight="1">
      <c r="A302" s="22"/>
      <c r="B302" s="688"/>
      <c r="C302" s="377"/>
      <c r="D302" s="398" t="str">
        <f>Translate!$E$605</f>
        <v>add</v>
      </c>
      <c r="E302" s="22" t="str">
        <f t="shared" ref="E302:AX302" si="68" xml:space="preserve"> E$288</f>
        <v>Loan drawdowns (mid-period)</v>
      </c>
      <c r="F302" s="22">
        <f t="shared" si="68"/>
        <v>0</v>
      </c>
      <c r="G302" s="22" t="str">
        <f t="shared" si="68"/>
        <v>US$ mn</v>
      </c>
      <c r="H302" s="22">
        <f t="shared" si="68"/>
        <v>0</v>
      </c>
      <c r="I302" s="22">
        <f t="shared" ca="1" si="68"/>
        <v>303.85356422399997</v>
      </c>
      <c r="J302" s="22">
        <f t="shared" si="68"/>
        <v>0</v>
      </c>
      <c r="K302" s="22">
        <f t="shared" ca="1" si="68"/>
        <v>0</v>
      </c>
      <c r="L302" s="22">
        <f t="shared" ca="1" si="68"/>
        <v>0</v>
      </c>
      <c r="M302" s="22">
        <f t="shared" ca="1" si="68"/>
        <v>0</v>
      </c>
      <c r="N302" s="22">
        <f t="shared" ca="1" si="68"/>
        <v>37.142279999999992</v>
      </c>
      <c r="O302" s="22">
        <f t="shared" ca="1" si="68"/>
        <v>189.42562799999999</v>
      </c>
      <c r="P302" s="22">
        <f t="shared" ca="1" si="68"/>
        <v>77.285656223999993</v>
      </c>
      <c r="Q302" s="22">
        <f t="shared" ca="1" si="68"/>
        <v>0</v>
      </c>
      <c r="R302" s="22">
        <f t="shared" ca="1" si="68"/>
        <v>0</v>
      </c>
      <c r="S302" s="22">
        <f t="shared" ca="1" si="68"/>
        <v>0</v>
      </c>
      <c r="T302" s="22">
        <f t="shared" ca="1" si="68"/>
        <v>0</v>
      </c>
      <c r="U302" s="22">
        <f t="shared" ca="1" si="68"/>
        <v>0</v>
      </c>
      <c r="V302" s="22">
        <f t="shared" ca="1" si="68"/>
        <v>0</v>
      </c>
      <c r="W302" s="22">
        <f t="shared" ca="1" si="68"/>
        <v>0</v>
      </c>
      <c r="X302" s="22">
        <f t="shared" ca="1" si="68"/>
        <v>0</v>
      </c>
      <c r="Y302" s="22">
        <f t="shared" ca="1" si="68"/>
        <v>0</v>
      </c>
      <c r="Z302" s="22">
        <f t="shared" ca="1" si="68"/>
        <v>0</v>
      </c>
      <c r="AA302" s="22">
        <f t="shared" ca="1" si="68"/>
        <v>0</v>
      </c>
      <c r="AB302" s="22">
        <f t="shared" ca="1" si="68"/>
        <v>0</v>
      </c>
      <c r="AC302" s="22">
        <f t="shared" ca="1" si="68"/>
        <v>0</v>
      </c>
      <c r="AD302" s="22">
        <f t="shared" ca="1" si="68"/>
        <v>0</v>
      </c>
      <c r="AE302" s="22">
        <f t="shared" ca="1" si="68"/>
        <v>0</v>
      </c>
      <c r="AF302" s="22">
        <f t="shared" ca="1" si="68"/>
        <v>0</v>
      </c>
      <c r="AG302" s="22">
        <f t="shared" ca="1" si="68"/>
        <v>0</v>
      </c>
      <c r="AH302" s="22">
        <f t="shared" ca="1" si="68"/>
        <v>0</v>
      </c>
      <c r="AI302" s="22">
        <f t="shared" ca="1" si="68"/>
        <v>0</v>
      </c>
      <c r="AJ302" s="22">
        <f t="shared" ca="1" si="68"/>
        <v>0</v>
      </c>
      <c r="AK302" s="22">
        <f t="shared" ca="1" si="68"/>
        <v>0</v>
      </c>
      <c r="AL302" s="22">
        <f t="shared" ca="1" si="68"/>
        <v>0</v>
      </c>
      <c r="AM302" s="22">
        <f t="shared" ca="1" si="68"/>
        <v>0</v>
      </c>
      <c r="AN302" s="22">
        <f t="shared" ca="1" si="68"/>
        <v>0</v>
      </c>
      <c r="AO302" s="22">
        <f t="shared" ca="1" si="68"/>
        <v>0</v>
      </c>
      <c r="AP302" s="22">
        <f t="shared" ca="1" si="68"/>
        <v>0</v>
      </c>
      <c r="AQ302" s="22">
        <f t="shared" ca="1" si="68"/>
        <v>0</v>
      </c>
      <c r="AR302" s="22">
        <f t="shared" ca="1" si="68"/>
        <v>0</v>
      </c>
      <c r="AS302" s="22">
        <f t="shared" ca="1" si="68"/>
        <v>0</v>
      </c>
      <c r="AT302" s="22">
        <f t="shared" ca="1" si="68"/>
        <v>0</v>
      </c>
      <c r="AU302" s="22">
        <f t="shared" ca="1" si="68"/>
        <v>0</v>
      </c>
      <c r="AV302" s="22">
        <f t="shared" ca="1" si="68"/>
        <v>0</v>
      </c>
      <c r="AW302" s="22">
        <f t="shared" ca="1" si="68"/>
        <v>0</v>
      </c>
      <c r="AX302" s="22">
        <f t="shared" ca="1" si="68"/>
        <v>0</v>
      </c>
    </row>
    <row r="303" spans="1:50" ht="15" customHeight="1">
      <c r="A303" s="391"/>
      <c r="B303" s="507"/>
      <c r="C303" s="392"/>
      <c r="D303" s="398" t="str">
        <f>Translate!$E$605</f>
        <v>add</v>
      </c>
      <c r="E303" s="22" t="str">
        <f>Translate!$E$201</f>
        <v>Interest charged</v>
      </c>
      <c r="F303" s="22"/>
      <c r="G303" s="22" t="str">
        <f xml:space="preserve"> Translate!E$10</f>
        <v>US$ mn</v>
      </c>
      <c r="H303" s="22"/>
      <c r="I303" s="22">
        <f ca="1" xml:space="preserve"> SUM(K303:AX303)</f>
        <v>101.55814836332416</v>
      </c>
      <c r="J303" s="22"/>
      <c r="K303" s="22">
        <f t="shared" ref="K303:AX303" ca="1" si="69" xml:space="preserve"> (K301 + K302 / 2) * $F299</f>
        <v>0</v>
      </c>
      <c r="L303" s="22">
        <f t="shared" ca="1" si="69"/>
        <v>0</v>
      </c>
      <c r="M303" s="22">
        <f t="shared" ca="1" si="69"/>
        <v>0</v>
      </c>
      <c r="N303" s="22">
        <f t="shared" ca="1" si="69"/>
        <v>1.3185509400000031</v>
      </c>
      <c r="O303" s="22">
        <f t="shared" ca="1" si="69"/>
        <v>9.4553287907400208</v>
      </c>
      <c r="P303" s="22">
        <f t="shared" ca="1" si="69"/>
        <v>19.594907724834592</v>
      </c>
      <c r="Q303" s="22">
        <f t="shared" ca="1" si="69"/>
        <v>23.729786969249851</v>
      </c>
      <c r="R303" s="22">
        <f t="shared" ca="1" si="69"/>
        <v>18.983829575399881</v>
      </c>
      <c r="S303" s="22">
        <f t="shared" ca="1" si="69"/>
        <v>14.237872181549911</v>
      </c>
      <c r="T303" s="22">
        <f t="shared" ca="1" si="69"/>
        <v>9.4919147876999403</v>
      </c>
      <c r="U303" s="22">
        <f t="shared" ca="1" si="69"/>
        <v>4.7459573938499702</v>
      </c>
      <c r="V303" s="22">
        <f t="shared" ca="1" si="69"/>
        <v>0</v>
      </c>
      <c r="W303" s="22">
        <f t="shared" ca="1" si="69"/>
        <v>0</v>
      </c>
      <c r="X303" s="22">
        <f t="shared" ca="1" si="69"/>
        <v>0</v>
      </c>
      <c r="Y303" s="22">
        <f t="shared" ca="1" si="69"/>
        <v>0</v>
      </c>
      <c r="Z303" s="22">
        <f t="shared" ca="1" si="69"/>
        <v>0</v>
      </c>
      <c r="AA303" s="22">
        <f t="shared" ca="1" si="69"/>
        <v>0</v>
      </c>
      <c r="AB303" s="22">
        <f t="shared" ca="1" si="69"/>
        <v>0</v>
      </c>
      <c r="AC303" s="22">
        <f t="shared" ca="1" si="69"/>
        <v>0</v>
      </c>
      <c r="AD303" s="22">
        <f t="shared" ca="1" si="69"/>
        <v>0</v>
      </c>
      <c r="AE303" s="22">
        <f t="shared" ca="1" si="69"/>
        <v>0</v>
      </c>
      <c r="AF303" s="22">
        <f t="shared" ca="1" si="69"/>
        <v>0</v>
      </c>
      <c r="AG303" s="22">
        <f t="shared" ca="1" si="69"/>
        <v>0</v>
      </c>
      <c r="AH303" s="22">
        <f t="shared" ca="1" si="69"/>
        <v>0</v>
      </c>
      <c r="AI303" s="22">
        <f t="shared" ca="1" si="69"/>
        <v>0</v>
      </c>
      <c r="AJ303" s="22">
        <f t="shared" ca="1" si="69"/>
        <v>0</v>
      </c>
      <c r="AK303" s="22">
        <f t="shared" ca="1" si="69"/>
        <v>0</v>
      </c>
      <c r="AL303" s="22">
        <f t="shared" ca="1" si="69"/>
        <v>0</v>
      </c>
      <c r="AM303" s="22">
        <f t="shared" ca="1" si="69"/>
        <v>0</v>
      </c>
      <c r="AN303" s="22">
        <f t="shared" ca="1" si="69"/>
        <v>0</v>
      </c>
      <c r="AO303" s="22">
        <f t="shared" ca="1" si="69"/>
        <v>0</v>
      </c>
      <c r="AP303" s="22">
        <f t="shared" ca="1" si="69"/>
        <v>0</v>
      </c>
      <c r="AQ303" s="22">
        <f t="shared" ca="1" si="69"/>
        <v>0</v>
      </c>
      <c r="AR303" s="22">
        <f t="shared" ca="1" si="69"/>
        <v>0</v>
      </c>
      <c r="AS303" s="22">
        <f t="shared" ca="1" si="69"/>
        <v>0</v>
      </c>
      <c r="AT303" s="22">
        <f t="shared" ca="1" si="69"/>
        <v>0</v>
      </c>
      <c r="AU303" s="22">
        <f t="shared" ca="1" si="69"/>
        <v>0</v>
      </c>
      <c r="AV303" s="22">
        <f t="shared" ca="1" si="69"/>
        <v>0</v>
      </c>
      <c r="AW303" s="22">
        <f t="shared" ca="1" si="69"/>
        <v>0</v>
      </c>
      <c r="AX303" s="22">
        <f t="shared" ca="1" si="69"/>
        <v>0</v>
      </c>
    </row>
    <row r="304" spans="1:50" ht="15" customHeight="1">
      <c r="A304" s="391"/>
      <c r="B304" s="507"/>
      <c r="C304" s="392"/>
      <c r="D304" s="398" t="str">
        <f>Translate!$E$606</f>
        <v>less</v>
      </c>
      <c r="E304" s="22" t="str">
        <f>Translate!$E$202</f>
        <v>Interest payments (end of period)</v>
      </c>
      <c r="F304" s="22"/>
      <c r="G304" s="22" t="str">
        <f xml:space="preserve"> Translate!E$10</f>
        <v>US$ mn</v>
      </c>
      <c r="H304" s="22"/>
      <c r="I304" s="22">
        <f ca="1" xml:space="preserve"> SUM(K304:AX304)</f>
        <v>71.189360907749546</v>
      </c>
      <c r="J304" s="22"/>
      <c r="K304" s="22">
        <f t="shared" ref="K304:AX304" ca="1" si="70" xml:space="preserve"> K303 * K293</f>
        <v>0</v>
      </c>
      <c r="L304" s="22">
        <f t="shared" ca="1" si="70"/>
        <v>0</v>
      </c>
      <c r="M304" s="22">
        <f t="shared" ca="1" si="70"/>
        <v>0</v>
      </c>
      <c r="N304" s="22">
        <f t="shared" ca="1" si="70"/>
        <v>0</v>
      </c>
      <c r="O304" s="22">
        <f t="shared" ca="1" si="70"/>
        <v>0</v>
      </c>
      <c r="P304" s="22">
        <f t="shared" ca="1" si="70"/>
        <v>0</v>
      </c>
      <c r="Q304" s="22">
        <f t="shared" ca="1" si="70"/>
        <v>23.729786969249851</v>
      </c>
      <c r="R304" s="22">
        <f t="shared" ca="1" si="70"/>
        <v>18.983829575399881</v>
      </c>
      <c r="S304" s="22">
        <f t="shared" ca="1" si="70"/>
        <v>14.237872181549911</v>
      </c>
      <c r="T304" s="22">
        <f t="shared" ca="1" si="70"/>
        <v>9.4919147876999403</v>
      </c>
      <c r="U304" s="22">
        <f t="shared" ca="1" si="70"/>
        <v>4.7459573938499702</v>
      </c>
      <c r="V304" s="22">
        <f t="shared" ca="1" si="70"/>
        <v>0</v>
      </c>
      <c r="W304" s="22">
        <f t="shared" ca="1" si="70"/>
        <v>0</v>
      </c>
      <c r="X304" s="22">
        <f t="shared" ca="1" si="70"/>
        <v>0</v>
      </c>
      <c r="Y304" s="22">
        <f t="shared" ca="1" si="70"/>
        <v>0</v>
      </c>
      <c r="Z304" s="22">
        <f t="shared" ca="1" si="70"/>
        <v>0</v>
      </c>
      <c r="AA304" s="22">
        <f t="shared" ca="1" si="70"/>
        <v>0</v>
      </c>
      <c r="AB304" s="22">
        <f t="shared" ca="1" si="70"/>
        <v>0</v>
      </c>
      <c r="AC304" s="22">
        <f t="shared" ca="1" si="70"/>
        <v>0</v>
      </c>
      <c r="AD304" s="22">
        <f t="shared" ca="1" si="70"/>
        <v>0</v>
      </c>
      <c r="AE304" s="22">
        <f t="shared" ca="1" si="70"/>
        <v>0</v>
      </c>
      <c r="AF304" s="22">
        <f t="shared" ca="1" si="70"/>
        <v>0</v>
      </c>
      <c r="AG304" s="22">
        <f t="shared" ca="1" si="70"/>
        <v>0</v>
      </c>
      <c r="AH304" s="22">
        <f t="shared" ca="1" si="70"/>
        <v>0</v>
      </c>
      <c r="AI304" s="22">
        <f t="shared" ca="1" si="70"/>
        <v>0</v>
      </c>
      <c r="AJ304" s="22">
        <f t="shared" ca="1" si="70"/>
        <v>0</v>
      </c>
      <c r="AK304" s="22">
        <f t="shared" ca="1" si="70"/>
        <v>0</v>
      </c>
      <c r="AL304" s="22">
        <f t="shared" ca="1" si="70"/>
        <v>0</v>
      </c>
      <c r="AM304" s="22">
        <f t="shared" ca="1" si="70"/>
        <v>0</v>
      </c>
      <c r="AN304" s="22">
        <f t="shared" ca="1" si="70"/>
        <v>0</v>
      </c>
      <c r="AO304" s="22">
        <f t="shared" ca="1" si="70"/>
        <v>0</v>
      </c>
      <c r="AP304" s="22">
        <f t="shared" ca="1" si="70"/>
        <v>0</v>
      </c>
      <c r="AQ304" s="22">
        <f t="shared" ca="1" si="70"/>
        <v>0</v>
      </c>
      <c r="AR304" s="22">
        <f t="shared" ca="1" si="70"/>
        <v>0</v>
      </c>
      <c r="AS304" s="22">
        <f t="shared" ca="1" si="70"/>
        <v>0</v>
      </c>
      <c r="AT304" s="22">
        <f t="shared" ca="1" si="70"/>
        <v>0</v>
      </c>
      <c r="AU304" s="22">
        <f t="shared" ca="1" si="70"/>
        <v>0</v>
      </c>
      <c r="AV304" s="22">
        <f t="shared" ca="1" si="70"/>
        <v>0</v>
      </c>
      <c r="AW304" s="22">
        <f t="shared" ca="1" si="70"/>
        <v>0</v>
      </c>
      <c r="AX304" s="22">
        <f t="shared" ca="1" si="70"/>
        <v>0</v>
      </c>
    </row>
    <row r="305" spans="1:50" ht="15" customHeight="1">
      <c r="A305" s="22"/>
      <c r="B305" s="688"/>
      <c r="C305" s="377"/>
      <c r="D305" s="398"/>
      <c r="E305" s="22" t="str">
        <f>Translate!$E$203</f>
        <v>Loan balance to be paid</v>
      </c>
      <c r="F305" s="22"/>
      <c r="G305" s="22" t="str">
        <f xml:space="preserve"> Translate!E$10</f>
        <v>US$ mn</v>
      </c>
      <c r="H305" s="22"/>
      <c r="I305" s="22"/>
      <c r="J305" s="22"/>
      <c r="K305" s="22">
        <f t="shared" ref="K305:AX305" ca="1" si="71" xml:space="preserve"> K301 + K303 + K302 - K304</f>
        <v>0</v>
      </c>
      <c r="L305" s="22">
        <f t="shared" ca="1" si="71"/>
        <v>0</v>
      </c>
      <c r="M305" s="22">
        <f t="shared" ca="1" si="71"/>
        <v>0</v>
      </c>
      <c r="N305" s="22">
        <f t="shared" ca="1" si="71"/>
        <v>38.460830939999994</v>
      </c>
      <c r="O305" s="22">
        <f t="shared" ca="1" si="71"/>
        <v>237.34178773074001</v>
      </c>
      <c r="P305" s="22">
        <f t="shared" ca="1" si="71"/>
        <v>334.22235167957456</v>
      </c>
      <c r="Q305" s="22">
        <f t="shared" ca="1" si="71"/>
        <v>334.22235167957456</v>
      </c>
      <c r="R305" s="22">
        <f t="shared" ca="1" si="71"/>
        <v>267.37788134365962</v>
      </c>
      <c r="S305" s="22">
        <f t="shared" ca="1" si="71"/>
        <v>200.53341100774472</v>
      </c>
      <c r="T305" s="22">
        <f t="shared" ca="1" si="71"/>
        <v>133.68894067182981</v>
      </c>
      <c r="U305" s="22">
        <f t="shared" ca="1" si="71"/>
        <v>66.844470335914906</v>
      </c>
      <c r="V305" s="22">
        <f t="shared" ca="1" si="71"/>
        <v>0</v>
      </c>
      <c r="W305" s="22">
        <f t="shared" ca="1" si="71"/>
        <v>0</v>
      </c>
      <c r="X305" s="22">
        <f t="shared" ca="1" si="71"/>
        <v>0</v>
      </c>
      <c r="Y305" s="22">
        <f t="shared" ca="1" si="71"/>
        <v>0</v>
      </c>
      <c r="Z305" s="22">
        <f t="shared" ca="1" si="71"/>
        <v>0</v>
      </c>
      <c r="AA305" s="22">
        <f t="shared" ca="1" si="71"/>
        <v>0</v>
      </c>
      <c r="AB305" s="22">
        <f t="shared" ca="1" si="71"/>
        <v>0</v>
      </c>
      <c r="AC305" s="22">
        <f t="shared" ca="1" si="71"/>
        <v>0</v>
      </c>
      <c r="AD305" s="22">
        <f t="shared" ca="1" si="71"/>
        <v>0</v>
      </c>
      <c r="AE305" s="22">
        <f t="shared" ca="1" si="71"/>
        <v>0</v>
      </c>
      <c r="AF305" s="22">
        <f t="shared" ca="1" si="71"/>
        <v>0</v>
      </c>
      <c r="AG305" s="22">
        <f t="shared" ca="1" si="71"/>
        <v>0</v>
      </c>
      <c r="AH305" s="22">
        <f t="shared" ca="1" si="71"/>
        <v>0</v>
      </c>
      <c r="AI305" s="22">
        <f t="shared" ca="1" si="71"/>
        <v>0</v>
      </c>
      <c r="AJ305" s="22">
        <f t="shared" ca="1" si="71"/>
        <v>0</v>
      </c>
      <c r="AK305" s="22">
        <f t="shared" ca="1" si="71"/>
        <v>0</v>
      </c>
      <c r="AL305" s="22">
        <f t="shared" ca="1" si="71"/>
        <v>0</v>
      </c>
      <c r="AM305" s="22">
        <f t="shared" ca="1" si="71"/>
        <v>0</v>
      </c>
      <c r="AN305" s="22">
        <f t="shared" ca="1" si="71"/>
        <v>0</v>
      </c>
      <c r="AO305" s="22">
        <f t="shared" ca="1" si="71"/>
        <v>0</v>
      </c>
      <c r="AP305" s="22">
        <f t="shared" ca="1" si="71"/>
        <v>0</v>
      </c>
      <c r="AQ305" s="22">
        <f t="shared" ca="1" si="71"/>
        <v>0</v>
      </c>
      <c r="AR305" s="22">
        <f t="shared" ca="1" si="71"/>
        <v>0</v>
      </c>
      <c r="AS305" s="22">
        <f t="shared" ca="1" si="71"/>
        <v>0</v>
      </c>
      <c r="AT305" s="22">
        <f t="shared" ca="1" si="71"/>
        <v>0</v>
      </c>
      <c r="AU305" s="22">
        <f t="shared" ca="1" si="71"/>
        <v>0</v>
      </c>
      <c r="AV305" s="22">
        <f t="shared" ca="1" si="71"/>
        <v>0</v>
      </c>
      <c r="AW305" s="22">
        <f t="shared" ca="1" si="71"/>
        <v>0</v>
      </c>
      <c r="AX305" s="22">
        <f t="shared" ca="1" si="71"/>
        <v>0</v>
      </c>
    </row>
    <row r="306" spans="1:50" ht="15" customHeight="1">
      <c r="A306" s="22"/>
      <c r="B306" s="688"/>
      <c r="C306" s="377"/>
      <c r="D306" s="398" t="str">
        <f>Translate!$E$606</f>
        <v>less</v>
      </c>
      <c r="E306" s="22" t="str">
        <f>Translate!$E$204</f>
        <v>Principal repayments</v>
      </c>
      <c r="F306" s="22"/>
      <c r="G306" s="22" t="str">
        <f xml:space="preserve"> Translate!E$10</f>
        <v>US$ mn</v>
      </c>
      <c r="H306" s="22"/>
      <c r="I306" s="22">
        <f ca="1" xml:space="preserve"> SUM(K306:AX306)</f>
        <v>334.22235167957456</v>
      </c>
      <c r="J306" s="22"/>
      <c r="K306" s="22">
        <f t="shared" ref="K306:AX306" ca="1" si="72" xml:space="preserve"> K305 * K294</f>
        <v>0</v>
      </c>
      <c r="L306" s="22">
        <f t="shared" ca="1" si="72"/>
        <v>0</v>
      </c>
      <c r="M306" s="22">
        <f t="shared" ca="1" si="72"/>
        <v>0</v>
      </c>
      <c r="N306" s="22">
        <f t="shared" ca="1" si="72"/>
        <v>0</v>
      </c>
      <c r="O306" s="22">
        <f t="shared" ca="1" si="72"/>
        <v>0</v>
      </c>
      <c r="P306" s="22">
        <f t="shared" ca="1" si="72"/>
        <v>0</v>
      </c>
      <c r="Q306" s="22">
        <f t="shared" ca="1" si="72"/>
        <v>66.84447033591492</v>
      </c>
      <c r="R306" s="22">
        <f t="shared" ca="1" si="72"/>
        <v>66.844470335914906</v>
      </c>
      <c r="S306" s="22">
        <f t="shared" ca="1" si="72"/>
        <v>66.844470335914906</v>
      </c>
      <c r="T306" s="22">
        <f t="shared" ca="1" si="72"/>
        <v>66.844470335914906</v>
      </c>
      <c r="U306" s="22">
        <f t="shared" ca="1" si="72"/>
        <v>66.844470335914906</v>
      </c>
      <c r="V306" s="22">
        <f t="shared" ca="1" si="72"/>
        <v>0</v>
      </c>
      <c r="W306" s="22">
        <f t="shared" ca="1" si="72"/>
        <v>0</v>
      </c>
      <c r="X306" s="22">
        <f t="shared" ca="1" si="72"/>
        <v>0</v>
      </c>
      <c r="Y306" s="22">
        <f t="shared" ca="1" si="72"/>
        <v>0</v>
      </c>
      <c r="Z306" s="22">
        <f t="shared" ca="1" si="72"/>
        <v>0</v>
      </c>
      <c r="AA306" s="22">
        <f t="shared" ca="1" si="72"/>
        <v>0</v>
      </c>
      <c r="AB306" s="22">
        <f t="shared" ca="1" si="72"/>
        <v>0</v>
      </c>
      <c r="AC306" s="22">
        <f t="shared" ca="1" si="72"/>
        <v>0</v>
      </c>
      <c r="AD306" s="22">
        <f t="shared" ca="1" si="72"/>
        <v>0</v>
      </c>
      <c r="AE306" s="22">
        <f t="shared" ca="1" si="72"/>
        <v>0</v>
      </c>
      <c r="AF306" s="22">
        <f t="shared" ca="1" si="72"/>
        <v>0</v>
      </c>
      <c r="AG306" s="22">
        <f t="shared" ca="1" si="72"/>
        <v>0</v>
      </c>
      <c r="AH306" s="22">
        <f t="shared" ca="1" si="72"/>
        <v>0</v>
      </c>
      <c r="AI306" s="22">
        <f t="shared" ca="1" si="72"/>
        <v>0</v>
      </c>
      <c r="AJ306" s="22">
        <f t="shared" ca="1" si="72"/>
        <v>0</v>
      </c>
      <c r="AK306" s="22">
        <f t="shared" ca="1" si="72"/>
        <v>0</v>
      </c>
      <c r="AL306" s="22">
        <f t="shared" ca="1" si="72"/>
        <v>0</v>
      </c>
      <c r="AM306" s="22">
        <f t="shared" ca="1" si="72"/>
        <v>0</v>
      </c>
      <c r="AN306" s="22">
        <f t="shared" ca="1" si="72"/>
        <v>0</v>
      </c>
      <c r="AO306" s="22">
        <f t="shared" ca="1" si="72"/>
        <v>0</v>
      </c>
      <c r="AP306" s="22">
        <f t="shared" ca="1" si="72"/>
        <v>0</v>
      </c>
      <c r="AQ306" s="22">
        <f t="shared" ca="1" si="72"/>
        <v>0</v>
      </c>
      <c r="AR306" s="22">
        <f t="shared" ca="1" si="72"/>
        <v>0</v>
      </c>
      <c r="AS306" s="22">
        <f t="shared" ca="1" si="72"/>
        <v>0</v>
      </c>
      <c r="AT306" s="22">
        <f t="shared" ca="1" si="72"/>
        <v>0</v>
      </c>
      <c r="AU306" s="22">
        <f t="shared" ca="1" si="72"/>
        <v>0</v>
      </c>
      <c r="AV306" s="22">
        <f t="shared" ca="1" si="72"/>
        <v>0</v>
      </c>
      <c r="AW306" s="22">
        <f t="shared" ca="1" si="72"/>
        <v>0</v>
      </c>
      <c r="AX306" s="22">
        <f t="shared" ca="1" si="72"/>
        <v>0</v>
      </c>
    </row>
    <row r="307" spans="1:50" ht="15" customHeight="1">
      <c r="A307" s="403"/>
      <c r="B307" s="689"/>
      <c r="C307" s="404"/>
      <c r="D307" s="405"/>
      <c r="E307" s="403" t="str">
        <f>Translate!$E$205</f>
        <v>Loan closing balance: END</v>
      </c>
      <c r="F307" s="403"/>
      <c r="G307" s="403" t="str">
        <f xml:space="preserve"> Translate!E$10</f>
        <v>US$ mn</v>
      </c>
      <c r="H307" s="403"/>
      <c r="I307" s="403"/>
      <c r="J307" s="406"/>
      <c r="K307" s="403">
        <f t="shared" ref="K307:AX307" ca="1" si="73" xml:space="preserve"> K305 - K306</f>
        <v>0</v>
      </c>
      <c r="L307" s="403">
        <f t="shared" ca="1" si="73"/>
        <v>0</v>
      </c>
      <c r="M307" s="403">
        <f t="shared" ca="1" si="73"/>
        <v>0</v>
      </c>
      <c r="N307" s="403">
        <f t="shared" ca="1" si="73"/>
        <v>38.460830939999994</v>
      </c>
      <c r="O307" s="403">
        <f t="shared" ca="1" si="73"/>
        <v>237.34178773074001</v>
      </c>
      <c r="P307" s="403">
        <f t="shared" ca="1" si="73"/>
        <v>334.22235167957456</v>
      </c>
      <c r="Q307" s="403">
        <f t="shared" ca="1" si="73"/>
        <v>267.37788134365962</v>
      </c>
      <c r="R307" s="403">
        <f t="shared" ca="1" si="73"/>
        <v>200.53341100774472</v>
      </c>
      <c r="S307" s="403">
        <f t="shared" ca="1" si="73"/>
        <v>133.68894067182981</v>
      </c>
      <c r="T307" s="403">
        <f t="shared" ca="1" si="73"/>
        <v>66.844470335914906</v>
      </c>
      <c r="U307" s="403">
        <f t="shared" ca="1" si="73"/>
        <v>0</v>
      </c>
      <c r="V307" s="403">
        <f t="shared" ca="1" si="73"/>
        <v>0</v>
      </c>
      <c r="W307" s="403">
        <f t="shared" ca="1" si="73"/>
        <v>0</v>
      </c>
      <c r="X307" s="403">
        <f t="shared" ca="1" si="73"/>
        <v>0</v>
      </c>
      <c r="Y307" s="403">
        <f t="shared" ca="1" si="73"/>
        <v>0</v>
      </c>
      <c r="Z307" s="403">
        <f t="shared" ca="1" si="73"/>
        <v>0</v>
      </c>
      <c r="AA307" s="403">
        <f t="shared" ca="1" si="73"/>
        <v>0</v>
      </c>
      <c r="AB307" s="403">
        <f t="shared" ca="1" si="73"/>
        <v>0</v>
      </c>
      <c r="AC307" s="403">
        <f t="shared" ca="1" si="73"/>
        <v>0</v>
      </c>
      <c r="AD307" s="403">
        <f t="shared" ca="1" si="73"/>
        <v>0</v>
      </c>
      <c r="AE307" s="403">
        <f t="shared" ca="1" si="73"/>
        <v>0</v>
      </c>
      <c r="AF307" s="403">
        <f t="shared" ca="1" si="73"/>
        <v>0</v>
      </c>
      <c r="AG307" s="403">
        <f t="shared" ca="1" si="73"/>
        <v>0</v>
      </c>
      <c r="AH307" s="403">
        <f t="shared" ca="1" si="73"/>
        <v>0</v>
      </c>
      <c r="AI307" s="403">
        <f t="shared" ca="1" si="73"/>
        <v>0</v>
      </c>
      <c r="AJ307" s="403">
        <f t="shared" ca="1" si="73"/>
        <v>0</v>
      </c>
      <c r="AK307" s="403">
        <f t="shared" ca="1" si="73"/>
        <v>0</v>
      </c>
      <c r="AL307" s="403">
        <f t="shared" ca="1" si="73"/>
        <v>0</v>
      </c>
      <c r="AM307" s="403">
        <f t="shared" ca="1" si="73"/>
        <v>0</v>
      </c>
      <c r="AN307" s="403">
        <f t="shared" ca="1" si="73"/>
        <v>0</v>
      </c>
      <c r="AO307" s="403">
        <f t="shared" ca="1" si="73"/>
        <v>0</v>
      </c>
      <c r="AP307" s="403">
        <f t="shared" ca="1" si="73"/>
        <v>0</v>
      </c>
      <c r="AQ307" s="403">
        <f t="shared" ca="1" si="73"/>
        <v>0</v>
      </c>
      <c r="AR307" s="403">
        <f t="shared" ca="1" si="73"/>
        <v>0</v>
      </c>
      <c r="AS307" s="403">
        <f t="shared" ca="1" si="73"/>
        <v>0</v>
      </c>
      <c r="AT307" s="403">
        <f t="shared" ca="1" si="73"/>
        <v>0</v>
      </c>
      <c r="AU307" s="403">
        <f t="shared" ca="1" si="73"/>
        <v>0</v>
      </c>
      <c r="AV307" s="403">
        <f t="shared" ca="1" si="73"/>
        <v>0</v>
      </c>
      <c r="AW307" s="403">
        <f t="shared" ca="1" si="73"/>
        <v>0</v>
      </c>
      <c r="AX307" s="403">
        <f t="shared" ca="1" si="73"/>
        <v>0</v>
      </c>
    </row>
    <row r="308" spans="1:50" ht="15" customHeight="1">
      <c r="A308" s="391"/>
      <c r="B308" s="507"/>
      <c r="C308" s="392"/>
      <c r="D308" s="393"/>
      <c r="E308" s="22"/>
      <c r="F308" s="358"/>
      <c r="G308" s="346"/>
      <c r="H308" s="346"/>
      <c r="I308" s="393"/>
      <c r="J308" s="395"/>
      <c r="K308" s="396"/>
      <c r="L308" s="396"/>
      <c r="M308" s="396"/>
      <c r="N308" s="396"/>
      <c r="O308" s="396"/>
      <c r="P308" s="396"/>
      <c r="Q308" s="396"/>
      <c r="R308" s="396"/>
      <c r="S308" s="396"/>
      <c r="T308" s="396"/>
      <c r="U308" s="396"/>
      <c r="V308" s="396"/>
      <c r="W308" s="396"/>
      <c r="X308" s="396"/>
      <c r="Y308" s="396"/>
      <c r="Z308" s="396"/>
      <c r="AA308" s="396"/>
      <c r="AB308" s="396"/>
      <c r="AC308" s="396"/>
      <c r="AD308" s="396"/>
      <c r="AE308" s="396"/>
      <c r="AF308" s="396"/>
      <c r="AG308" s="396"/>
      <c r="AH308" s="396"/>
      <c r="AI308" s="396"/>
      <c r="AJ308" s="396"/>
      <c r="AK308" s="396"/>
      <c r="AL308" s="396"/>
      <c r="AM308" s="396"/>
      <c r="AN308" s="396"/>
      <c r="AO308" s="396"/>
      <c r="AP308" s="396"/>
      <c r="AQ308" s="396"/>
      <c r="AR308" s="396"/>
      <c r="AS308" s="396"/>
      <c r="AT308" s="396"/>
      <c r="AU308" s="396"/>
      <c r="AV308" s="396"/>
      <c r="AW308" s="396"/>
      <c r="AX308" s="396"/>
    </row>
    <row r="309" spans="1:50" ht="15" customHeight="1">
      <c r="A309" s="391"/>
      <c r="B309" s="507"/>
      <c r="C309" s="392"/>
      <c r="D309" s="393"/>
      <c r="E309" s="22" t="str">
        <f xml:space="preserve"> E303 &amp; ": " &amp; Translate!$E$19</f>
        <v>Interest charged: Total</v>
      </c>
      <c r="F309" s="358">
        <f ca="1" xml:space="preserve"> SUM(K303:AX303)</f>
        <v>101.55814836332416</v>
      </c>
      <c r="G309" s="346" t="str">
        <f xml:space="preserve"> G303</f>
        <v>US$ mn</v>
      </c>
      <c r="H309" s="346"/>
      <c r="I309" s="393"/>
      <c r="J309" s="395"/>
      <c r="K309" s="396"/>
      <c r="L309" s="396"/>
      <c r="M309" s="396"/>
      <c r="N309" s="396"/>
      <c r="O309" s="396"/>
      <c r="P309" s="396"/>
      <c r="Q309" s="396"/>
      <c r="R309" s="396"/>
      <c r="S309" s="396"/>
      <c r="T309" s="396"/>
      <c r="U309" s="396"/>
      <c r="V309" s="396"/>
      <c r="W309" s="396"/>
      <c r="X309" s="396"/>
      <c r="Y309" s="396"/>
      <c r="Z309" s="396"/>
      <c r="AA309" s="396"/>
      <c r="AB309" s="396"/>
      <c r="AC309" s="396"/>
      <c r="AD309" s="396"/>
      <c r="AE309" s="396"/>
      <c r="AF309" s="396"/>
      <c r="AG309" s="396"/>
      <c r="AH309" s="396"/>
      <c r="AI309" s="396"/>
      <c r="AJ309" s="396"/>
      <c r="AK309" s="396"/>
      <c r="AL309" s="396"/>
      <c r="AM309" s="396"/>
      <c r="AN309" s="396"/>
      <c r="AO309" s="396"/>
      <c r="AP309" s="396"/>
      <c r="AQ309" s="396"/>
      <c r="AR309" s="396"/>
      <c r="AS309" s="396"/>
      <c r="AT309" s="396"/>
      <c r="AU309" s="396"/>
      <c r="AV309" s="396"/>
      <c r="AW309" s="396"/>
      <c r="AX309" s="396"/>
    </row>
    <row r="310" spans="1:50" ht="15" customHeight="1">
      <c r="A310" s="391"/>
      <c r="B310" s="507"/>
      <c r="C310" s="392"/>
      <c r="D310" s="393"/>
      <c r="E310" s="22" t="str">
        <f xml:space="preserve"> E302 &amp; ": " &amp; Translate!$E$19</f>
        <v>Loan drawdowns (mid-period): Total</v>
      </c>
      <c r="F310" s="358">
        <f ca="1" xml:space="preserve"> SUM(K302:AX302)</f>
        <v>303.85356422399997</v>
      </c>
      <c r="G310" s="346" t="str">
        <f xml:space="preserve"> G302</f>
        <v>US$ mn</v>
      </c>
      <c r="H310" s="346"/>
      <c r="I310" s="393"/>
      <c r="J310" s="395"/>
      <c r="K310" s="396"/>
      <c r="L310" s="396"/>
      <c r="M310" s="396"/>
      <c r="N310" s="396"/>
      <c r="O310" s="396"/>
      <c r="P310" s="396"/>
      <c r="Q310" s="396"/>
      <c r="R310" s="396"/>
      <c r="S310" s="396"/>
      <c r="T310" s="396"/>
      <c r="U310" s="396"/>
      <c r="V310" s="396"/>
      <c r="W310" s="396"/>
      <c r="X310" s="396"/>
      <c r="Y310" s="396"/>
      <c r="Z310" s="396"/>
      <c r="AA310" s="396"/>
      <c r="AB310" s="396"/>
      <c r="AC310" s="396"/>
      <c r="AD310" s="396"/>
      <c r="AE310" s="396"/>
      <c r="AF310" s="396"/>
      <c r="AG310" s="396"/>
      <c r="AH310" s="396"/>
      <c r="AI310" s="396"/>
      <c r="AJ310" s="396"/>
      <c r="AK310" s="396"/>
      <c r="AL310" s="396"/>
      <c r="AM310" s="396"/>
      <c r="AN310" s="396"/>
      <c r="AO310" s="396"/>
      <c r="AP310" s="396"/>
      <c r="AQ310" s="396"/>
      <c r="AR310" s="396"/>
      <c r="AS310" s="396"/>
      <c r="AT310" s="396"/>
      <c r="AU310" s="396"/>
      <c r="AV310" s="396"/>
      <c r="AW310" s="396"/>
      <c r="AX310" s="396"/>
    </row>
    <row r="311" spans="1:50" ht="15" customHeight="1">
      <c r="A311" s="391"/>
      <c r="B311" s="507"/>
      <c r="C311" s="392"/>
      <c r="D311" s="393"/>
      <c r="E311" s="22" t="str">
        <f xml:space="preserve"> E304 &amp; ": " &amp; Translate!$E$19</f>
        <v>Interest payments (end of period): Total</v>
      </c>
      <c r="F311" s="358">
        <f ca="1" xml:space="preserve"> SUM(K304:AX304)</f>
        <v>71.189360907749546</v>
      </c>
      <c r="G311" s="346" t="str">
        <f xml:space="preserve"> G304</f>
        <v>US$ mn</v>
      </c>
      <c r="H311" s="346"/>
      <c r="I311" s="393"/>
      <c r="J311" s="395"/>
      <c r="K311" s="396"/>
      <c r="L311" s="396"/>
      <c r="M311" s="396"/>
      <c r="N311" s="396"/>
      <c r="O311" s="396"/>
      <c r="P311" s="396"/>
      <c r="Q311" s="396"/>
      <c r="R311" s="396"/>
      <c r="S311" s="396"/>
      <c r="T311" s="396"/>
      <c r="U311" s="396"/>
      <c r="V311" s="396"/>
      <c r="W311" s="396"/>
      <c r="X311" s="396"/>
      <c r="Y311" s="396"/>
      <c r="Z311" s="396"/>
      <c r="AA311" s="396"/>
      <c r="AB311" s="396"/>
      <c r="AC311" s="396"/>
      <c r="AD311" s="396"/>
      <c r="AE311" s="396"/>
      <c r="AF311" s="396"/>
      <c r="AG311" s="396"/>
      <c r="AH311" s="396"/>
      <c r="AI311" s="396"/>
      <c r="AJ311" s="396"/>
      <c r="AK311" s="396"/>
      <c r="AL311" s="396"/>
      <c r="AM311" s="396"/>
      <c r="AN311" s="396"/>
      <c r="AO311" s="396"/>
      <c r="AP311" s="396"/>
      <c r="AQ311" s="396"/>
      <c r="AR311" s="396"/>
      <c r="AS311" s="396"/>
      <c r="AT311" s="396"/>
      <c r="AU311" s="396"/>
      <c r="AV311" s="396"/>
      <c r="AW311" s="396"/>
      <c r="AX311" s="396"/>
    </row>
    <row r="312" spans="1:50" ht="15" customHeight="1">
      <c r="A312" s="391"/>
      <c r="B312" s="507"/>
      <c r="C312" s="392"/>
      <c r="D312" s="393"/>
      <c r="E312" s="22" t="str">
        <f xml:space="preserve"> E306 &amp; ": " &amp; Translate!$E$19</f>
        <v>Principal repayments: Total</v>
      </c>
      <c r="F312" s="358">
        <f ca="1" xml:space="preserve"> SUM(K306:AX306)</f>
        <v>334.22235167957456</v>
      </c>
      <c r="G312" s="346" t="str">
        <f xml:space="preserve"> G306</f>
        <v>US$ mn</v>
      </c>
      <c r="H312" s="346"/>
      <c r="I312" s="393"/>
      <c r="J312" s="395"/>
      <c r="K312" s="396"/>
      <c r="L312" s="396"/>
      <c r="M312" s="396"/>
      <c r="N312" s="396"/>
      <c r="O312" s="396"/>
      <c r="P312" s="396"/>
      <c r="Q312" s="396"/>
      <c r="R312" s="396"/>
      <c r="S312" s="396"/>
      <c r="T312" s="396"/>
      <c r="U312" s="396"/>
      <c r="V312" s="396"/>
      <c r="W312" s="396"/>
      <c r="X312" s="396"/>
      <c r="Y312" s="396"/>
      <c r="Z312" s="396"/>
      <c r="AA312" s="396"/>
      <c r="AB312" s="396"/>
      <c r="AC312" s="396"/>
      <c r="AD312" s="396"/>
      <c r="AE312" s="396"/>
      <c r="AF312" s="396"/>
      <c r="AG312" s="396"/>
      <c r="AH312" s="396"/>
      <c r="AI312" s="396"/>
      <c r="AJ312" s="396"/>
      <c r="AK312" s="396"/>
      <c r="AL312" s="396"/>
      <c r="AM312" s="396"/>
      <c r="AN312" s="396"/>
      <c r="AO312" s="396"/>
      <c r="AP312" s="396"/>
      <c r="AQ312" s="396"/>
      <c r="AR312" s="396"/>
      <c r="AS312" s="396"/>
      <c r="AT312" s="396"/>
      <c r="AU312" s="396"/>
      <c r="AV312" s="396"/>
      <c r="AW312" s="396"/>
      <c r="AX312" s="396"/>
    </row>
    <row r="313" spans="1:50" ht="15" customHeight="1">
      <c r="A313" s="391"/>
      <c r="B313" s="507"/>
      <c r="C313" s="392"/>
      <c r="D313" s="393"/>
      <c r="E313" s="22" t="str">
        <f xml:space="preserve"> Translate!$E$444 &amp; ": " &amp; Translate!$E$70</f>
        <v>Check: Loan cashflows</v>
      </c>
      <c r="F313" s="62">
        <f ca="1">IF(ABS(F309 + F310 - F311 - F312)&gt;CHK_TOL,1,0)</f>
        <v>0</v>
      </c>
      <c r="G313" s="346" t="str">
        <f xml:space="preserve"> Translate!E$444</f>
        <v>Check</v>
      </c>
      <c r="H313" s="346"/>
      <c r="I313" s="393"/>
      <c r="J313" s="395"/>
      <c r="K313" s="396"/>
      <c r="L313" s="396"/>
      <c r="M313" s="396"/>
      <c r="N313" s="396"/>
      <c r="O313" s="396"/>
      <c r="P313" s="396"/>
      <c r="Q313" s="396"/>
      <c r="R313" s="396"/>
      <c r="S313" s="396"/>
      <c r="T313" s="396"/>
      <c r="U313" s="396"/>
      <c r="V313" s="396"/>
      <c r="W313" s="396"/>
      <c r="X313" s="396"/>
      <c r="Y313" s="396"/>
      <c r="Z313" s="396"/>
      <c r="AA313" s="396"/>
      <c r="AB313" s="396"/>
      <c r="AC313" s="396"/>
      <c r="AD313" s="396"/>
      <c r="AE313" s="396"/>
      <c r="AF313" s="396"/>
      <c r="AG313" s="396"/>
      <c r="AH313" s="396"/>
      <c r="AI313" s="396"/>
      <c r="AJ313" s="396"/>
      <c r="AK313" s="396"/>
      <c r="AL313" s="396"/>
      <c r="AM313" s="396"/>
      <c r="AN313" s="396"/>
      <c r="AO313" s="396"/>
      <c r="AP313" s="396"/>
      <c r="AQ313" s="396"/>
      <c r="AR313" s="396"/>
      <c r="AS313" s="396"/>
      <c r="AT313" s="396"/>
      <c r="AU313" s="396"/>
      <c r="AV313" s="396"/>
      <c r="AW313" s="396"/>
      <c r="AX313" s="396"/>
    </row>
    <row r="314" spans="1:50" ht="15" customHeight="1">
      <c r="A314" s="347"/>
      <c r="B314" s="507"/>
      <c r="C314" s="333"/>
      <c r="D314" s="1112"/>
      <c r="E314" s="375"/>
      <c r="F314" s="407"/>
      <c r="G314" s="346"/>
      <c r="H314" s="346"/>
      <c r="I314" s="1112"/>
      <c r="J314" s="1125"/>
      <c r="K314" s="1048"/>
      <c r="L314" s="1048"/>
      <c r="M314" s="1048"/>
      <c r="N314" s="1048"/>
      <c r="O314" s="1048"/>
      <c r="P314" s="1048"/>
      <c r="Q314" s="1048"/>
      <c r="R314" s="1048"/>
      <c r="S314" s="1048"/>
      <c r="T314" s="1048"/>
      <c r="U314" s="1048"/>
      <c r="V314" s="1048"/>
      <c r="W314" s="1048"/>
      <c r="X314" s="1048"/>
      <c r="Y314" s="1048"/>
      <c r="Z314" s="1048"/>
      <c r="AA314" s="1048"/>
      <c r="AB314" s="1048"/>
      <c r="AC314" s="1048"/>
      <c r="AD314" s="1048"/>
      <c r="AE314" s="1048"/>
      <c r="AF314" s="1048"/>
      <c r="AG314" s="1048"/>
      <c r="AH314" s="1048"/>
      <c r="AI314" s="1048"/>
      <c r="AJ314" s="1048"/>
      <c r="AK314" s="1048"/>
      <c r="AL314" s="1048"/>
      <c r="AM314" s="1048"/>
      <c r="AN314" s="1048"/>
      <c r="AO314" s="1048"/>
      <c r="AP314" s="1048"/>
      <c r="AQ314" s="1048"/>
      <c r="AR314" s="1048"/>
      <c r="AS314" s="1048"/>
      <c r="AT314" s="1048"/>
      <c r="AU314" s="1048"/>
      <c r="AV314" s="1048"/>
      <c r="AW314" s="1048"/>
      <c r="AX314" s="1048"/>
    </row>
    <row r="315" spans="1:50" ht="15" customHeight="1">
      <c r="A315" s="347"/>
      <c r="B315" s="507" t="str">
        <f>Translate!$E$70</f>
        <v>Loan cashflows</v>
      </c>
      <c r="C315" s="333"/>
      <c r="D315" s="1112"/>
      <c r="E315" s="375"/>
      <c r="F315" s="407"/>
      <c r="G315" s="346"/>
      <c r="H315" s="346"/>
      <c r="I315" s="1112"/>
      <c r="J315" s="1125"/>
      <c r="K315" s="408"/>
      <c r="L315" s="408"/>
      <c r="M315" s="408"/>
      <c r="N315" s="408"/>
      <c r="O315" s="408"/>
      <c r="P315" s="408"/>
      <c r="Q315" s="408"/>
      <c r="R315" s="408"/>
      <c r="S315" s="408"/>
      <c r="T315" s="408"/>
      <c r="U315" s="408"/>
      <c r="V315" s="408"/>
      <c r="W315" s="408"/>
      <c r="X315" s="408"/>
      <c r="Y315" s="408"/>
      <c r="Z315" s="408"/>
      <c r="AA315" s="408"/>
      <c r="AB315" s="408"/>
      <c r="AC315" s="408"/>
      <c r="AD315" s="408"/>
      <c r="AE315" s="408"/>
      <c r="AF315" s="408"/>
      <c r="AG315" s="408"/>
      <c r="AH315" s="408"/>
      <c r="AI315" s="408"/>
      <c r="AJ315" s="408"/>
      <c r="AK315" s="408"/>
      <c r="AL315" s="408"/>
      <c r="AM315" s="408"/>
      <c r="AN315" s="408"/>
      <c r="AO315" s="408"/>
      <c r="AP315" s="408"/>
      <c r="AQ315" s="408"/>
      <c r="AR315" s="408"/>
      <c r="AS315" s="408"/>
      <c r="AT315" s="408"/>
      <c r="AU315" s="408"/>
      <c r="AV315" s="408"/>
      <c r="AW315" s="408"/>
      <c r="AX315" s="408"/>
    </row>
    <row r="316" spans="1:50" s="4" customFormat="1" ht="15" customHeight="1">
      <c r="A316" s="574"/>
      <c r="B316" s="695"/>
      <c r="C316" s="113"/>
      <c r="D316" s="575" t="str">
        <f>Translate!$E$605</f>
        <v>add</v>
      </c>
      <c r="E316" s="303" t="str">
        <f t="shared" ref="E316:J316" si="74">E306</f>
        <v>Principal repayments</v>
      </c>
      <c r="F316" s="303">
        <f t="shared" si="74"/>
        <v>0</v>
      </c>
      <c r="G316" s="303" t="str">
        <f t="shared" si="74"/>
        <v>US$ mn</v>
      </c>
      <c r="H316" s="303">
        <f t="shared" si="74"/>
        <v>0</v>
      </c>
      <c r="I316" s="303">
        <f t="shared" ca="1" si="74"/>
        <v>334.22235167957456</v>
      </c>
      <c r="J316" s="303">
        <f t="shared" si="74"/>
        <v>0</v>
      </c>
      <c r="K316" s="303">
        <f ca="1">K306</f>
        <v>0</v>
      </c>
      <c r="L316" s="303">
        <f t="shared" ref="L316:AX316" ca="1" si="75">L306</f>
        <v>0</v>
      </c>
      <c r="M316" s="303">
        <f t="shared" ca="1" si="75"/>
        <v>0</v>
      </c>
      <c r="N316" s="303">
        <f t="shared" ca="1" si="75"/>
        <v>0</v>
      </c>
      <c r="O316" s="303">
        <f t="shared" ca="1" si="75"/>
        <v>0</v>
      </c>
      <c r="P316" s="303">
        <f t="shared" ca="1" si="75"/>
        <v>0</v>
      </c>
      <c r="Q316" s="303">
        <f t="shared" ca="1" si="75"/>
        <v>66.84447033591492</v>
      </c>
      <c r="R316" s="303">
        <f t="shared" ca="1" si="75"/>
        <v>66.844470335914906</v>
      </c>
      <c r="S316" s="303">
        <f t="shared" ca="1" si="75"/>
        <v>66.844470335914906</v>
      </c>
      <c r="T316" s="303">
        <f t="shared" ca="1" si="75"/>
        <v>66.844470335914906</v>
      </c>
      <c r="U316" s="303">
        <f t="shared" ca="1" si="75"/>
        <v>66.844470335914906</v>
      </c>
      <c r="V316" s="303">
        <f t="shared" ca="1" si="75"/>
        <v>0</v>
      </c>
      <c r="W316" s="303">
        <f t="shared" ca="1" si="75"/>
        <v>0</v>
      </c>
      <c r="X316" s="303">
        <f t="shared" ca="1" si="75"/>
        <v>0</v>
      </c>
      <c r="Y316" s="303">
        <f t="shared" ca="1" si="75"/>
        <v>0</v>
      </c>
      <c r="Z316" s="303">
        <f t="shared" ca="1" si="75"/>
        <v>0</v>
      </c>
      <c r="AA316" s="303">
        <f t="shared" ca="1" si="75"/>
        <v>0</v>
      </c>
      <c r="AB316" s="303">
        <f t="shared" ca="1" si="75"/>
        <v>0</v>
      </c>
      <c r="AC316" s="303">
        <f t="shared" ca="1" si="75"/>
        <v>0</v>
      </c>
      <c r="AD316" s="303">
        <f t="shared" ca="1" si="75"/>
        <v>0</v>
      </c>
      <c r="AE316" s="303">
        <f t="shared" ca="1" si="75"/>
        <v>0</v>
      </c>
      <c r="AF316" s="303">
        <f t="shared" ca="1" si="75"/>
        <v>0</v>
      </c>
      <c r="AG316" s="303">
        <f t="shared" ca="1" si="75"/>
        <v>0</v>
      </c>
      <c r="AH316" s="303">
        <f t="shared" ca="1" si="75"/>
        <v>0</v>
      </c>
      <c r="AI316" s="303">
        <f t="shared" ca="1" si="75"/>
        <v>0</v>
      </c>
      <c r="AJ316" s="303">
        <f t="shared" ca="1" si="75"/>
        <v>0</v>
      </c>
      <c r="AK316" s="303">
        <f t="shared" ca="1" si="75"/>
        <v>0</v>
      </c>
      <c r="AL316" s="303">
        <f t="shared" ca="1" si="75"/>
        <v>0</v>
      </c>
      <c r="AM316" s="303">
        <f t="shared" ca="1" si="75"/>
        <v>0</v>
      </c>
      <c r="AN316" s="303">
        <f t="shared" ca="1" si="75"/>
        <v>0</v>
      </c>
      <c r="AO316" s="303">
        <f t="shared" ca="1" si="75"/>
        <v>0</v>
      </c>
      <c r="AP316" s="303">
        <f t="shared" ca="1" si="75"/>
        <v>0</v>
      </c>
      <c r="AQ316" s="303">
        <f t="shared" ca="1" si="75"/>
        <v>0</v>
      </c>
      <c r="AR316" s="303">
        <f t="shared" ca="1" si="75"/>
        <v>0</v>
      </c>
      <c r="AS316" s="303">
        <f t="shared" ca="1" si="75"/>
        <v>0</v>
      </c>
      <c r="AT316" s="303">
        <f t="shared" ca="1" si="75"/>
        <v>0</v>
      </c>
      <c r="AU316" s="303">
        <f t="shared" ca="1" si="75"/>
        <v>0</v>
      </c>
      <c r="AV316" s="303">
        <f t="shared" ca="1" si="75"/>
        <v>0</v>
      </c>
      <c r="AW316" s="303">
        <f t="shared" ca="1" si="75"/>
        <v>0</v>
      </c>
      <c r="AX316" s="303">
        <f t="shared" ca="1" si="75"/>
        <v>0</v>
      </c>
    </row>
    <row r="317" spans="1:50" s="4" customFormat="1" ht="15" customHeight="1">
      <c r="A317" s="574"/>
      <c r="B317" s="695"/>
      <c r="C317" s="113"/>
      <c r="D317" s="575" t="str">
        <f>Translate!$E$605</f>
        <v>add</v>
      </c>
      <c r="E317" s="303" t="str">
        <f t="shared" ref="E317:J317" si="76">E304</f>
        <v>Interest payments (end of period)</v>
      </c>
      <c r="F317" s="303">
        <f t="shared" si="76"/>
        <v>0</v>
      </c>
      <c r="G317" s="303" t="str">
        <f t="shared" si="76"/>
        <v>US$ mn</v>
      </c>
      <c r="H317" s="303">
        <f t="shared" si="76"/>
        <v>0</v>
      </c>
      <c r="I317" s="303">
        <f t="shared" ca="1" si="76"/>
        <v>71.189360907749546</v>
      </c>
      <c r="J317" s="303">
        <f t="shared" si="76"/>
        <v>0</v>
      </c>
      <c r="K317" s="303">
        <f ca="1">K304</f>
        <v>0</v>
      </c>
      <c r="L317" s="303">
        <f t="shared" ref="L317:AX317" ca="1" si="77">L304</f>
        <v>0</v>
      </c>
      <c r="M317" s="303">
        <f t="shared" ca="1" si="77"/>
        <v>0</v>
      </c>
      <c r="N317" s="303">
        <f t="shared" ca="1" si="77"/>
        <v>0</v>
      </c>
      <c r="O317" s="303">
        <f t="shared" ca="1" si="77"/>
        <v>0</v>
      </c>
      <c r="P317" s="303">
        <f t="shared" ca="1" si="77"/>
        <v>0</v>
      </c>
      <c r="Q317" s="303">
        <f t="shared" ca="1" si="77"/>
        <v>23.729786969249851</v>
      </c>
      <c r="R317" s="303">
        <f t="shared" ca="1" si="77"/>
        <v>18.983829575399881</v>
      </c>
      <c r="S317" s="303">
        <f t="shared" ca="1" si="77"/>
        <v>14.237872181549911</v>
      </c>
      <c r="T317" s="303">
        <f t="shared" ca="1" si="77"/>
        <v>9.4919147876999403</v>
      </c>
      <c r="U317" s="303">
        <f t="shared" ca="1" si="77"/>
        <v>4.7459573938499702</v>
      </c>
      <c r="V317" s="303">
        <f t="shared" ca="1" si="77"/>
        <v>0</v>
      </c>
      <c r="W317" s="303">
        <f t="shared" ca="1" si="77"/>
        <v>0</v>
      </c>
      <c r="X317" s="303">
        <f t="shared" ca="1" si="77"/>
        <v>0</v>
      </c>
      <c r="Y317" s="303">
        <f t="shared" ca="1" si="77"/>
        <v>0</v>
      </c>
      <c r="Z317" s="303">
        <f t="shared" ca="1" si="77"/>
        <v>0</v>
      </c>
      <c r="AA317" s="303">
        <f t="shared" ca="1" si="77"/>
        <v>0</v>
      </c>
      <c r="AB317" s="303">
        <f t="shared" ca="1" si="77"/>
        <v>0</v>
      </c>
      <c r="AC317" s="303">
        <f t="shared" ca="1" si="77"/>
        <v>0</v>
      </c>
      <c r="AD317" s="303">
        <f t="shared" ca="1" si="77"/>
        <v>0</v>
      </c>
      <c r="AE317" s="303">
        <f t="shared" ca="1" si="77"/>
        <v>0</v>
      </c>
      <c r="AF317" s="303">
        <f t="shared" ca="1" si="77"/>
        <v>0</v>
      </c>
      <c r="AG317" s="303">
        <f t="shared" ca="1" si="77"/>
        <v>0</v>
      </c>
      <c r="AH317" s="303">
        <f t="shared" ca="1" si="77"/>
        <v>0</v>
      </c>
      <c r="AI317" s="303">
        <f t="shared" ca="1" si="77"/>
        <v>0</v>
      </c>
      <c r="AJ317" s="303">
        <f t="shared" ca="1" si="77"/>
        <v>0</v>
      </c>
      <c r="AK317" s="303">
        <f t="shared" ca="1" si="77"/>
        <v>0</v>
      </c>
      <c r="AL317" s="303">
        <f t="shared" ca="1" si="77"/>
        <v>0</v>
      </c>
      <c r="AM317" s="303">
        <f t="shared" ca="1" si="77"/>
        <v>0</v>
      </c>
      <c r="AN317" s="303">
        <f t="shared" ca="1" si="77"/>
        <v>0</v>
      </c>
      <c r="AO317" s="303">
        <f t="shared" ca="1" si="77"/>
        <v>0</v>
      </c>
      <c r="AP317" s="303">
        <f t="shared" ca="1" si="77"/>
        <v>0</v>
      </c>
      <c r="AQ317" s="303">
        <f t="shared" ca="1" si="77"/>
        <v>0</v>
      </c>
      <c r="AR317" s="303">
        <f t="shared" ca="1" si="77"/>
        <v>0</v>
      </c>
      <c r="AS317" s="303">
        <f t="shared" ca="1" si="77"/>
        <v>0</v>
      </c>
      <c r="AT317" s="303">
        <f t="shared" ca="1" si="77"/>
        <v>0</v>
      </c>
      <c r="AU317" s="303">
        <f t="shared" ca="1" si="77"/>
        <v>0</v>
      </c>
      <c r="AV317" s="303">
        <f t="shared" ca="1" si="77"/>
        <v>0</v>
      </c>
      <c r="AW317" s="303">
        <f t="shared" ca="1" si="77"/>
        <v>0</v>
      </c>
      <c r="AX317" s="303">
        <f t="shared" ca="1" si="77"/>
        <v>0</v>
      </c>
    </row>
    <row r="318" spans="1:50" s="4" customFormat="1" ht="15" customHeight="1">
      <c r="A318" s="574"/>
      <c r="B318" s="695"/>
      <c r="C318" s="113"/>
      <c r="D318" s="575" t="str">
        <f>Translate!$E$606</f>
        <v>less</v>
      </c>
      <c r="E318" s="303" t="str">
        <f t="shared" ref="E318:J318" si="78">E302</f>
        <v>Loan drawdowns (mid-period)</v>
      </c>
      <c r="F318" s="303">
        <f t="shared" si="78"/>
        <v>0</v>
      </c>
      <c r="G318" s="303" t="str">
        <f t="shared" si="78"/>
        <v>US$ mn</v>
      </c>
      <c r="H318" s="303">
        <f t="shared" si="78"/>
        <v>0</v>
      </c>
      <c r="I318" s="303">
        <f t="shared" ca="1" si="78"/>
        <v>303.85356422399997</v>
      </c>
      <c r="J318" s="303">
        <f t="shared" si="78"/>
        <v>0</v>
      </c>
      <c r="K318" s="303">
        <f ca="1">K302</f>
        <v>0</v>
      </c>
      <c r="L318" s="303">
        <f t="shared" ref="L318:AX318" ca="1" si="79">L302</f>
        <v>0</v>
      </c>
      <c r="M318" s="303">
        <f t="shared" ca="1" si="79"/>
        <v>0</v>
      </c>
      <c r="N318" s="303">
        <f t="shared" ca="1" si="79"/>
        <v>37.142279999999992</v>
      </c>
      <c r="O318" s="303">
        <f t="shared" ca="1" si="79"/>
        <v>189.42562799999999</v>
      </c>
      <c r="P318" s="303">
        <f t="shared" ca="1" si="79"/>
        <v>77.285656223999993</v>
      </c>
      <c r="Q318" s="303">
        <f t="shared" ca="1" si="79"/>
        <v>0</v>
      </c>
      <c r="R318" s="303">
        <f t="shared" ca="1" si="79"/>
        <v>0</v>
      </c>
      <c r="S318" s="303">
        <f t="shared" ca="1" si="79"/>
        <v>0</v>
      </c>
      <c r="T318" s="303">
        <f t="shared" ca="1" si="79"/>
        <v>0</v>
      </c>
      <c r="U318" s="303">
        <f t="shared" ca="1" si="79"/>
        <v>0</v>
      </c>
      <c r="V318" s="303">
        <f t="shared" ca="1" si="79"/>
        <v>0</v>
      </c>
      <c r="W318" s="303">
        <f t="shared" ca="1" si="79"/>
        <v>0</v>
      </c>
      <c r="X318" s="303">
        <f t="shared" ca="1" si="79"/>
        <v>0</v>
      </c>
      <c r="Y318" s="303">
        <f t="shared" ca="1" si="79"/>
        <v>0</v>
      </c>
      <c r="Z318" s="303">
        <f t="shared" ca="1" si="79"/>
        <v>0</v>
      </c>
      <c r="AA318" s="303">
        <f t="shared" ca="1" si="79"/>
        <v>0</v>
      </c>
      <c r="AB318" s="303">
        <f t="shared" ca="1" si="79"/>
        <v>0</v>
      </c>
      <c r="AC318" s="303">
        <f t="shared" ca="1" si="79"/>
        <v>0</v>
      </c>
      <c r="AD318" s="303">
        <f t="shared" ca="1" si="79"/>
        <v>0</v>
      </c>
      <c r="AE318" s="303">
        <f t="shared" ca="1" si="79"/>
        <v>0</v>
      </c>
      <c r="AF318" s="303">
        <f t="shared" ca="1" si="79"/>
        <v>0</v>
      </c>
      <c r="AG318" s="303">
        <f t="shared" ca="1" si="79"/>
        <v>0</v>
      </c>
      <c r="AH318" s="303">
        <f t="shared" ca="1" si="79"/>
        <v>0</v>
      </c>
      <c r="AI318" s="303">
        <f t="shared" ca="1" si="79"/>
        <v>0</v>
      </c>
      <c r="AJ318" s="303">
        <f t="shared" ca="1" si="79"/>
        <v>0</v>
      </c>
      <c r="AK318" s="303">
        <f t="shared" ca="1" si="79"/>
        <v>0</v>
      </c>
      <c r="AL318" s="303">
        <f t="shared" ca="1" si="79"/>
        <v>0</v>
      </c>
      <c r="AM318" s="303">
        <f t="shared" ca="1" si="79"/>
        <v>0</v>
      </c>
      <c r="AN318" s="303">
        <f t="shared" ca="1" si="79"/>
        <v>0</v>
      </c>
      <c r="AO318" s="303">
        <f t="shared" ca="1" si="79"/>
        <v>0</v>
      </c>
      <c r="AP318" s="303">
        <f t="shared" ca="1" si="79"/>
        <v>0</v>
      </c>
      <c r="AQ318" s="303">
        <f t="shared" ca="1" si="79"/>
        <v>0</v>
      </c>
      <c r="AR318" s="303">
        <f t="shared" ca="1" si="79"/>
        <v>0</v>
      </c>
      <c r="AS318" s="303">
        <f t="shared" ca="1" si="79"/>
        <v>0</v>
      </c>
      <c r="AT318" s="303">
        <f t="shared" ca="1" si="79"/>
        <v>0</v>
      </c>
      <c r="AU318" s="303">
        <f t="shared" ca="1" si="79"/>
        <v>0</v>
      </c>
      <c r="AV318" s="303">
        <f t="shared" ca="1" si="79"/>
        <v>0</v>
      </c>
      <c r="AW318" s="303">
        <f t="shared" ca="1" si="79"/>
        <v>0</v>
      </c>
      <c r="AX318" s="303">
        <f t="shared" ca="1" si="79"/>
        <v>0</v>
      </c>
    </row>
    <row r="319" spans="1:50" s="556" customFormat="1" ht="15" customHeight="1">
      <c r="A319" s="576"/>
      <c r="B319" s="696"/>
      <c r="C319" s="577"/>
      <c r="D319" s="576"/>
      <c r="E319" s="576" t="str">
        <f>Translate!$E$206</f>
        <v>Loan cashflows before interest withholding tax</v>
      </c>
      <c r="F319" s="576"/>
      <c r="G319" s="576" t="str">
        <f xml:space="preserve"> Translate!E$10</f>
        <v>US$ mn</v>
      </c>
      <c r="H319" s="576"/>
      <c r="I319" s="576">
        <f ca="1" xml:space="preserve"> SUM(K319:AX319)</f>
        <v>101.55814836332412</v>
      </c>
      <c r="J319" s="576"/>
      <c r="K319" s="576">
        <f ca="1" xml:space="preserve"> K316 + K317 - K318</f>
        <v>0</v>
      </c>
      <c r="L319" s="576">
        <f t="shared" ref="L319:AX319" ca="1" si="80" xml:space="preserve"> L316 + L317 - L318</f>
        <v>0</v>
      </c>
      <c r="M319" s="576">
        <f t="shared" ca="1" si="80"/>
        <v>0</v>
      </c>
      <c r="N319" s="576">
        <f t="shared" ca="1" si="80"/>
        <v>-37.142279999999992</v>
      </c>
      <c r="O319" s="576">
        <f t="shared" ca="1" si="80"/>
        <v>-189.42562799999999</v>
      </c>
      <c r="P319" s="576">
        <f t="shared" ca="1" si="80"/>
        <v>-77.285656223999993</v>
      </c>
      <c r="Q319" s="576">
        <f t="shared" ca="1" si="80"/>
        <v>90.574257305164764</v>
      </c>
      <c r="R319" s="576">
        <f t="shared" ca="1" si="80"/>
        <v>85.828299911314787</v>
      </c>
      <c r="S319" s="576">
        <f t="shared" ca="1" si="80"/>
        <v>81.082342517464809</v>
      </c>
      <c r="T319" s="576">
        <f t="shared" ca="1" si="80"/>
        <v>76.336385123614846</v>
      </c>
      <c r="U319" s="576">
        <f t="shared" ca="1" si="80"/>
        <v>71.590427729764883</v>
      </c>
      <c r="V319" s="576">
        <f t="shared" ca="1" si="80"/>
        <v>0</v>
      </c>
      <c r="W319" s="576">
        <f t="shared" ca="1" si="80"/>
        <v>0</v>
      </c>
      <c r="X319" s="576">
        <f t="shared" ca="1" si="80"/>
        <v>0</v>
      </c>
      <c r="Y319" s="576">
        <f t="shared" ca="1" si="80"/>
        <v>0</v>
      </c>
      <c r="Z319" s="576">
        <f t="shared" ca="1" si="80"/>
        <v>0</v>
      </c>
      <c r="AA319" s="576">
        <f t="shared" ca="1" si="80"/>
        <v>0</v>
      </c>
      <c r="AB319" s="576">
        <f t="shared" ca="1" si="80"/>
        <v>0</v>
      </c>
      <c r="AC319" s="576">
        <f t="shared" ca="1" si="80"/>
        <v>0</v>
      </c>
      <c r="AD319" s="576">
        <f t="shared" ca="1" si="80"/>
        <v>0</v>
      </c>
      <c r="AE319" s="576">
        <f t="shared" ca="1" si="80"/>
        <v>0</v>
      </c>
      <c r="AF319" s="576">
        <f t="shared" ca="1" si="80"/>
        <v>0</v>
      </c>
      <c r="AG319" s="576">
        <f t="shared" ca="1" si="80"/>
        <v>0</v>
      </c>
      <c r="AH319" s="576">
        <f t="shared" ca="1" si="80"/>
        <v>0</v>
      </c>
      <c r="AI319" s="576">
        <f t="shared" ca="1" si="80"/>
        <v>0</v>
      </c>
      <c r="AJ319" s="576">
        <f t="shared" ca="1" si="80"/>
        <v>0</v>
      </c>
      <c r="AK319" s="576">
        <f t="shared" ca="1" si="80"/>
        <v>0</v>
      </c>
      <c r="AL319" s="576">
        <f t="shared" ca="1" si="80"/>
        <v>0</v>
      </c>
      <c r="AM319" s="576">
        <f t="shared" ca="1" si="80"/>
        <v>0</v>
      </c>
      <c r="AN319" s="576">
        <f t="shared" ca="1" si="80"/>
        <v>0</v>
      </c>
      <c r="AO319" s="576">
        <f t="shared" ca="1" si="80"/>
        <v>0</v>
      </c>
      <c r="AP319" s="576">
        <f t="shared" ca="1" si="80"/>
        <v>0</v>
      </c>
      <c r="AQ319" s="576">
        <f t="shared" ca="1" si="80"/>
        <v>0</v>
      </c>
      <c r="AR319" s="576">
        <f t="shared" ca="1" si="80"/>
        <v>0</v>
      </c>
      <c r="AS319" s="576">
        <f t="shared" ca="1" si="80"/>
        <v>0</v>
      </c>
      <c r="AT319" s="576">
        <f t="shared" ca="1" si="80"/>
        <v>0</v>
      </c>
      <c r="AU319" s="576">
        <f t="shared" ca="1" si="80"/>
        <v>0</v>
      </c>
      <c r="AV319" s="576">
        <f t="shared" ca="1" si="80"/>
        <v>0</v>
      </c>
      <c r="AW319" s="576">
        <f t="shared" ca="1" si="80"/>
        <v>0</v>
      </c>
      <c r="AX319" s="576">
        <f t="shared" ca="1" si="80"/>
        <v>0</v>
      </c>
    </row>
    <row r="320" spans="1:50" ht="15" customHeight="1">
      <c r="A320" s="347"/>
      <c r="B320" s="507"/>
      <c r="C320" s="333"/>
      <c r="D320" s="1112"/>
      <c r="E320" s="1024"/>
      <c r="F320" s="1079"/>
      <c r="G320" s="346"/>
      <c r="H320" s="346"/>
      <c r="I320" s="1112"/>
      <c r="J320" s="1125"/>
      <c r="K320" s="408"/>
      <c r="L320" s="408"/>
      <c r="M320" s="408"/>
      <c r="N320" s="408"/>
      <c r="O320" s="408"/>
      <c r="P320" s="408"/>
      <c r="Q320" s="408"/>
      <c r="R320" s="408"/>
      <c r="S320" s="408"/>
      <c r="T320" s="408"/>
      <c r="U320" s="408"/>
      <c r="V320" s="408"/>
      <c r="W320" s="408"/>
      <c r="X320" s="408"/>
      <c r="Y320" s="408"/>
      <c r="Z320" s="408"/>
      <c r="AA320" s="408"/>
      <c r="AB320" s="408"/>
      <c r="AC320" s="408"/>
      <c r="AD320" s="408"/>
      <c r="AE320" s="408"/>
      <c r="AF320" s="408"/>
      <c r="AG320" s="408"/>
      <c r="AH320" s="408"/>
      <c r="AI320" s="408"/>
      <c r="AJ320" s="408"/>
      <c r="AK320" s="408"/>
      <c r="AL320" s="408"/>
      <c r="AM320" s="408"/>
      <c r="AN320" s="408"/>
      <c r="AO320" s="408"/>
      <c r="AP320" s="408"/>
      <c r="AQ320" s="408"/>
      <c r="AR320" s="408"/>
      <c r="AS320" s="408"/>
      <c r="AT320" s="408"/>
      <c r="AU320" s="408"/>
      <c r="AV320" s="408"/>
      <c r="AW320" s="408"/>
      <c r="AX320" s="408"/>
    </row>
    <row r="321" spans="1:50" ht="15" customHeight="1">
      <c r="A321" s="347"/>
      <c r="B321" s="507"/>
      <c r="C321" s="333"/>
      <c r="D321" s="1112"/>
      <c r="E321" s="1024" t="str">
        <f t="shared" ref="E321:AX321" si="81" xml:space="preserve"> E$304</f>
        <v>Interest payments (end of period)</v>
      </c>
      <c r="F321" s="1024">
        <f t="shared" si="81"/>
        <v>0</v>
      </c>
      <c r="G321" s="1024" t="str">
        <f t="shared" si="81"/>
        <v>US$ mn</v>
      </c>
      <c r="H321" s="1024">
        <f t="shared" si="81"/>
        <v>0</v>
      </c>
      <c r="I321" s="1024">
        <f t="shared" ca="1" si="81"/>
        <v>71.189360907749546</v>
      </c>
      <c r="J321" s="1024">
        <f t="shared" si="81"/>
        <v>0</v>
      </c>
      <c r="K321" s="1024">
        <f t="shared" ca="1" si="81"/>
        <v>0</v>
      </c>
      <c r="L321" s="1024">
        <f t="shared" ca="1" si="81"/>
        <v>0</v>
      </c>
      <c r="M321" s="1024">
        <f t="shared" ca="1" si="81"/>
        <v>0</v>
      </c>
      <c r="N321" s="1024">
        <f t="shared" ca="1" si="81"/>
        <v>0</v>
      </c>
      <c r="O321" s="1024">
        <f t="shared" ca="1" si="81"/>
        <v>0</v>
      </c>
      <c r="P321" s="1024">
        <f t="shared" ca="1" si="81"/>
        <v>0</v>
      </c>
      <c r="Q321" s="1024">
        <f t="shared" ca="1" si="81"/>
        <v>23.729786969249851</v>
      </c>
      <c r="R321" s="1024">
        <f t="shared" ca="1" si="81"/>
        <v>18.983829575399881</v>
      </c>
      <c r="S321" s="1024">
        <f t="shared" ca="1" si="81"/>
        <v>14.237872181549911</v>
      </c>
      <c r="T321" s="1024">
        <f t="shared" ca="1" si="81"/>
        <v>9.4919147876999403</v>
      </c>
      <c r="U321" s="1024">
        <f t="shared" ca="1" si="81"/>
        <v>4.7459573938499702</v>
      </c>
      <c r="V321" s="1024">
        <f t="shared" ca="1" si="81"/>
        <v>0</v>
      </c>
      <c r="W321" s="1024">
        <f t="shared" ca="1" si="81"/>
        <v>0</v>
      </c>
      <c r="X321" s="1024">
        <f t="shared" ca="1" si="81"/>
        <v>0</v>
      </c>
      <c r="Y321" s="1024">
        <f t="shared" ca="1" si="81"/>
        <v>0</v>
      </c>
      <c r="Z321" s="1024">
        <f t="shared" ca="1" si="81"/>
        <v>0</v>
      </c>
      <c r="AA321" s="1024">
        <f t="shared" ca="1" si="81"/>
        <v>0</v>
      </c>
      <c r="AB321" s="1024">
        <f t="shared" ca="1" si="81"/>
        <v>0</v>
      </c>
      <c r="AC321" s="1024">
        <f t="shared" ca="1" si="81"/>
        <v>0</v>
      </c>
      <c r="AD321" s="1024">
        <f t="shared" ca="1" si="81"/>
        <v>0</v>
      </c>
      <c r="AE321" s="1024">
        <f t="shared" ca="1" si="81"/>
        <v>0</v>
      </c>
      <c r="AF321" s="1024">
        <f t="shared" ca="1" si="81"/>
        <v>0</v>
      </c>
      <c r="AG321" s="1024">
        <f t="shared" ca="1" si="81"/>
        <v>0</v>
      </c>
      <c r="AH321" s="1024">
        <f t="shared" ca="1" si="81"/>
        <v>0</v>
      </c>
      <c r="AI321" s="1024">
        <f t="shared" ca="1" si="81"/>
        <v>0</v>
      </c>
      <c r="AJ321" s="1024">
        <f t="shared" ca="1" si="81"/>
        <v>0</v>
      </c>
      <c r="AK321" s="1024">
        <f t="shared" ca="1" si="81"/>
        <v>0</v>
      </c>
      <c r="AL321" s="1024">
        <f t="shared" ca="1" si="81"/>
        <v>0</v>
      </c>
      <c r="AM321" s="1024">
        <f t="shared" ca="1" si="81"/>
        <v>0</v>
      </c>
      <c r="AN321" s="1024">
        <f t="shared" ca="1" si="81"/>
        <v>0</v>
      </c>
      <c r="AO321" s="1024">
        <f t="shared" ca="1" si="81"/>
        <v>0</v>
      </c>
      <c r="AP321" s="1024">
        <f t="shared" ca="1" si="81"/>
        <v>0</v>
      </c>
      <c r="AQ321" s="1024">
        <f t="shared" ca="1" si="81"/>
        <v>0</v>
      </c>
      <c r="AR321" s="1024">
        <f t="shared" ca="1" si="81"/>
        <v>0</v>
      </c>
      <c r="AS321" s="1024">
        <f t="shared" ca="1" si="81"/>
        <v>0</v>
      </c>
      <c r="AT321" s="1024">
        <f t="shared" ca="1" si="81"/>
        <v>0</v>
      </c>
      <c r="AU321" s="1024">
        <f t="shared" ca="1" si="81"/>
        <v>0</v>
      </c>
      <c r="AV321" s="1024">
        <f t="shared" ca="1" si="81"/>
        <v>0</v>
      </c>
      <c r="AW321" s="1024">
        <f t="shared" ca="1" si="81"/>
        <v>0</v>
      </c>
      <c r="AX321" s="1024">
        <f t="shared" ca="1" si="81"/>
        <v>0</v>
      </c>
    </row>
    <row r="322" spans="1:50" ht="15" customHeight="1">
      <c r="A322" s="347"/>
      <c r="B322" s="507"/>
      <c r="C322" s="333"/>
      <c r="D322" s="1112"/>
      <c r="E322" s="383" t="str">
        <f xml:space="preserve"> FiscalModel!E$49</f>
        <v>Interest withholding tax</v>
      </c>
      <c r="F322" s="386">
        <f xml:space="preserve"> FiscalModel!F$49</f>
        <v>0.1</v>
      </c>
      <c r="G322" s="386" t="str">
        <f xml:space="preserve"> FiscalModel!G$49</f>
        <v>%</v>
      </c>
      <c r="H322" s="346"/>
      <c r="I322" s="1112"/>
      <c r="J322" s="1125"/>
      <c r="K322" s="1048"/>
      <c r="L322" s="1048"/>
      <c r="M322" s="1048"/>
      <c r="N322" s="1048"/>
      <c r="O322" s="1048"/>
      <c r="P322" s="1048"/>
      <c r="Q322" s="1048"/>
      <c r="R322" s="1048"/>
      <c r="S322" s="1048"/>
      <c r="T322" s="1048"/>
      <c r="U322" s="1048"/>
      <c r="V322" s="1048"/>
      <c r="W322" s="1048"/>
      <c r="X322" s="1048"/>
      <c r="Y322" s="1048"/>
      <c r="Z322" s="1048"/>
      <c r="AA322" s="1048"/>
      <c r="AB322" s="1048"/>
      <c r="AC322" s="1048"/>
      <c r="AD322" s="1048"/>
      <c r="AE322" s="1048"/>
      <c r="AF322" s="1048"/>
      <c r="AG322" s="1048"/>
      <c r="AH322" s="1048"/>
      <c r="AI322" s="1048"/>
      <c r="AJ322" s="1048"/>
      <c r="AK322" s="1048"/>
      <c r="AL322" s="1048"/>
      <c r="AM322" s="1048"/>
      <c r="AN322" s="1048"/>
      <c r="AO322" s="1048"/>
      <c r="AP322" s="1048"/>
      <c r="AQ322" s="1048"/>
      <c r="AR322" s="1048"/>
      <c r="AS322" s="1048"/>
      <c r="AT322" s="1048"/>
      <c r="AU322" s="1048"/>
      <c r="AV322" s="1048"/>
      <c r="AW322" s="1048"/>
      <c r="AX322" s="1048"/>
    </row>
    <row r="323" spans="1:50" ht="15" customHeight="1">
      <c r="A323" s="260"/>
      <c r="B323" s="508"/>
      <c r="C323" s="217"/>
      <c r="D323" s="22"/>
      <c r="E323" s="22" t="str">
        <f>Translate!$E$151</f>
        <v>Interest withholding tax</v>
      </c>
      <c r="F323" s="22"/>
      <c r="G323" s="22" t="str">
        <f xml:space="preserve"> Translate!E$10</f>
        <v>US$ mn</v>
      </c>
      <c r="H323" s="22"/>
      <c r="I323" s="22">
        <f ca="1" xml:space="preserve"> SUM(K323:AX323)</f>
        <v>7.1189360907749553</v>
      </c>
      <c r="J323" s="22"/>
      <c r="K323" s="22">
        <f t="shared" ref="K323:AX323" ca="1" si="82" xml:space="preserve"> K321 * $F322</f>
        <v>0</v>
      </c>
      <c r="L323" s="22">
        <f t="shared" ca="1" si="82"/>
        <v>0</v>
      </c>
      <c r="M323" s="22">
        <f t="shared" ca="1" si="82"/>
        <v>0</v>
      </c>
      <c r="N323" s="22">
        <f t="shared" ca="1" si="82"/>
        <v>0</v>
      </c>
      <c r="O323" s="22">
        <f t="shared" ca="1" si="82"/>
        <v>0</v>
      </c>
      <c r="P323" s="22">
        <f t="shared" ca="1" si="82"/>
        <v>0</v>
      </c>
      <c r="Q323" s="22">
        <f t="shared" ca="1" si="82"/>
        <v>2.3729786969249851</v>
      </c>
      <c r="R323" s="22">
        <f t="shared" ca="1" si="82"/>
        <v>1.8983829575399882</v>
      </c>
      <c r="S323" s="22">
        <f t="shared" ca="1" si="82"/>
        <v>1.4237872181549911</v>
      </c>
      <c r="T323" s="22">
        <f t="shared" ca="1" si="82"/>
        <v>0.9491914787699941</v>
      </c>
      <c r="U323" s="22">
        <f t="shared" ca="1" si="82"/>
        <v>0.47459573938499705</v>
      </c>
      <c r="V323" s="22">
        <f t="shared" ca="1" si="82"/>
        <v>0</v>
      </c>
      <c r="W323" s="22">
        <f t="shared" ca="1" si="82"/>
        <v>0</v>
      </c>
      <c r="X323" s="22">
        <f t="shared" ca="1" si="82"/>
        <v>0</v>
      </c>
      <c r="Y323" s="22">
        <f t="shared" ca="1" si="82"/>
        <v>0</v>
      </c>
      <c r="Z323" s="22">
        <f t="shared" ca="1" si="82"/>
        <v>0</v>
      </c>
      <c r="AA323" s="22">
        <f t="shared" ca="1" si="82"/>
        <v>0</v>
      </c>
      <c r="AB323" s="22">
        <f t="shared" ca="1" si="82"/>
        <v>0</v>
      </c>
      <c r="AC323" s="22">
        <f t="shared" ca="1" si="82"/>
        <v>0</v>
      </c>
      <c r="AD323" s="22">
        <f t="shared" ca="1" si="82"/>
        <v>0</v>
      </c>
      <c r="AE323" s="22">
        <f t="shared" ca="1" si="82"/>
        <v>0</v>
      </c>
      <c r="AF323" s="22">
        <f t="shared" ca="1" si="82"/>
        <v>0</v>
      </c>
      <c r="AG323" s="22">
        <f t="shared" ca="1" si="82"/>
        <v>0</v>
      </c>
      <c r="AH323" s="22">
        <f t="shared" ca="1" si="82"/>
        <v>0</v>
      </c>
      <c r="AI323" s="22">
        <f t="shared" ca="1" si="82"/>
        <v>0</v>
      </c>
      <c r="AJ323" s="22">
        <f t="shared" ca="1" si="82"/>
        <v>0</v>
      </c>
      <c r="AK323" s="22">
        <f t="shared" ca="1" si="82"/>
        <v>0</v>
      </c>
      <c r="AL323" s="22">
        <f t="shared" ca="1" si="82"/>
        <v>0</v>
      </c>
      <c r="AM323" s="22">
        <f t="shared" ca="1" si="82"/>
        <v>0</v>
      </c>
      <c r="AN323" s="22">
        <f t="shared" ca="1" si="82"/>
        <v>0</v>
      </c>
      <c r="AO323" s="22">
        <f t="shared" ca="1" si="82"/>
        <v>0</v>
      </c>
      <c r="AP323" s="22">
        <f t="shared" ca="1" si="82"/>
        <v>0</v>
      </c>
      <c r="AQ323" s="22">
        <f t="shared" ca="1" si="82"/>
        <v>0</v>
      </c>
      <c r="AR323" s="22">
        <f t="shared" ca="1" si="82"/>
        <v>0</v>
      </c>
      <c r="AS323" s="22">
        <f t="shared" ca="1" si="82"/>
        <v>0</v>
      </c>
      <c r="AT323" s="22">
        <f t="shared" ca="1" si="82"/>
        <v>0</v>
      </c>
      <c r="AU323" s="22">
        <f t="shared" ca="1" si="82"/>
        <v>0</v>
      </c>
      <c r="AV323" s="22">
        <f t="shared" ca="1" si="82"/>
        <v>0</v>
      </c>
      <c r="AW323" s="22">
        <f t="shared" ca="1" si="82"/>
        <v>0</v>
      </c>
      <c r="AX323" s="22">
        <f t="shared" ca="1" si="82"/>
        <v>0</v>
      </c>
    </row>
    <row r="324" spans="1:50" ht="15" customHeight="1">
      <c r="A324" s="391"/>
      <c r="B324" s="507"/>
      <c r="C324" s="392"/>
      <c r="D324" s="393"/>
      <c r="E324" s="22"/>
      <c r="F324" s="394"/>
      <c r="G324" s="394"/>
      <c r="H324" s="346"/>
      <c r="I324" s="393"/>
      <c r="J324" s="395"/>
      <c r="K324" s="396"/>
      <c r="L324" s="396"/>
      <c r="M324" s="396"/>
      <c r="N324" s="396"/>
      <c r="O324" s="396"/>
      <c r="P324" s="396"/>
      <c r="Q324" s="396"/>
      <c r="R324" s="396"/>
      <c r="S324" s="396"/>
      <c r="T324" s="396"/>
      <c r="U324" s="396"/>
      <c r="V324" s="396"/>
      <c r="W324" s="396"/>
      <c r="X324" s="396"/>
      <c r="Y324" s="396"/>
      <c r="Z324" s="396"/>
      <c r="AA324" s="396"/>
      <c r="AB324" s="396"/>
      <c r="AC324" s="396"/>
      <c r="AD324" s="396"/>
      <c r="AE324" s="396"/>
      <c r="AF324" s="396"/>
      <c r="AG324" s="396"/>
      <c r="AH324" s="396"/>
      <c r="AI324" s="396"/>
      <c r="AJ324" s="396"/>
      <c r="AK324" s="396"/>
      <c r="AL324" s="396"/>
      <c r="AM324" s="396"/>
      <c r="AN324" s="396"/>
      <c r="AO324" s="396"/>
      <c r="AP324" s="396"/>
      <c r="AQ324" s="396"/>
      <c r="AR324" s="396"/>
      <c r="AS324" s="396"/>
      <c r="AT324" s="396"/>
      <c r="AU324" s="396"/>
      <c r="AV324" s="396"/>
      <c r="AW324" s="396"/>
      <c r="AX324" s="396"/>
    </row>
    <row r="325" spans="1:50" s="2" customFormat="1" ht="15" customHeight="1">
      <c r="A325" s="852"/>
      <c r="B325" s="1015"/>
      <c r="C325" s="1016"/>
      <c r="D325" s="1017"/>
      <c r="E325" s="1018" t="str">
        <f>Translate!$E$207</f>
        <v>Lender cashflows after interest withholding tax</v>
      </c>
      <c r="F325" s="1018"/>
      <c r="G325" s="1018" t="str">
        <f xml:space="preserve"> Translate!E$10</f>
        <v>US$ mn</v>
      </c>
      <c r="H325" s="1018"/>
      <c r="I325" s="1018">
        <f ca="1" xml:space="preserve"> SUM(K325:AX325)</f>
        <v>94.43921227254917</v>
      </c>
      <c r="J325" s="1018"/>
      <c r="K325" s="1018">
        <f t="shared" ref="K325:AX325" ca="1" si="83" xml:space="preserve"> K319 - K323</f>
        <v>0</v>
      </c>
      <c r="L325" s="1018">
        <f t="shared" ca="1" si="83"/>
        <v>0</v>
      </c>
      <c r="M325" s="1018">
        <f t="shared" ca="1" si="83"/>
        <v>0</v>
      </c>
      <c r="N325" s="1018">
        <f t="shared" ca="1" si="83"/>
        <v>-37.142279999999992</v>
      </c>
      <c r="O325" s="1018">
        <f t="shared" ca="1" si="83"/>
        <v>-189.42562799999999</v>
      </c>
      <c r="P325" s="1018">
        <f t="shared" ca="1" si="83"/>
        <v>-77.285656223999993</v>
      </c>
      <c r="Q325" s="1018">
        <f t="shared" ca="1" si="83"/>
        <v>88.201278608239775</v>
      </c>
      <c r="R325" s="1018">
        <f t="shared" ca="1" si="83"/>
        <v>83.929916953774793</v>
      </c>
      <c r="S325" s="1018">
        <f t="shared" ca="1" si="83"/>
        <v>79.658555299309825</v>
      </c>
      <c r="T325" s="1018">
        <f t="shared" ca="1" si="83"/>
        <v>75.387193644844857</v>
      </c>
      <c r="U325" s="1018">
        <f t="shared" ca="1" si="83"/>
        <v>71.115831990379888</v>
      </c>
      <c r="V325" s="1018">
        <f t="shared" ca="1" si="83"/>
        <v>0</v>
      </c>
      <c r="W325" s="1018">
        <f t="shared" ca="1" si="83"/>
        <v>0</v>
      </c>
      <c r="X325" s="1018">
        <f t="shared" ca="1" si="83"/>
        <v>0</v>
      </c>
      <c r="Y325" s="1018">
        <f t="shared" ca="1" si="83"/>
        <v>0</v>
      </c>
      <c r="Z325" s="1018">
        <f t="shared" ca="1" si="83"/>
        <v>0</v>
      </c>
      <c r="AA325" s="1018">
        <f t="shared" ca="1" si="83"/>
        <v>0</v>
      </c>
      <c r="AB325" s="1018">
        <f t="shared" ca="1" si="83"/>
        <v>0</v>
      </c>
      <c r="AC325" s="1018">
        <f t="shared" ca="1" si="83"/>
        <v>0</v>
      </c>
      <c r="AD325" s="1018">
        <f t="shared" ca="1" si="83"/>
        <v>0</v>
      </c>
      <c r="AE325" s="1018">
        <f t="shared" ca="1" si="83"/>
        <v>0</v>
      </c>
      <c r="AF325" s="1018">
        <f t="shared" ca="1" si="83"/>
        <v>0</v>
      </c>
      <c r="AG325" s="1018">
        <f t="shared" ca="1" si="83"/>
        <v>0</v>
      </c>
      <c r="AH325" s="1018">
        <f t="shared" ca="1" si="83"/>
        <v>0</v>
      </c>
      <c r="AI325" s="1018">
        <f t="shared" ca="1" si="83"/>
        <v>0</v>
      </c>
      <c r="AJ325" s="1018">
        <f t="shared" ca="1" si="83"/>
        <v>0</v>
      </c>
      <c r="AK325" s="1018">
        <f t="shared" ca="1" si="83"/>
        <v>0</v>
      </c>
      <c r="AL325" s="1018">
        <f t="shared" ca="1" si="83"/>
        <v>0</v>
      </c>
      <c r="AM325" s="1018">
        <f t="shared" ca="1" si="83"/>
        <v>0</v>
      </c>
      <c r="AN325" s="1018">
        <f t="shared" ca="1" si="83"/>
        <v>0</v>
      </c>
      <c r="AO325" s="1018">
        <f t="shared" ca="1" si="83"/>
        <v>0</v>
      </c>
      <c r="AP325" s="1018">
        <f t="shared" ca="1" si="83"/>
        <v>0</v>
      </c>
      <c r="AQ325" s="1018">
        <f t="shared" ca="1" si="83"/>
        <v>0</v>
      </c>
      <c r="AR325" s="1018">
        <f t="shared" ca="1" si="83"/>
        <v>0</v>
      </c>
      <c r="AS325" s="1018">
        <f t="shared" ca="1" si="83"/>
        <v>0</v>
      </c>
      <c r="AT325" s="1018">
        <f t="shared" ca="1" si="83"/>
        <v>0</v>
      </c>
      <c r="AU325" s="1018">
        <f t="shared" ca="1" si="83"/>
        <v>0</v>
      </c>
      <c r="AV325" s="1018">
        <f t="shared" ca="1" si="83"/>
        <v>0</v>
      </c>
      <c r="AW325" s="1018">
        <f t="shared" ca="1" si="83"/>
        <v>0</v>
      </c>
      <c r="AX325" s="1018">
        <f t="shared" ca="1" si="83"/>
        <v>0</v>
      </c>
    </row>
    <row r="326" spans="1:50" ht="15" customHeight="1">
      <c r="A326" s="260"/>
      <c r="B326" s="508"/>
      <c r="C326" s="217"/>
      <c r="D326" s="398"/>
      <c r="E326" s="22" t="str">
        <f>Translate!$E$208</f>
        <v>Loan IRR: Lender</v>
      </c>
      <c r="F326" s="394">
        <f ca="1" xml:space="preserve"> IFERROR( IRR(K325:AX325), 0)</f>
        <v>7.5857902388054788E-2</v>
      </c>
      <c r="G326" s="22" t="str">
        <f xml:space="preserve"> "% " &amp; Translate!E$18</f>
        <v>% p.a.</v>
      </c>
      <c r="H326" s="22"/>
      <c r="I326" s="22"/>
      <c r="J326" s="22"/>
      <c r="K326" s="22"/>
      <c r="L326" s="22"/>
      <c r="M326" s="22"/>
      <c r="N326" s="22"/>
      <c r="O326" s="22"/>
      <c r="P326" s="22"/>
      <c r="Q326" s="22"/>
      <c r="R326" s="22"/>
      <c r="S326" s="22"/>
      <c r="T326" s="22"/>
      <c r="U326" s="22"/>
      <c r="V326" s="22"/>
      <c r="W326" s="22"/>
      <c r="X326" s="22"/>
      <c r="Y326" s="22"/>
      <c r="Z326" s="22"/>
      <c r="AA326" s="22"/>
      <c r="AB326" s="22"/>
      <c r="AC326" s="22"/>
      <c r="AD326" s="22"/>
      <c r="AE326" s="22"/>
      <c r="AF326" s="22"/>
      <c r="AG326" s="22"/>
      <c r="AH326" s="22"/>
      <c r="AI326" s="22"/>
      <c r="AJ326" s="22"/>
      <c r="AK326" s="22"/>
      <c r="AL326" s="22"/>
      <c r="AM326" s="22"/>
      <c r="AN326" s="22"/>
      <c r="AO326" s="22"/>
      <c r="AP326" s="22"/>
      <c r="AQ326" s="22"/>
      <c r="AR326" s="22"/>
      <c r="AS326" s="22"/>
      <c r="AT326" s="22"/>
      <c r="AU326" s="22"/>
      <c r="AV326" s="22"/>
      <c r="AW326" s="22"/>
      <c r="AX326" s="22"/>
    </row>
    <row r="327" spans="1:50" ht="15" customHeight="1">
      <c r="A327" s="391"/>
      <c r="B327" s="507"/>
      <c r="C327" s="392"/>
      <c r="D327" s="393"/>
      <c r="E327" s="22"/>
      <c r="F327" s="394"/>
      <c r="G327" s="394"/>
      <c r="H327" s="346"/>
      <c r="I327" s="393"/>
      <c r="J327" s="395"/>
      <c r="K327" s="396"/>
      <c r="L327" s="396"/>
      <c r="M327" s="396"/>
      <c r="N327" s="396"/>
      <c r="O327" s="396"/>
      <c r="P327" s="396"/>
      <c r="Q327" s="396"/>
      <c r="R327" s="396"/>
      <c r="S327" s="396"/>
      <c r="T327" s="396"/>
      <c r="U327" s="396"/>
      <c r="V327" s="396"/>
      <c r="W327" s="396"/>
      <c r="X327" s="396"/>
      <c r="Y327" s="396"/>
      <c r="Z327" s="396"/>
      <c r="AA327" s="396"/>
      <c r="AB327" s="396"/>
      <c r="AC327" s="396"/>
      <c r="AD327" s="396"/>
      <c r="AE327" s="396"/>
      <c r="AF327" s="396"/>
      <c r="AG327" s="396"/>
      <c r="AH327" s="396"/>
      <c r="AI327" s="396"/>
      <c r="AJ327" s="396"/>
      <c r="AK327" s="396"/>
      <c r="AL327" s="396"/>
      <c r="AM327" s="396"/>
      <c r="AN327" s="396"/>
      <c r="AO327" s="396"/>
      <c r="AP327" s="396"/>
      <c r="AQ327" s="396"/>
      <c r="AR327" s="396"/>
      <c r="AS327" s="396"/>
      <c r="AT327" s="396"/>
      <c r="AU327" s="396"/>
      <c r="AV327" s="396"/>
      <c r="AW327" s="396"/>
      <c r="AX327" s="396"/>
    </row>
    <row r="328" spans="1:50" ht="15" customHeight="1">
      <c r="A328" s="391"/>
      <c r="B328" s="507"/>
      <c r="C328" s="409" t="str">
        <f>Translate!$E$106</f>
        <v>Interest accounting</v>
      </c>
      <c r="D328" s="410"/>
      <c r="E328" s="22"/>
      <c r="F328" s="394"/>
      <c r="G328" s="394"/>
      <c r="H328" s="346"/>
      <c r="I328" s="393"/>
      <c r="J328" s="395"/>
      <c r="K328" s="396"/>
      <c r="L328" s="396"/>
      <c r="M328" s="396"/>
      <c r="N328" s="396"/>
      <c r="O328" s="396"/>
      <c r="P328" s="396"/>
      <c r="Q328" s="396"/>
      <c r="R328" s="396"/>
      <c r="S328" s="396"/>
      <c r="T328" s="396"/>
      <c r="U328" s="396"/>
      <c r="V328" s="396"/>
      <c r="W328" s="396"/>
      <c r="X328" s="396"/>
      <c r="Y328" s="396"/>
      <c r="Z328" s="396"/>
      <c r="AA328" s="396"/>
      <c r="AB328" s="396"/>
      <c r="AC328" s="396"/>
      <c r="AD328" s="396"/>
      <c r="AE328" s="396"/>
      <c r="AF328" s="396"/>
      <c r="AG328" s="396"/>
      <c r="AH328" s="396"/>
      <c r="AI328" s="396"/>
      <c r="AJ328" s="396"/>
      <c r="AK328" s="396"/>
      <c r="AL328" s="396"/>
      <c r="AM328" s="396"/>
      <c r="AN328" s="396"/>
      <c r="AO328" s="396"/>
      <c r="AP328" s="396"/>
      <c r="AQ328" s="396"/>
      <c r="AR328" s="396"/>
      <c r="AS328" s="396"/>
      <c r="AT328" s="396"/>
      <c r="AU328" s="396"/>
      <c r="AV328" s="396"/>
      <c r="AW328" s="396"/>
      <c r="AX328" s="396"/>
    </row>
    <row r="329" spans="1:50" ht="15" customHeight="1">
      <c r="A329" s="347"/>
      <c r="B329" s="507"/>
      <c r="C329" s="333"/>
      <c r="D329" s="1112"/>
      <c r="E329" s="1024" t="str">
        <f t="shared" ref="E329:AX329" si="84" xml:space="preserve"> E$303</f>
        <v>Interest charged</v>
      </c>
      <c r="F329" s="1024">
        <f t="shared" si="84"/>
        <v>0</v>
      </c>
      <c r="G329" s="1024" t="str">
        <f t="shared" si="84"/>
        <v>US$ mn</v>
      </c>
      <c r="H329" s="1024">
        <f t="shared" si="84"/>
        <v>0</v>
      </c>
      <c r="I329" s="1024">
        <f t="shared" ca="1" si="84"/>
        <v>101.55814836332416</v>
      </c>
      <c r="J329" s="1024">
        <f t="shared" si="84"/>
        <v>0</v>
      </c>
      <c r="K329" s="1024">
        <f t="shared" ca="1" si="84"/>
        <v>0</v>
      </c>
      <c r="L329" s="1024">
        <f t="shared" ca="1" si="84"/>
        <v>0</v>
      </c>
      <c r="M329" s="1024">
        <f t="shared" ca="1" si="84"/>
        <v>0</v>
      </c>
      <c r="N329" s="1024">
        <f t="shared" ca="1" si="84"/>
        <v>1.3185509400000031</v>
      </c>
      <c r="O329" s="1024">
        <f t="shared" ca="1" si="84"/>
        <v>9.4553287907400208</v>
      </c>
      <c r="P329" s="1024">
        <f t="shared" ca="1" si="84"/>
        <v>19.594907724834592</v>
      </c>
      <c r="Q329" s="1024">
        <f t="shared" ca="1" si="84"/>
        <v>23.729786969249851</v>
      </c>
      <c r="R329" s="1024">
        <f t="shared" ca="1" si="84"/>
        <v>18.983829575399881</v>
      </c>
      <c r="S329" s="1024">
        <f t="shared" ca="1" si="84"/>
        <v>14.237872181549911</v>
      </c>
      <c r="T329" s="1024">
        <f t="shared" ca="1" si="84"/>
        <v>9.4919147876999403</v>
      </c>
      <c r="U329" s="1024">
        <f t="shared" ca="1" si="84"/>
        <v>4.7459573938499702</v>
      </c>
      <c r="V329" s="1024">
        <f t="shared" ca="1" si="84"/>
        <v>0</v>
      </c>
      <c r="W329" s="1024">
        <f t="shared" ca="1" si="84"/>
        <v>0</v>
      </c>
      <c r="X329" s="1024">
        <f t="shared" ca="1" si="84"/>
        <v>0</v>
      </c>
      <c r="Y329" s="1024">
        <f t="shared" ca="1" si="84"/>
        <v>0</v>
      </c>
      <c r="Z329" s="1024">
        <f t="shared" ca="1" si="84"/>
        <v>0</v>
      </c>
      <c r="AA329" s="1024">
        <f t="shared" ca="1" si="84"/>
        <v>0</v>
      </c>
      <c r="AB329" s="1024">
        <f t="shared" ca="1" si="84"/>
        <v>0</v>
      </c>
      <c r="AC329" s="1024">
        <f t="shared" ca="1" si="84"/>
        <v>0</v>
      </c>
      <c r="AD329" s="1024">
        <f t="shared" ca="1" si="84"/>
        <v>0</v>
      </c>
      <c r="AE329" s="1024">
        <f t="shared" ca="1" si="84"/>
        <v>0</v>
      </c>
      <c r="AF329" s="1024">
        <f t="shared" ca="1" si="84"/>
        <v>0</v>
      </c>
      <c r="AG329" s="1024">
        <f t="shared" ca="1" si="84"/>
        <v>0</v>
      </c>
      <c r="AH329" s="1024">
        <f t="shared" ca="1" si="84"/>
        <v>0</v>
      </c>
      <c r="AI329" s="1024">
        <f t="shared" ca="1" si="84"/>
        <v>0</v>
      </c>
      <c r="AJ329" s="1024">
        <f t="shared" ca="1" si="84"/>
        <v>0</v>
      </c>
      <c r="AK329" s="1024">
        <f t="shared" ca="1" si="84"/>
        <v>0</v>
      </c>
      <c r="AL329" s="1024">
        <f t="shared" ca="1" si="84"/>
        <v>0</v>
      </c>
      <c r="AM329" s="1024">
        <f t="shared" ca="1" si="84"/>
        <v>0</v>
      </c>
      <c r="AN329" s="1024">
        <f t="shared" ca="1" si="84"/>
        <v>0</v>
      </c>
      <c r="AO329" s="1024">
        <f t="shared" ca="1" si="84"/>
        <v>0</v>
      </c>
      <c r="AP329" s="1024">
        <f t="shared" ca="1" si="84"/>
        <v>0</v>
      </c>
      <c r="AQ329" s="1024">
        <f t="shared" ca="1" si="84"/>
        <v>0</v>
      </c>
      <c r="AR329" s="1024">
        <f t="shared" ca="1" si="84"/>
        <v>0</v>
      </c>
      <c r="AS329" s="1024">
        <f t="shared" ca="1" si="84"/>
        <v>0</v>
      </c>
      <c r="AT329" s="1024">
        <f t="shared" ca="1" si="84"/>
        <v>0</v>
      </c>
      <c r="AU329" s="1024">
        <f t="shared" ca="1" si="84"/>
        <v>0</v>
      </c>
      <c r="AV329" s="1024">
        <f t="shared" ca="1" si="84"/>
        <v>0</v>
      </c>
      <c r="AW329" s="1024">
        <f t="shared" ca="1" si="84"/>
        <v>0</v>
      </c>
      <c r="AX329" s="1024">
        <f t="shared" ca="1" si="84"/>
        <v>0</v>
      </c>
    </row>
    <row r="330" spans="1:50" s="221" customFormat="1" ht="15" customHeight="1">
      <c r="A330" s="219"/>
      <c r="B330" s="508"/>
      <c r="C330" s="411"/>
      <c r="D330" s="366"/>
      <c r="E330" s="366" t="str">
        <f xml:space="preserve"> ProjectCashflows!E$193</f>
        <v>Cumulative production years</v>
      </c>
      <c r="F330" s="366">
        <f xml:space="preserve"> ProjectCashflows!F$193</f>
        <v>0</v>
      </c>
      <c r="G330" s="366" t="str">
        <f xml:space="preserve"> ProjectCashflows!G$193</f>
        <v>Years</v>
      </c>
      <c r="H330" s="366">
        <f xml:space="preserve"> ProjectCashflows!H$193</f>
        <v>0</v>
      </c>
      <c r="I330" s="366">
        <f xml:space="preserve"> ProjectCashflows!I$193</f>
        <v>0</v>
      </c>
      <c r="J330" s="366">
        <f xml:space="preserve"> ProjectCashflows!J$193</f>
        <v>0</v>
      </c>
      <c r="K330" s="366">
        <f ca="1" xml:space="preserve"> ProjectCashflows!K$193</f>
        <v>0</v>
      </c>
      <c r="L330" s="366">
        <f ca="1" xml:space="preserve"> ProjectCashflows!L$193</f>
        <v>0</v>
      </c>
      <c r="M330" s="366">
        <f ca="1" xml:space="preserve"> ProjectCashflows!M$193</f>
        <v>0</v>
      </c>
      <c r="N330" s="366">
        <f ca="1" xml:space="preserve"> ProjectCashflows!N$193</f>
        <v>0</v>
      </c>
      <c r="O330" s="366">
        <f ca="1" xml:space="preserve"> ProjectCashflows!O$193</f>
        <v>1</v>
      </c>
      <c r="P330" s="366">
        <f ca="1" xml:space="preserve"> ProjectCashflows!P$193</f>
        <v>2</v>
      </c>
      <c r="Q330" s="366">
        <f ca="1" xml:space="preserve"> ProjectCashflows!Q$193</f>
        <v>3</v>
      </c>
      <c r="R330" s="366">
        <f ca="1" xml:space="preserve"> ProjectCashflows!R$193</f>
        <v>4</v>
      </c>
      <c r="S330" s="366">
        <f ca="1" xml:space="preserve"> ProjectCashflows!S$193</f>
        <v>5</v>
      </c>
      <c r="T330" s="366">
        <f ca="1" xml:space="preserve"> ProjectCashflows!T$193</f>
        <v>6</v>
      </c>
      <c r="U330" s="366">
        <f ca="1" xml:space="preserve"> ProjectCashflows!U$193</f>
        <v>7</v>
      </c>
      <c r="V330" s="366">
        <f ca="1" xml:space="preserve"> ProjectCashflows!V$193</f>
        <v>8</v>
      </c>
      <c r="W330" s="366">
        <f ca="1" xml:space="preserve"> ProjectCashflows!W$193</f>
        <v>9</v>
      </c>
      <c r="X330" s="366">
        <f ca="1" xml:space="preserve"> ProjectCashflows!X$193</f>
        <v>10</v>
      </c>
      <c r="Y330" s="366">
        <f ca="1" xml:space="preserve"> ProjectCashflows!Y$193</f>
        <v>11</v>
      </c>
      <c r="Z330" s="366">
        <f ca="1" xml:space="preserve"> ProjectCashflows!Z$193</f>
        <v>12</v>
      </c>
      <c r="AA330" s="366">
        <f ca="1" xml:space="preserve"> ProjectCashflows!AA$193</f>
        <v>13</v>
      </c>
      <c r="AB330" s="366">
        <f ca="1" xml:space="preserve"> ProjectCashflows!AB$193</f>
        <v>14</v>
      </c>
      <c r="AC330" s="366">
        <f ca="1" xml:space="preserve"> ProjectCashflows!AC$193</f>
        <v>15</v>
      </c>
      <c r="AD330" s="366">
        <f ca="1" xml:space="preserve"> ProjectCashflows!AD$193</f>
        <v>16</v>
      </c>
      <c r="AE330" s="366">
        <f ca="1" xml:space="preserve"> ProjectCashflows!AE$193</f>
        <v>17</v>
      </c>
      <c r="AF330" s="366">
        <f ca="1" xml:space="preserve"> ProjectCashflows!AF$193</f>
        <v>0</v>
      </c>
      <c r="AG330" s="366">
        <f ca="1" xml:space="preserve"> ProjectCashflows!AG$193</f>
        <v>0</v>
      </c>
      <c r="AH330" s="366">
        <f ca="1" xml:space="preserve"> ProjectCashflows!AH$193</f>
        <v>0</v>
      </c>
      <c r="AI330" s="366">
        <f ca="1" xml:space="preserve"> ProjectCashflows!AI$193</f>
        <v>0</v>
      </c>
      <c r="AJ330" s="366">
        <f ca="1" xml:space="preserve"> ProjectCashflows!AJ$193</f>
        <v>0</v>
      </c>
      <c r="AK330" s="366">
        <f ca="1" xml:space="preserve"> ProjectCashflows!AK$193</f>
        <v>0</v>
      </c>
      <c r="AL330" s="366">
        <f ca="1" xml:space="preserve"> ProjectCashflows!AL$193</f>
        <v>0</v>
      </c>
      <c r="AM330" s="366">
        <f ca="1" xml:space="preserve"> ProjectCashflows!AM$193</f>
        <v>0</v>
      </c>
      <c r="AN330" s="366">
        <f ca="1" xml:space="preserve"> ProjectCashflows!AN$193</f>
        <v>0</v>
      </c>
      <c r="AO330" s="366">
        <f ca="1" xml:space="preserve"> ProjectCashflows!AO$193</f>
        <v>0</v>
      </c>
      <c r="AP330" s="366">
        <f ca="1" xml:space="preserve"> ProjectCashflows!AP$193</f>
        <v>0</v>
      </c>
      <c r="AQ330" s="366">
        <f ca="1" xml:space="preserve"> ProjectCashflows!AQ$193</f>
        <v>0</v>
      </c>
      <c r="AR330" s="366">
        <f ca="1" xml:space="preserve"> ProjectCashflows!AR$193</f>
        <v>0</v>
      </c>
      <c r="AS330" s="366">
        <f ca="1" xml:space="preserve"> ProjectCashflows!AS$193</f>
        <v>0</v>
      </c>
      <c r="AT330" s="366">
        <f ca="1" xml:space="preserve"> ProjectCashflows!AT$193</f>
        <v>0</v>
      </c>
      <c r="AU330" s="366">
        <f ca="1" xml:space="preserve"> ProjectCashflows!AU$193</f>
        <v>0</v>
      </c>
      <c r="AV330" s="366">
        <f ca="1" xml:space="preserve"> ProjectCashflows!AV$193</f>
        <v>0</v>
      </c>
      <c r="AW330" s="366">
        <f ca="1" xml:space="preserve"> ProjectCashflows!AW$193</f>
        <v>0</v>
      </c>
      <c r="AX330" s="366">
        <f ca="1" xml:space="preserve"> ProjectCashflows!AX$193</f>
        <v>0</v>
      </c>
    </row>
    <row r="331" spans="1:50" ht="15" customHeight="1">
      <c r="A331" s="397"/>
      <c r="B331" s="694"/>
      <c r="C331" s="372"/>
      <c r="D331" s="1024"/>
      <c r="E331" s="1024" t="str">
        <f>Translate!$E$209</f>
        <v>Interest capitalized into development costs</v>
      </c>
      <c r="F331" s="1024"/>
      <c r="G331" s="22" t="str">
        <f xml:space="preserve"> Translate!E$10</f>
        <v>US$ mn</v>
      </c>
      <c r="H331" s="22"/>
      <c r="I331" s="1024">
        <f ca="1" xml:space="preserve"> SUM(K331:AX331)</f>
        <v>1.3185509400000031</v>
      </c>
      <c r="J331" s="1024"/>
      <c r="K331" s="1024">
        <f t="shared" ref="K331:AX331" ca="1" si="85" xml:space="preserve"> K329 * (K330 = 0)</f>
        <v>0</v>
      </c>
      <c r="L331" s="1024">
        <f t="shared" ca="1" si="85"/>
        <v>0</v>
      </c>
      <c r="M331" s="1024">
        <f t="shared" ca="1" si="85"/>
        <v>0</v>
      </c>
      <c r="N331" s="1024">
        <f t="shared" ca="1" si="85"/>
        <v>1.3185509400000031</v>
      </c>
      <c r="O331" s="1024">
        <f t="shared" ca="1" si="85"/>
        <v>0</v>
      </c>
      <c r="P331" s="1024">
        <f t="shared" ca="1" si="85"/>
        <v>0</v>
      </c>
      <c r="Q331" s="1024">
        <f t="shared" ca="1" si="85"/>
        <v>0</v>
      </c>
      <c r="R331" s="1024">
        <f t="shared" ca="1" si="85"/>
        <v>0</v>
      </c>
      <c r="S331" s="1024">
        <f t="shared" ca="1" si="85"/>
        <v>0</v>
      </c>
      <c r="T331" s="1024">
        <f t="shared" ca="1" si="85"/>
        <v>0</v>
      </c>
      <c r="U331" s="1024">
        <f t="shared" ca="1" si="85"/>
        <v>0</v>
      </c>
      <c r="V331" s="1024">
        <f t="shared" ca="1" si="85"/>
        <v>0</v>
      </c>
      <c r="W331" s="1024">
        <f t="shared" ca="1" si="85"/>
        <v>0</v>
      </c>
      <c r="X331" s="1024">
        <f t="shared" ca="1" si="85"/>
        <v>0</v>
      </c>
      <c r="Y331" s="1024">
        <f t="shared" ca="1" si="85"/>
        <v>0</v>
      </c>
      <c r="Z331" s="1024">
        <f t="shared" ca="1" si="85"/>
        <v>0</v>
      </c>
      <c r="AA331" s="1024">
        <f t="shared" ca="1" si="85"/>
        <v>0</v>
      </c>
      <c r="AB331" s="1024">
        <f t="shared" ca="1" si="85"/>
        <v>0</v>
      </c>
      <c r="AC331" s="1024">
        <f t="shared" ca="1" si="85"/>
        <v>0</v>
      </c>
      <c r="AD331" s="1024">
        <f t="shared" ca="1" si="85"/>
        <v>0</v>
      </c>
      <c r="AE331" s="1024">
        <f t="shared" ca="1" si="85"/>
        <v>0</v>
      </c>
      <c r="AF331" s="1024">
        <f t="shared" ca="1" si="85"/>
        <v>0</v>
      </c>
      <c r="AG331" s="1024">
        <f t="shared" ca="1" si="85"/>
        <v>0</v>
      </c>
      <c r="AH331" s="1024">
        <f t="shared" ca="1" si="85"/>
        <v>0</v>
      </c>
      <c r="AI331" s="1024">
        <f t="shared" ca="1" si="85"/>
        <v>0</v>
      </c>
      <c r="AJ331" s="1024">
        <f t="shared" ca="1" si="85"/>
        <v>0</v>
      </c>
      <c r="AK331" s="1024">
        <f t="shared" ca="1" si="85"/>
        <v>0</v>
      </c>
      <c r="AL331" s="1024">
        <f t="shared" ca="1" si="85"/>
        <v>0</v>
      </c>
      <c r="AM331" s="1024">
        <f t="shared" ca="1" si="85"/>
        <v>0</v>
      </c>
      <c r="AN331" s="1024">
        <f t="shared" ca="1" si="85"/>
        <v>0</v>
      </c>
      <c r="AO331" s="1024">
        <f t="shared" ca="1" si="85"/>
        <v>0</v>
      </c>
      <c r="AP331" s="1024">
        <f t="shared" ca="1" si="85"/>
        <v>0</v>
      </c>
      <c r="AQ331" s="1024">
        <f t="shared" ca="1" si="85"/>
        <v>0</v>
      </c>
      <c r="AR331" s="1024">
        <f t="shared" ca="1" si="85"/>
        <v>0</v>
      </c>
      <c r="AS331" s="1024">
        <f t="shared" ca="1" si="85"/>
        <v>0</v>
      </c>
      <c r="AT331" s="1024">
        <f t="shared" ca="1" si="85"/>
        <v>0</v>
      </c>
      <c r="AU331" s="1024">
        <f t="shared" ca="1" si="85"/>
        <v>0</v>
      </c>
      <c r="AV331" s="1024">
        <f t="shared" ca="1" si="85"/>
        <v>0</v>
      </c>
      <c r="AW331" s="1024">
        <f t="shared" ca="1" si="85"/>
        <v>0</v>
      </c>
      <c r="AX331" s="1024">
        <f t="shared" ca="1" si="85"/>
        <v>0</v>
      </c>
    </row>
    <row r="332" spans="1:50" ht="15" customHeight="1">
      <c r="A332" s="397"/>
      <c r="B332" s="694"/>
      <c r="C332" s="372"/>
      <c r="D332" s="1024"/>
      <c r="E332" s="1024" t="str">
        <f>Translate!$E$210</f>
        <v>Interest expensed to P&amp;L</v>
      </c>
      <c r="F332" s="1024"/>
      <c r="G332" s="22" t="str">
        <f xml:space="preserve"> Translate!E$10</f>
        <v>US$ mn</v>
      </c>
      <c r="H332" s="22"/>
      <c r="I332" s="1024">
        <f ca="1" xml:space="preserve"> SUM(K332:AX332)</f>
        <v>100.23959742332414</v>
      </c>
      <c r="J332" s="1024"/>
      <c r="K332" s="1024">
        <f t="shared" ref="K332:AX332" ca="1" si="86" xml:space="preserve"> K329 * ( K330 &gt; 0 )</f>
        <v>0</v>
      </c>
      <c r="L332" s="1024">
        <f t="shared" ca="1" si="86"/>
        <v>0</v>
      </c>
      <c r="M332" s="1024">
        <f t="shared" ca="1" si="86"/>
        <v>0</v>
      </c>
      <c r="N332" s="1024">
        <f t="shared" ca="1" si="86"/>
        <v>0</v>
      </c>
      <c r="O332" s="1024">
        <f t="shared" ca="1" si="86"/>
        <v>9.4553287907400208</v>
      </c>
      <c r="P332" s="1024">
        <f t="shared" ca="1" si="86"/>
        <v>19.594907724834592</v>
      </c>
      <c r="Q332" s="1024">
        <f t="shared" ca="1" si="86"/>
        <v>23.729786969249851</v>
      </c>
      <c r="R332" s="1024">
        <f t="shared" ca="1" si="86"/>
        <v>18.983829575399881</v>
      </c>
      <c r="S332" s="1024">
        <f t="shared" ca="1" si="86"/>
        <v>14.237872181549911</v>
      </c>
      <c r="T332" s="1024">
        <f t="shared" ca="1" si="86"/>
        <v>9.4919147876999403</v>
      </c>
      <c r="U332" s="1024">
        <f t="shared" ca="1" si="86"/>
        <v>4.7459573938499702</v>
      </c>
      <c r="V332" s="1024">
        <f t="shared" ca="1" si="86"/>
        <v>0</v>
      </c>
      <c r="W332" s="1024">
        <f t="shared" ca="1" si="86"/>
        <v>0</v>
      </c>
      <c r="X332" s="1024">
        <f t="shared" ca="1" si="86"/>
        <v>0</v>
      </c>
      <c r="Y332" s="1024">
        <f t="shared" ca="1" si="86"/>
        <v>0</v>
      </c>
      <c r="Z332" s="1024">
        <f t="shared" ca="1" si="86"/>
        <v>0</v>
      </c>
      <c r="AA332" s="1024">
        <f t="shared" ca="1" si="86"/>
        <v>0</v>
      </c>
      <c r="AB332" s="1024">
        <f t="shared" ca="1" si="86"/>
        <v>0</v>
      </c>
      <c r="AC332" s="1024">
        <f t="shared" ca="1" si="86"/>
        <v>0</v>
      </c>
      <c r="AD332" s="1024">
        <f t="shared" ca="1" si="86"/>
        <v>0</v>
      </c>
      <c r="AE332" s="1024">
        <f t="shared" ca="1" si="86"/>
        <v>0</v>
      </c>
      <c r="AF332" s="1024">
        <f t="shared" ca="1" si="86"/>
        <v>0</v>
      </c>
      <c r="AG332" s="1024">
        <f t="shared" ca="1" si="86"/>
        <v>0</v>
      </c>
      <c r="AH332" s="1024">
        <f t="shared" ca="1" si="86"/>
        <v>0</v>
      </c>
      <c r="AI332" s="1024">
        <f t="shared" ca="1" si="86"/>
        <v>0</v>
      </c>
      <c r="AJ332" s="1024">
        <f t="shared" ca="1" si="86"/>
        <v>0</v>
      </c>
      <c r="AK332" s="1024">
        <f t="shared" ca="1" si="86"/>
        <v>0</v>
      </c>
      <c r="AL332" s="1024">
        <f t="shared" ca="1" si="86"/>
        <v>0</v>
      </c>
      <c r="AM332" s="1024">
        <f t="shared" ca="1" si="86"/>
        <v>0</v>
      </c>
      <c r="AN332" s="1024">
        <f t="shared" ca="1" si="86"/>
        <v>0</v>
      </c>
      <c r="AO332" s="1024">
        <f t="shared" ca="1" si="86"/>
        <v>0</v>
      </c>
      <c r="AP332" s="1024">
        <f t="shared" ca="1" si="86"/>
        <v>0</v>
      </c>
      <c r="AQ332" s="1024">
        <f t="shared" ca="1" si="86"/>
        <v>0</v>
      </c>
      <c r="AR332" s="1024">
        <f t="shared" ca="1" si="86"/>
        <v>0</v>
      </c>
      <c r="AS332" s="1024">
        <f t="shared" ca="1" si="86"/>
        <v>0</v>
      </c>
      <c r="AT332" s="1024">
        <f t="shared" ca="1" si="86"/>
        <v>0</v>
      </c>
      <c r="AU332" s="1024">
        <f t="shared" ca="1" si="86"/>
        <v>0</v>
      </c>
      <c r="AV332" s="1024">
        <f t="shared" ca="1" si="86"/>
        <v>0</v>
      </c>
      <c r="AW332" s="1024">
        <f t="shared" ca="1" si="86"/>
        <v>0</v>
      </c>
      <c r="AX332" s="1024">
        <f t="shared" ca="1" si="86"/>
        <v>0</v>
      </c>
    </row>
    <row r="333" spans="1:50" ht="15" customHeight="1">
      <c r="A333" s="347"/>
      <c r="B333" s="507"/>
      <c r="C333" s="333"/>
      <c r="D333" s="1112"/>
      <c r="E333" s="375"/>
      <c r="F333" s="407"/>
      <c r="G333" s="346"/>
      <c r="H333" s="346"/>
      <c r="I333" s="1112"/>
      <c r="J333" s="1125"/>
      <c r="K333" s="1048"/>
      <c r="L333" s="1048"/>
      <c r="M333" s="1048"/>
      <c r="N333" s="1048"/>
      <c r="O333" s="1048"/>
      <c r="P333" s="1048"/>
      <c r="Q333" s="1048"/>
      <c r="R333" s="1048"/>
      <c r="S333" s="1048"/>
      <c r="T333" s="1048"/>
      <c r="U333" s="1048"/>
      <c r="V333" s="1048"/>
      <c r="W333" s="1048"/>
      <c r="X333" s="1048"/>
      <c r="Y333" s="1048"/>
      <c r="Z333" s="1048"/>
      <c r="AA333" s="1048"/>
      <c r="AB333" s="1048"/>
      <c r="AC333" s="1048"/>
      <c r="AD333" s="1048"/>
      <c r="AE333" s="1048"/>
      <c r="AF333" s="1048"/>
      <c r="AG333" s="1048"/>
      <c r="AH333" s="1048"/>
      <c r="AI333" s="1048"/>
      <c r="AJ333" s="1048"/>
      <c r="AK333" s="1048"/>
      <c r="AL333" s="1048"/>
      <c r="AM333" s="1048"/>
      <c r="AN333" s="1048"/>
      <c r="AO333" s="1048"/>
      <c r="AP333" s="1048"/>
      <c r="AQ333" s="1048"/>
      <c r="AR333" s="1048"/>
      <c r="AS333" s="1048"/>
      <c r="AT333" s="1048"/>
      <c r="AU333" s="1048"/>
      <c r="AV333" s="1048"/>
      <c r="AW333" s="1048"/>
      <c r="AX333" s="1048"/>
    </row>
    <row r="334" spans="1:50" s="4" customFormat="1" ht="15" customHeight="1">
      <c r="A334" s="72"/>
      <c r="B334" s="308"/>
      <c r="C334" s="71"/>
      <c r="D334" s="578"/>
      <c r="E334" s="22" t="str">
        <f xml:space="preserve"> E329 &amp; ": " &amp; Translate!$E$19</f>
        <v>Interest charged: Total</v>
      </c>
      <c r="F334" s="60">
        <f ca="1" xml:space="preserve"> SUM(K329:AX329)</f>
        <v>101.55814836332416</v>
      </c>
      <c r="G334" s="12" t="str">
        <f xml:space="preserve"> G329</f>
        <v>US$ mn</v>
      </c>
      <c r="H334" s="12"/>
      <c r="I334" s="578"/>
      <c r="J334" s="579"/>
      <c r="K334" s="11"/>
      <c r="L334" s="11"/>
      <c r="M334" s="11"/>
      <c r="N334" s="11"/>
      <c r="O334" s="11"/>
      <c r="P334" s="11"/>
      <c r="Q334" s="11"/>
      <c r="R334" s="11"/>
      <c r="S334" s="11"/>
      <c r="T334" s="11"/>
      <c r="U334" s="11"/>
      <c r="V334" s="11"/>
      <c r="W334" s="11"/>
      <c r="X334" s="11"/>
      <c r="Y334" s="11"/>
      <c r="Z334" s="11"/>
      <c r="AA334" s="11"/>
      <c r="AB334" s="11"/>
      <c r="AC334" s="11"/>
      <c r="AD334" s="11"/>
      <c r="AE334" s="11"/>
      <c r="AF334" s="11"/>
      <c r="AG334" s="11"/>
      <c r="AH334" s="11"/>
      <c r="AI334" s="11"/>
      <c r="AJ334" s="11"/>
      <c r="AK334" s="11"/>
      <c r="AL334" s="11"/>
      <c r="AM334" s="11"/>
      <c r="AN334" s="11"/>
      <c r="AO334" s="11"/>
      <c r="AP334" s="11"/>
      <c r="AQ334" s="11"/>
      <c r="AR334" s="11"/>
      <c r="AS334" s="11"/>
      <c r="AT334" s="11"/>
      <c r="AU334" s="11"/>
      <c r="AV334" s="11"/>
      <c r="AW334" s="11"/>
      <c r="AX334" s="11"/>
    </row>
    <row r="335" spans="1:50" s="4" customFormat="1" ht="15" customHeight="1">
      <c r="A335" s="73"/>
      <c r="B335" s="308"/>
      <c r="C335" s="75"/>
      <c r="D335" s="187"/>
      <c r="E335" s="22" t="str">
        <f xml:space="preserve"> E331 &amp; ": " &amp; Translate!$E$19</f>
        <v>Interest capitalized into development costs: Total</v>
      </c>
      <c r="F335" s="60">
        <f ca="1" xml:space="preserve"> SUM(K331:AX331)</f>
        <v>1.3185509400000031</v>
      </c>
      <c r="G335" s="12" t="str">
        <f xml:space="preserve"> G331</f>
        <v>US$ mn</v>
      </c>
      <c r="H335" s="12"/>
      <c r="I335" s="187"/>
      <c r="J335" s="580"/>
      <c r="K335" s="85"/>
      <c r="L335" s="85"/>
      <c r="M335" s="85"/>
      <c r="N335" s="85"/>
      <c r="O335" s="85"/>
      <c r="P335" s="85"/>
      <c r="Q335" s="85"/>
      <c r="R335" s="85"/>
      <c r="S335" s="85"/>
      <c r="T335" s="85"/>
      <c r="U335" s="85"/>
      <c r="V335" s="85"/>
      <c r="W335" s="85"/>
      <c r="X335" s="85"/>
      <c r="Y335" s="85"/>
      <c r="Z335" s="85"/>
      <c r="AA335" s="85"/>
      <c r="AB335" s="85"/>
      <c r="AC335" s="85"/>
      <c r="AD335" s="85"/>
      <c r="AE335" s="85"/>
      <c r="AF335" s="85"/>
      <c r="AG335" s="85"/>
      <c r="AH335" s="85"/>
      <c r="AI335" s="85"/>
      <c r="AJ335" s="85"/>
      <c r="AK335" s="85"/>
      <c r="AL335" s="85"/>
      <c r="AM335" s="85"/>
      <c r="AN335" s="85"/>
      <c r="AO335" s="85"/>
      <c r="AP335" s="85"/>
      <c r="AQ335" s="85"/>
      <c r="AR335" s="85"/>
      <c r="AS335" s="85"/>
      <c r="AT335" s="85"/>
      <c r="AU335" s="85"/>
      <c r="AV335" s="85"/>
      <c r="AW335" s="85"/>
      <c r="AX335" s="85"/>
    </row>
    <row r="336" spans="1:50" s="4" customFormat="1" ht="15" customHeight="1">
      <c r="A336" s="73"/>
      <c r="B336" s="308"/>
      <c r="C336" s="75"/>
      <c r="D336" s="187"/>
      <c r="E336" s="22" t="str">
        <f xml:space="preserve"> E332 &amp; ": " &amp; Translate!$E$19</f>
        <v>Interest expensed to P&amp;L: Total</v>
      </c>
      <c r="F336" s="60">
        <f ca="1" xml:space="preserve"> SUM(K332:AX332)</f>
        <v>100.23959742332414</v>
      </c>
      <c r="G336" s="12" t="str">
        <f xml:space="preserve"> G332</f>
        <v>US$ mn</v>
      </c>
      <c r="H336" s="12"/>
      <c r="I336" s="187"/>
      <c r="J336" s="580"/>
      <c r="K336" s="85"/>
      <c r="L336" s="85"/>
      <c r="M336" s="85"/>
      <c r="N336" s="85"/>
      <c r="O336" s="85"/>
      <c r="P336" s="85"/>
      <c r="Q336" s="85"/>
      <c r="R336" s="85"/>
      <c r="S336" s="85"/>
      <c r="T336" s="85"/>
      <c r="U336" s="85"/>
      <c r="V336" s="85"/>
      <c r="W336" s="85"/>
      <c r="X336" s="85"/>
      <c r="Y336" s="85"/>
      <c r="Z336" s="85"/>
      <c r="AA336" s="85"/>
      <c r="AB336" s="85"/>
      <c r="AC336" s="85"/>
      <c r="AD336" s="85"/>
      <c r="AE336" s="85"/>
      <c r="AF336" s="85"/>
      <c r="AG336" s="85"/>
      <c r="AH336" s="85"/>
      <c r="AI336" s="85"/>
      <c r="AJ336" s="85"/>
      <c r="AK336" s="85"/>
      <c r="AL336" s="85"/>
      <c r="AM336" s="85"/>
      <c r="AN336" s="85"/>
      <c r="AO336" s="85"/>
      <c r="AP336" s="85"/>
      <c r="AQ336" s="85"/>
      <c r="AR336" s="85"/>
      <c r="AS336" s="85"/>
      <c r="AT336" s="85"/>
      <c r="AU336" s="85"/>
      <c r="AV336" s="85"/>
      <c r="AW336" s="85"/>
      <c r="AX336" s="85"/>
    </row>
    <row r="337" spans="1:50" ht="15" customHeight="1">
      <c r="A337" s="347"/>
      <c r="B337" s="507"/>
      <c r="C337" s="333"/>
      <c r="D337" s="1112"/>
      <c r="E337" s="1024" t="str">
        <f xml:space="preserve"> Translate!$E$444 &amp; ": " &amp; Translate!$E$211</f>
        <v>Check: interest allocation</v>
      </c>
      <c r="F337" s="62">
        <f ca="1" xml:space="preserve"> IF( ABS( F334 - F335 - F336) &gt; CHK_TOL, 1, 0)</f>
        <v>0</v>
      </c>
      <c r="G337" s="346" t="str">
        <f xml:space="preserve"> Translate!E$444</f>
        <v>Check</v>
      </c>
      <c r="H337" s="346"/>
      <c r="I337" s="1112"/>
      <c r="J337" s="1125"/>
      <c r="K337" s="1048"/>
      <c r="L337" s="1048"/>
      <c r="M337" s="1048"/>
      <c r="N337" s="1048"/>
      <c r="O337" s="1048"/>
      <c r="P337" s="1048"/>
      <c r="Q337" s="1048"/>
      <c r="R337" s="1048"/>
      <c r="S337" s="1048"/>
      <c r="T337" s="1048"/>
      <c r="U337" s="1048"/>
      <c r="V337" s="1048"/>
      <c r="W337" s="1048"/>
      <c r="X337" s="1048"/>
      <c r="Y337" s="1048"/>
      <c r="Z337" s="1048"/>
      <c r="AA337" s="1048"/>
      <c r="AB337" s="1048"/>
      <c r="AC337" s="1048"/>
      <c r="AD337" s="1048"/>
      <c r="AE337" s="1048"/>
      <c r="AF337" s="1048"/>
      <c r="AG337" s="1048"/>
      <c r="AH337" s="1048"/>
      <c r="AI337" s="1048"/>
      <c r="AJ337" s="1048"/>
      <c r="AK337" s="1048"/>
      <c r="AL337" s="1048"/>
      <c r="AM337" s="1048"/>
      <c r="AN337" s="1048"/>
      <c r="AO337" s="1048"/>
      <c r="AP337" s="1048"/>
      <c r="AQ337" s="1048"/>
      <c r="AR337" s="1048"/>
      <c r="AS337" s="1048"/>
      <c r="AT337" s="1048"/>
      <c r="AU337" s="1048"/>
      <c r="AV337" s="1048"/>
      <c r="AW337" s="1048"/>
      <c r="AX337" s="1048"/>
    </row>
    <row r="338" spans="1:50" ht="15" customHeight="1">
      <c r="A338" s="347"/>
      <c r="B338" s="507"/>
      <c r="C338" s="333"/>
      <c r="D338" s="1112"/>
      <c r="E338" s="375"/>
      <c r="F338" s="407"/>
      <c r="G338" s="346"/>
      <c r="H338" s="346"/>
      <c r="I338" s="1112"/>
      <c r="J338" s="1125"/>
      <c r="K338" s="1048"/>
      <c r="L338" s="1048"/>
      <c r="M338" s="1048"/>
      <c r="N338" s="1048"/>
      <c r="O338" s="1048"/>
      <c r="P338" s="1048"/>
      <c r="Q338" s="1048"/>
      <c r="R338" s="1048"/>
      <c r="S338" s="1048"/>
      <c r="T338" s="1048"/>
      <c r="U338" s="1048"/>
      <c r="V338" s="1048"/>
      <c r="W338" s="1048"/>
      <c r="X338" s="1048"/>
      <c r="Y338" s="1048"/>
      <c r="Z338" s="1048"/>
      <c r="AA338" s="1048"/>
      <c r="AB338" s="1048"/>
      <c r="AC338" s="1048"/>
      <c r="AD338" s="1048"/>
      <c r="AE338" s="1048"/>
      <c r="AF338" s="1048"/>
      <c r="AG338" s="1048"/>
      <c r="AH338" s="1048"/>
      <c r="AI338" s="1048"/>
      <c r="AJ338" s="1048"/>
      <c r="AK338" s="1048"/>
      <c r="AL338" s="1048"/>
      <c r="AM338" s="1048"/>
      <c r="AN338" s="1048"/>
      <c r="AO338" s="1048"/>
      <c r="AP338" s="1048"/>
      <c r="AQ338" s="1048"/>
      <c r="AR338" s="1048"/>
      <c r="AS338" s="1048"/>
      <c r="AT338" s="1048"/>
      <c r="AU338" s="1048"/>
      <c r="AV338" s="1048"/>
      <c r="AW338" s="1048"/>
      <c r="AX338" s="1048"/>
    </row>
    <row r="339" spans="1:50" ht="15" customHeight="1">
      <c r="A339" s="347"/>
      <c r="B339" s="507" t="str">
        <f>Translate!$E$71</f>
        <v>Allocation of loan transactions to mining company</v>
      </c>
      <c r="C339" s="333"/>
      <c r="D339" s="1112"/>
      <c r="E339" s="375"/>
      <c r="F339" s="407"/>
      <c r="G339" s="346"/>
      <c r="H339" s="346"/>
      <c r="I339" s="1112"/>
      <c r="J339" s="1125"/>
      <c r="K339" s="1048"/>
      <c r="L339" s="1048"/>
      <c r="M339" s="1048"/>
      <c r="N339" s="1048"/>
      <c r="O339" s="1048"/>
      <c r="P339" s="1048"/>
      <c r="Q339" s="1048"/>
      <c r="R339" s="1048"/>
      <c r="S339" s="1048"/>
      <c r="T339" s="1048"/>
      <c r="U339" s="1048"/>
      <c r="V339" s="1048"/>
      <c r="W339" s="1048"/>
      <c r="X339" s="1048"/>
      <c r="Y339" s="1048"/>
      <c r="Z339" s="1048"/>
      <c r="AA339" s="1048"/>
      <c r="AB339" s="1048"/>
      <c r="AC339" s="1048"/>
      <c r="AD339" s="1048"/>
      <c r="AE339" s="1048"/>
      <c r="AF339" s="1048"/>
      <c r="AG339" s="1048"/>
      <c r="AH339" s="1048"/>
      <c r="AI339" s="1048"/>
      <c r="AJ339" s="1048"/>
      <c r="AK339" s="1048"/>
      <c r="AL339" s="1048"/>
      <c r="AM339" s="1048"/>
      <c r="AN339" s="1048"/>
      <c r="AO339" s="1048"/>
      <c r="AP339" s="1048"/>
      <c r="AQ339" s="1048"/>
      <c r="AR339" s="1048"/>
      <c r="AS339" s="1048"/>
      <c r="AT339" s="1048"/>
      <c r="AU339" s="1048"/>
      <c r="AV339" s="1048"/>
      <c r="AW339" s="1048"/>
      <c r="AX339" s="1048"/>
    </row>
    <row r="340" spans="1:50" ht="15" customHeight="1">
      <c r="A340" s="347"/>
      <c r="B340" s="507"/>
      <c r="C340" s="333"/>
      <c r="D340" s="1112"/>
      <c r="E340" s="1024" t="str">
        <f xml:space="preserve"> E$319 &amp;  ": " &amp; Translate!$E$459</f>
        <v>Loan cashflows before interest withholding tax: Mining company</v>
      </c>
      <c r="F340" s="375"/>
      <c r="G340" s="1024" t="str">
        <f xml:space="preserve"> Translate!E$10</f>
        <v>US$ mn</v>
      </c>
      <c r="H340" s="22"/>
      <c r="I340" s="1024">
        <f ca="1" xml:space="preserve"> SUM(K340:AX340)</f>
        <v>101.55814836332412</v>
      </c>
      <c r="J340" s="1024"/>
      <c r="K340" s="1024">
        <f t="shared" ref="K340:AX340" ca="1" si="87" xml:space="preserve"> K319</f>
        <v>0</v>
      </c>
      <c r="L340" s="1024">
        <f t="shared" ca="1" si="87"/>
        <v>0</v>
      </c>
      <c r="M340" s="1024">
        <f t="shared" ca="1" si="87"/>
        <v>0</v>
      </c>
      <c r="N340" s="1024">
        <f t="shared" ca="1" si="87"/>
        <v>-37.142279999999992</v>
      </c>
      <c r="O340" s="1024">
        <f t="shared" ca="1" si="87"/>
        <v>-189.42562799999999</v>
      </c>
      <c r="P340" s="1024">
        <f t="shared" ca="1" si="87"/>
        <v>-77.285656223999993</v>
      </c>
      <c r="Q340" s="1024">
        <f t="shared" ca="1" si="87"/>
        <v>90.574257305164764</v>
      </c>
      <c r="R340" s="1024">
        <f t="shared" ca="1" si="87"/>
        <v>85.828299911314787</v>
      </c>
      <c r="S340" s="1024">
        <f t="shared" ca="1" si="87"/>
        <v>81.082342517464809</v>
      </c>
      <c r="T340" s="1024">
        <f t="shared" ca="1" si="87"/>
        <v>76.336385123614846</v>
      </c>
      <c r="U340" s="1024">
        <f t="shared" ca="1" si="87"/>
        <v>71.590427729764883</v>
      </c>
      <c r="V340" s="1024">
        <f t="shared" ca="1" si="87"/>
        <v>0</v>
      </c>
      <c r="W340" s="1024">
        <f t="shared" ca="1" si="87"/>
        <v>0</v>
      </c>
      <c r="X340" s="1024">
        <f t="shared" ca="1" si="87"/>
        <v>0</v>
      </c>
      <c r="Y340" s="1024">
        <f t="shared" ca="1" si="87"/>
        <v>0</v>
      </c>
      <c r="Z340" s="1024">
        <f t="shared" ca="1" si="87"/>
        <v>0</v>
      </c>
      <c r="AA340" s="1024">
        <f t="shared" ca="1" si="87"/>
        <v>0</v>
      </c>
      <c r="AB340" s="1024">
        <f t="shared" ca="1" si="87"/>
        <v>0</v>
      </c>
      <c r="AC340" s="1024">
        <f t="shared" ca="1" si="87"/>
        <v>0</v>
      </c>
      <c r="AD340" s="1024">
        <f t="shared" ca="1" si="87"/>
        <v>0</v>
      </c>
      <c r="AE340" s="1024">
        <f t="shared" ca="1" si="87"/>
        <v>0</v>
      </c>
      <c r="AF340" s="1024">
        <f t="shared" ca="1" si="87"/>
        <v>0</v>
      </c>
      <c r="AG340" s="1024">
        <f t="shared" ca="1" si="87"/>
        <v>0</v>
      </c>
      <c r="AH340" s="1024">
        <f t="shared" ca="1" si="87"/>
        <v>0</v>
      </c>
      <c r="AI340" s="1024">
        <f t="shared" ca="1" si="87"/>
        <v>0</v>
      </c>
      <c r="AJ340" s="1024">
        <f t="shared" ca="1" si="87"/>
        <v>0</v>
      </c>
      <c r="AK340" s="1024">
        <f t="shared" ca="1" si="87"/>
        <v>0</v>
      </c>
      <c r="AL340" s="1024">
        <f t="shared" ca="1" si="87"/>
        <v>0</v>
      </c>
      <c r="AM340" s="1024">
        <f t="shared" ca="1" si="87"/>
        <v>0</v>
      </c>
      <c r="AN340" s="1024">
        <f t="shared" ca="1" si="87"/>
        <v>0</v>
      </c>
      <c r="AO340" s="1024">
        <f t="shared" ca="1" si="87"/>
        <v>0</v>
      </c>
      <c r="AP340" s="1024">
        <f t="shared" ca="1" si="87"/>
        <v>0</v>
      </c>
      <c r="AQ340" s="1024">
        <f t="shared" ca="1" si="87"/>
        <v>0</v>
      </c>
      <c r="AR340" s="1024">
        <f t="shared" ca="1" si="87"/>
        <v>0</v>
      </c>
      <c r="AS340" s="1024">
        <f t="shared" ca="1" si="87"/>
        <v>0</v>
      </c>
      <c r="AT340" s="1024">
        <f t="shared" ca="1" si="87"/>
        <v>0</v>
      </c>
      <c r="AU340" s="1024">
        <f t="shared" ca="1" si="87"/>
        <v>0</v>
      </c>
      <c r="AV340" s="1024">
        <f t="shared" ca="1" si="87"/>
        <v>0</v>
      </c>
      <c r="AW340" s="1024">
        <f t="shared" ca="1" si="87"/>
        <v>0</v>
      </c>
      <c r="AX340" s="1024">
        <f t="shared" ca="1" si="87"/>
        <v>0</v>
      </c>
    </row>
    <row r="341" spans="1:50" ht="15" customHeight="1">
      <c r="A341" s="347"/>
      <c r="B341" s="507"/>
      <c r="C341" s="333"/>
      <c r="D341" s="1112"/>
      <c r="E341" s="1024" t="str">
        <f xml:space="preserve"> E$331 &amp;  ": " &amp; Translate!$E$459</f>
        <v>Interest capitalized into development costs: Mining company</v>
      </c>
      <c r="F341" s="375"/>
      <c r="G341" s="1024" t="str">
        <f xml:space="preserve"> Translate!E$10</f>
        <v>US$ mn</v>
      </c>
      <c r="H341" s="22"/>
      <c r="I341" s="1024">
        <f ca="1" xml:space="preserve"> SUM(K341:AX341)</f>
        <v>1.3185509400000031</v>
      </c>
      <c r="J341" s="1024"/>
      <c r="K341" s="1024">
        <f t="shared" ref="K341:AX341" ca="1" si="88" xml:space="preserve"> K331</f>
        <v>0</v>
      </c>
      <c r="L341" s="1024">
        <f t="shared" ca="1" si="88"/>
        <v>0</v>
      </c>
      <c r="M341" s="1024">
        <f t="shared" ca="1" si="88"/>
        <v>0</v>
      </c>
      <c r="N341" s="1024">
        <f t="shared" ca="1" si="88"/>
        <v>1.3185509400000031</v>
      </c>
      <c r="O341" s="1024">
        <f t="shared" ca="1" si="88"/>
        <v>0</v>
      </c>
      <c r="P341" s="1024">
        <f t="shared" ca="1" si="88"/>
        <v>0</v>
      </c>
      <c r="Q341" s="1024">
        <f t="shared" ca="1" si="88"/>
        <v>0</v>
      </c>
      <c r="R341" s="1024">
        <f t="shared" ca="1" si="88"/>
        <v>0</v>
      </c>
      <c r="S341" s="1024">
        <f t="shared" ca="1" si="88"/>
        <v>0</v>
      </c>
      <c r="T341" s="1024">
        <f t="shared" ca="1" si="88"/>
        <v>0</v>
      </c>
      <c r="U341" s="1024">
        <f ca="1" xml:space="preserve"> U331</f>
        <v>0</v>
      </c>
      <c r="V341" s="1024">
        <f t="shared" ca="1" si="88"/>
        <v>0</v>
      </c>
      <c r="W341" s="1024">
        <f t="shared" ca="1" si="88"/>
        <v>0</v>
      </c>
      <c r="X341" s="1024">
        <f t="shared" ca="1" si="88"/>
        <v>0</v>
      </c>
      <c r="Y341" s="1024">
        <f t="shared" ca="1" si="88"/>
        <v>0</v>
      </c>
      <c r="Z341" s="1024">
        <f t="shared" ca="1" si="88"/>
        <v>0</v>
      </c>
      <c r="AA341" s="1024">
        <f t="shared" ca="1" si="88"/>
        <v>0</v>
      </c>
      <c r="AB341" s="1024">
        <f t="shared" ca="1" si="88"/>
        <v>0</v>
      </c>
      <c r="AC341" s="1024">
        <f t="shared" ca="1" si="88"/>
        <v>0</v>
      </c>
      <c r="AD341" s="1024">
        <f t="shared" ca="1" si="88"/>
        <v>0</v>
      </c>
      <c r="AE341" s="1024">
        <f t="shared" ca="1" si="88"/>
        <v>0</v>
      </c>
      <c r="AF341" s="1024">
        <f t="shared" ca="1" si="88"/>
        <v>0</v>
      </c>
      <c r="AG341" s="1024">
        <f t="shared" ca="1" si="88"/>
        <v>0</v>
      </c>
      <c r="AH341" s="1024">
        <f t="shared" ca="1" si="88"/>
        <v>0</v>
      </c>
      <c r="AI341" s="1024">
        <f t="shared" ca="1" si="88"/>
        <v>0</v>
      </c>
      <c r="AJ341" s="1024">
        <f t="shared" ca="1" si="88"/>
        <v>0</v>
      </c>
      <c r="AK341" s="1024">
        <f t="shared" ca="1" si="88"/>
        <v>0</v>
      </c>
      <c r="AL341" s="1024">
        <f t="shared" ca="1" si="88"/>
        <v>0</v>
      </c>
      <c r="AM341" s="1024">
        <f t="shared" ca="1" si="88"/>
        <v>0</v>
      </c>
      <c r="AN341" s="1024">
        <f t="shared" ca="1" si="88"/>
        <v>0</v>
      </c>
      <c r="AO341" s="1024">
        <f t="shared" ca="1" si="88"/>
        <v>0</v>
      </c>
      <c r="AP341" s="1024">
        <f t="shared" ca="1" si="88"/>
        <v>0</v>
      </c>
      <c r="AQ341" s="1024">
        <f t="shared" ca="1" si="88"/>
        <v>0</v>
      </c>
      <c r="AR341" s="1024">
        <f t="shared" ca="1" si="88"/>
        <v>0</v>
      </c>
      <c r="AS341" s="1024">
        <f t="shared" ca="1" si="88"/>
        <v>0</v>
      </c>
      <c r="AT341" s="1024">
        <f t="shared" ca="1" si="88"/>
        <v>0</v>
      </c>
      <c r="AU341" s="1024">
        <f t="shared" ca="1" si="88"/>
        <v>0</v>
      </c>
      <c r="AV341" s="1024">
        <f t="shared" ca="1" si="88"/>
        <v>0</v>
      </c>
      <c r="AW341" s="1024">
        <f t="shared" ca="1" si="88"/>
        <v>0</v>
      </c>
      <c r="AX341" s="1024">
        <f t="shared" ca="1" si="88"/>
        <v>0</v>
      </c>
    </row>
    <row r="342" spans="1:50" ht="15" customHeight="1">
      <c r="A342" s="347"/>
      <c r="B342" s="507"/>
      <c r="C342" s="333"/>
      <c r="D342" s="1112"/>
      <c r="E342" s="1024" t="str">
        <f xml:space="preserve"> E$332 &amp;  ": " &amp; Translate!$E$459</f>
        <v>Interest expensed to P&amp;L: Mining company</v>
      </c>
      <c r="F342" s="375"/>
      <c r="G342" s="1024" t="str">
        <f xml:space="preserve"> Translate!E$10</f>
        <v>US$ mn</v>
      </c>
      <c r="H342" s="22"/>
      <c r="I342" s="1024">
        <f ca="1" xml:space="preserve"> SUM(K342:AX342)</f>
        <v>100.23959742332414</v>
      </c>
      <c r="J342" s="1024"/>
      <c r="K342" s="1024">
        <f t="shared" ref="K342:AX342" ca="1" si="89" xml:space="preserve"> K332</f>
        <v>0</v>
      </c>
      <c r="L342" s="1024">
        <f t="shared" ca="1" si="89"/>
        <v>0</v>
      </c>
      <c r="M342" s="1024">
        <f t="shared" ca="1" si="89"/>
        <v>0</v>
      </c>
      <c r="N342" s="1024">
        <f t="shared" ca="1" si="89"/>
        <v>0</v>
      </c>
      <c r="O342" s="1024">
        <f t="shared" ca="1" si="89"/>
        <v>9.4553287907400208</v>
      </c>
      <c r="P342" s="1024">
        <f t="shared" ca="1" si="89"/>
        <v>19.594907724834592</v>
      </c>
      <c r="Q342" s="1024">
        <f t="shared" ca="1" si="89"/>
        <v>23.729786969249851</v>
      </c>
      <c r="R342" s="1024">
        <f t="shared" ca="1" si="89"/>
        <v>18.983829575399881</v>
      </c>
      <c r="S342" s="1024">
        <f t="shared" ca="1" si="89"/>
        <v>14.237872181549911</v>
      </c>
      <c r="T342" s="1024">
        <f t="shared" ca="1" si="89"/>
        <v>9.4919147876999403</v>
      </c>
      <c r="U342" s="1024">
        <f t="shared" ca="1" si="89"/>
        <v>4.7459573938499702</v>
      </c>
      <c r="V342" s="1024">
        <f t="shared" ca="1" si="89"/>
        <v>0</v>
      </c>
      <c r="W342" s="1024">
        <f t="shared" ca="1" si="89"/>
        <v>0</v>
      </c>
      <c r="X342" s="1024">
        <f t="shared" ca="1" si="89"/>
        <v>0</v>
      </c>
      <c r="Y342" s="1024">
        <f t="shared" ca="1" si="89"/>
        <v>0</v>
      </c>
      <c r="Z342" s="1024">
        <f t="shared" ca="1" si="89"/>
        <v>0</v>
      </c>
      <c r="AA342" s="1024">
        <f t="shared" ca="1" si="89"/>
        <v>0</v>
      </c>
      <c r="AB342" s="1024">
        <f t="shared" ca="1" si="89"/>
        <v>0</v>
      </c>
      <c r="AC342" s="1024">
        <f t="shared" ca="1" si="89"/>
        <v>0</v>
      </c>
      <c r="AD342" s="1024">
        <f t="shared" ca="1" si="89"/>
        <v>0</v>
      </c>
      <c r="AE342" s="1024">
        <f t="shared" ca="1" si="89"/>
        <v>0</v>
      </c>
      <c r="AF342" s="1024">
        <f t="shared" ca="1" si="89"/>
        <v>0</v>
      </c>
      <c r="AG342" s="1024">
        <f t="shared" ca="1" si="89"/>
        <v>0</v>
      </c>
      <c r="AH342" s="1024">
        <f t="shared" ca="1" si="89"/>
        <v>0</v>
      </c>
      <c r="AI342" s="1024">
        <f t="shared" ca="1" si="89"/>
        <v>0</v>
      </c>
      <c r="AJ342" s="1024">
        <f t="shared" ca="1" si="89"/>
        <v>0</v>
      </c>
      <c r="AK342" s="1024">
        <f t="shared" ca="1" si="89"/>
        <v>0</v>
      </c>
      <c r="AL342" s="1024">
        <f t="shared" ca="1" si="89"/>
        <v>0</v>
      </c>
      <c r="AM342" s="1024">
        <f t="shared" ca="1" si="89"/>
        <v>0</v>
      </c>
      <c r="AN342" s="1024">
        <f t="shared" ca="1" si="89"/>
        <v>0</v>
      </c>
      <c r="AO342" s="1024">
        <f t="shared" ca="1" si="89"/>
        <v>0</v>
      </c>
      <c r="AP342" s="1024">
        <f t="shared" ca="1" si="89"/>
        <v>0</v>
      </c>
      <c r="AQ342" s="1024">
        <f t="shared" ca="1" si="89"/>
        <v>0</v>
      </c>
      <c r="AR342" s="1024">
        <f t="shared" ca="1" si="89"/>
        <v>0</v>
      </c>
      <c r="AS342" s="1024">
        <f t="shared" ca="1" si="89"/>
        <v>0</v>
      </c>
      <c r="AT342" s="1024">
        <f t="shared" ca="1" si="89"/>
        <v>0</v>
      </c>
      <c r="AU342" s="1024">
        <f t="shared" ca="1" si="89"/>
        <v>0</v>
      </c>
      <c r="AV342" s="1024">
        <f t="shared" ca="1" si="89"/>
        <v>0</v>
      </c>
      <c r="AW342" s="1024">
        <f t="shared" ca="1" si="89"/>
        <v>0</v>
      </c>
      <c r="AX342" s="1024">
        <f t="shared" ca="1" si="89"/>
        <v>0</v>
      </c>
    </row>
    <row r="343" spans="1:50" ht="15" customHeight="1">
      <c r="A343" s="347"/>
      <c r="B343" s="507"/>
      <c r="C343" s="333"/>
      <c r="D343" s="1112"/>
      <c r="E343" s="375"/>
      <c r="F343" s="407"/>
      <c r="G343" s="346"/>
      <c r="H343" s="346"/>
      <c r="I343" s="1112"/>
      <c r="J343" s="1125"/>
      <c r="K343" s="1048"/>
      <c r="L343" s="1048"/>
      <c r="M343" s="1048"/>
      <c r="N343" s="1048"/>
      <c r="O343" s="1048"/>
      <c r="P343" s="1048"/>
      <c r="Q343" s="1048"/>
      <c r="R343" s="1048"/>
      <c r="S343" s="1048"/>
      <c r="T343" s="1048"/>
      <c r="U343" s="1048"/>
      <c r="V343" s="1048"/>
      <c r="W343" s="1048"/>
      <c r="X343" s="1048"/>
      <c r="Y343" s="1048"/>
      <c r="Z343" s="1048"/>
      <c r="AA343" s="1048"/>
      <c r="AB343" s="1048"/>
      <c r="AC343" s="1048"/>
      <c r="AD343" s="1048"/>
      <c r="AE343" s="1048"/>
      <c r="AF343" s="1048"/>
      <c r="AG343" s="1048"/>
      <c r="AH343" s="1048"/>
      <c r="AI343" s="1048"/>
      <c r="AJ343" s="1048"/>
      <c r="AK343" s="1048"/>
      <c r="AL343" s="1048"/>
      <c r="AM343" s="1048"/>
      <c r="AN343" s="1048"/>
      <c r="AO343" s="1048"/>
      <c r="AP343" s="1048"/>
      <c r="AQ343" s="1048"/>
      <c r="AR343" s="1048"/>
      <c r="AS343" s="1048"/>
      <c r="AT343" s="1048"/>
      <c r="AU343" s="1048"/>
      <c r="AV343" s="1048"/>
      <c r="AW343" s="1048"/>
      <c r="AX343" s="1048"/>
    </row>
    <row r="344" spans="1:50" s="434" customFormat="1" ht="15" customHeight="1">
      <c r="A344" s="429"/>
      <c r="B344" s="429"/>
      <c r="C344" s="430"/>
      <c r="D344" s="432"/>
      <c r="E344" s="1024" t="str">
        <f>E319</f>
        <v>Loan cashflows before interest withholding tax</v>
      </c>
      <c r="F344" s="432">
        <f ca="1" xml:space="preserve"> SUM(K319:AX319)</f>
        <v>101.55814836332412</v>
      </c>
      <c r="G344" s="432" t="str">
        <f>G319</f>
        <v>US$ mn</v>
      </c>
      <c r="H344" s="432"/>
      <c r="I344" s="432"/>
      <c r="J344" s="432"/>
      <c r="K344" s="432"/>
      <c r="L344" s="432"/>
      <c r="M344" s="432"/>
      <c r="N344" s="432"/>
      <c r="O344" s="432"/>
      <c r="P344" s="432"/>
      <c r="Q344" s="432"/>
      <c r="R344" s="432"/>
      <c r="S344" s="432"/>
      <c r="T344" s="432"/>
      <c r="U344" s="432"/>
      <c r="V344" s="432"/>
      <c r="W344" s="432"/>
      <c r="X344" s="432"/>
      <c r="Y344" s="432"/>
      <c r="Z344" s="432"/>
      <c r="AA344" s="432"/>
      <c r="AB344" s="432"/>
      <c r="AC344" s="432"/>
      <c r="AD344" s="432"/>
      <c r="AE344" s="432"/>
      <c r="AF344" s="432"/>
      <c r="AG344" s="432"/>
      <c r="AH344" s="432"/>
      <c r="AI344" s="432"/>
      <c r="AJ344" s="432"/>
      <c r="AK344" s="432"/>
      <c r="AL344" s="432"/>
      <c r="AM344" s="432"/>
      <c r="AN344" s="432"/>
      <c r="AO344" s="432"/>
      <c r="AP344" s="432"/>
      <c r="AQ344" s="432"/>
      <c r="AR344" s="432"/>
      <c r="AS344" s="432"/>
      <c r="AT344" s="432"/>
      <c r="AU344" s="432"/>
      <c r="AV344" s="432"/>
      <c r="AW344" s="432"/>
      <c r="AX344" s="432"/>
    </row>
    <row r="345" spans="1:50" ht="15" customHeight="1">
      <c r="A345" s="347"/>
      <c r="B345" s="507"/>
      <c r="C345" s="333"/>
      <c r="D345" s="1112"/>
      <c r="E345" s="1024" t="str">
        <f t="shared" ref="E345:G346" si="90">E335</f>
        <v>Interest capitalized into development costs: Total</v>
      </c>
      <c r="F345" s="1024">
        <f t="shared" ca="1" si="90"/>
        <v>1.3185509400000031</v>
      </c>
      <c r="G345" s="1024" t="str">
        <f t="shared" si="90"/>
        <v>US$ mn</v>
      </c>
      <c r="H345" s="346"/>
      <c r="I345" s="1112"/>
      <c r="J345" s="1125"/>
      <c r="K345" s="1048"/>
      <c r="L345" s="1048"/>
      <c r="M345" s="1048"/>
      <c r="N345" s="1048"/>
      <c r="O345" s="1048"/>
      <c r="P345" s="1048"/>
      <c r="Q345" s="1048"/>
      <c r="R345" s="1048"/>
      <c r="S345" s="1048"/>
      <c r="T345" s="1048"/>
      <c r="U345" s="1048"/>
      <c r="V345" s="1048"/>
      <c r="W345" s="1048"/>
      <c r="X345" s="1048"/>
      <c r="Y345" s="1048"/>
      <c r="Z345" s="1048"/>
      <c r="AA345" s="1048"/>
      <c r="AB345" s="1048"/>
      <c r="AC345" s="1048"/>
      <c r="AD345" s="1048"/>
      <c r="AE345" s="1048"/>
      <c r="AF345" s="1048"/>
      <c r="AG345" s="1048"/>
      <c r="AH345" s="1048"/>
      <c r="AI345" s="1048"/>
      <c r="AJ345" s="1048"/>
      <c r="AK345" s="1048"/>
      <c r="AL345" s="1048"/>
      <c r="AM345" s="1048"/>
      <c r="AN345" s="1048"/>
      <c r="AO345" s="1048"/>
      <c r="AP345" s="1048"/>
      <c r="AQ345" s="1048"/>
      <c r="AR345" s="1048"/>
      <c r="AS345" s="1048"/>
      <c r="AT345" s="1048"/>
      <c r="AU345" s="1048"/>
      <c r="AV345" s="1048"/>
      <c r="AW345" s="1048"/>
      <c r="AX345" s="1048"/>
    </row>
    <row r="346" spans="1:50" ht="15" customHeight="1">
      <c r="A346" s="347"/>
      <c r="B346" s="507"/>
      <c r="C346" s="333"/>
      <c r="D346" s="1112"/>
      <c r="E346" s="1024" t="str">
        <f t="shared" si="90"/>
        <v>Interest expensed to P&amp;L: Total</v>
      </c>
      <c r="F346" s="1024">
        <f t="shared" ca="1" si="90"/>
        <v>100.23959742332414</v>
      </c>
      <c r="G346" s="1024" t="str">
        <f t="shared" si="90"/>
        <v>US$ mn</v>
      </c>
      <c r="H346" s="346"/>
      <c r="I346" s="1112"/>
      <c r="J346" s="1125"/>
      <c r="K346" s="1048"/>
      <c r="L346" s="1048"/>
      <c r="M346" s="1048"/>
      <c r="N346" s="1048"/>
      <c r="O346" s="1048"/>
      <c r="P346" s="1048"/>
      <c r="Q346" s="1048"/>
      <c r="R346" s="1048"/>
      <c r="S346" s="1048"/>
      <c r="T346" s="1048"/>
      <c r="U346" s="1048"/>
      <c r="V346" s="1048"/>
      <c r="W346" s="1048"/>
      <c r="X346" s="1048"/>
      <c r="Y346" s="1048"/>
      <c r="Z346" s="1048"/>
      <c r="AA346" s="1048"/>
      <c r="AB346" s="1048"/>
      <c r="AC346" s="1048"/>
      <c r="AD346" s="1048"/>
      <c r="AE346" s="1048"/>
      <c r="AF346" s="1048"/>
      <c r="AG346" s="1048"/>
      <c r="AH346" s="1048"/>
      <c r="AI346" s="1048"/>
      <c r="AJ346" s="1048"/>
      <c r="AK346" s="1048"/>
      <c r="AL346" s="1048"/>
      <c r="AM346" s="1048"/>
      <c r="AN346" s="1048"/>
      <c r="AO346" s="1048"/>
      <c r="AP346" s="1048"/>
      <c r="AQ346" s="1048"/>
      <c r="AR346" s="1048"/>
      <c r="AS346" s="1048"/>
      <c r="AT346" s="1048"/>
      <c r="AU346" s="1048"/>
      <c r="AV346" s="1048"/>
      <c r="AW346" s="1048"/>
      <c r="AX346" s="1048"/>
    </row>
    <row r="347" spans="1:50" ht="15" customHeight="1">
      <c r="A347" s="347"/>
      <c r="B347" s="507"/>
      <c r="C347" s="333"/>
      <c r="D347" s="1112"/>
      <c r="E347" s="1024" t="str">
        <f>Translate!$E$212</f>
        <v>Total final allocation of loan</v>
      </c>
      <c r="F347" s="1024">
        <f ca="1" xml:space="preserve"> SUM(K340:AX342)</f>
        <v>203.1162967266483</v>
      </c>
      <c r="G347" s="1024" t="str">
        <f xml:space="preserve"> Translate!E$10</f>
        <v>US$ mn</v>
      </c>
      <c r="H347" s="346"/>
      <c r="I347" s="1112"/>
      <c r="J347" s="1125"/>
      <c r="K347" s="1048"/>
      <c r="L347" s="1048"/>
      <c r="M347" s="1048"/>
      <c r="N347" s="1048"/>
      <c r="O347" s="1048"/>
      <c r="P347" s="1048"/>
      <c r="Q347" s="1048"/>
      <c r="R347" s="1048"/>
      <c r="S347" s="1048"/>
      <c r="T347" s="1048"/>
      <c r="U347" s="1048"/>
      <c r="V347" s="1048"/>
      <c r="W347" s="1048"/>
      <c r="X347" s="1048"/>
      <c r="Y347" s="1048"/>
      <c r="Z347" s="1048"/>
      <c r="AA347" s="1048"/>
      <c r="AB347" s="1048"/>
      <c r="AC347" s="1048"/>
      <c r="AD347" s="1048"/>
      <c r="AE347" s="1048"/>
      <c r="AF347" s="1048"/>
      <c r="AG347" s="1048"/>
      <c r="AH347" s="1048"/>
      <c r="AI347" s="1048"/>
      <c r="AJ347" s="1048"/>
      <c r="AK347" s="1048"/>
      <c r="AL347" s="1048"/>
      <c r="AM347" s="1048"/>
      <c r="AN347" s="1048"/>
      <c r="AO347" s="1048"/>
      <c r="AP347" s="1048"/>
      <c r="AQ347" s="1048"/>
      <c r="AR347" s="1048"/>
      <c r="AS347" s="1048"/>
      <c r="AT347" s="1048"/>
      <c r="AU347" s="1048"/>
      <c r="AV347" s="1048"/>
      <c r="AW347" s="1048"/>
      <c r="AX347" s="1048"/>
    </row>
    <row r="348" spans="1:50" ht="15" customHeight="1">
      <c r="A348" s="347"/>
      <c r="B348" s="507"/>
      <c r="C348" s="333"/>
      <c r="D348" s="1112"/>
      <c r="E348" s="1024" t="str">
        <f xml:space="preserve"> Translate!$E$444 &amp; ": " &amp; Translate!$E$213</f>
        <v>Check: loan cashflows allocation</v>
      </c>
      <c r="F348" s="62">
        <f ca="1" xml:space="preserve"> IF( ABS( F344 + F345 + F346 - F347) &gt; CHK_TOL, 1, 0)</f>
        <v>0</v>
      </c>
      <c r="G348" s="346" t="str">
        <f xml:space="preserve"> Translate!E$444</f>
        <v>Check</v>
      </c>
      <c r="H348" s="346"/>
      <c r="I348" s="1112"/>
      <c r="J348" s="1125"/>
      <c r="K348" s="1048"/>
      <c r="L348" s="1048"/>
      <c r="M348" s="1048"/>
      <c r="N348" s="1048"/>
      <c r="O348" s="1048"/>
      <c r="P348" s="1048"/>
      <c r="Q348" s="1048"/>
      <c r="R348" s="1048"/>
      <c r="S348" s="1048"/>
      <c r="T348" s="1048"/>
      <c r="U348" s="1048"/>
      <c r="V348" s="1048"/>
      <c r="W348" s="1048"/>
      <c r="X348" s="1048"/>
      <c r="Y348" s="1048"/>
      <c r="Z348" s="1048"/>
      <c r="AA348" s="1048"/>
      <c r="AB348" s="1048"/>
      <c r="AC348" s="1048"/>
      <c r="AD348" s="1048"/>
      <c r="AE348" s="1048"/>
      <c r="AF348" s="1048"/>
      <c r="AG348" s="1048"/>
      <c r="AH348" s="1048"/>
      <c r="AI348" s="1048"/>
      <c r="AJ348" s="1048"/>
      <c r="AK348" s="1048"/>
      <c r="AL348" s="1048"/>
      <c r="AM348" s="1048"/>
      <c r="AN348" s="1048"/>
      <c r="AO348" s="1048"/>
      <c r="AP348" s="1048"/>
      <c r="AQ348" s="1048"/>
      <c r="AR348" s="1048"/>
      <c r="AS348" s="1048"/>
      <c r="AT348" s="1048"/>
      <c r="AU348" s="1048"/>
      <c r="AV348" s="1048"/>
      <c r="AW348" s="1048"/>
      <c r="AX348" s="1048"/>
    </row>
    <row r="349" spans="1:50" ht="15" customHeight="1">
      <c r="A349" s="347"/>
      <c r="B349" s="507"/>
      <c r="C349" s="333"/>
      <c r="D349" s="1112"/>
      <c r="E349" s="375"/>
      <c r="F349" s="407"/>
      <c r="G349" s="346"/>
      <c r="H349" s="346"/>
      <c r="I349" s="1112"/>
      <c r="J349" s="1125"/>
      <c r="K349" s="1048"/>
      <c r="L349" s="1048"/>
      <c r="M349" s="1048"/>
      <c r="N349" s="1048"/>
      <c r="O349" s="1048"/>
      <c r="P349" s="1048"/>
      <c r="Q349" s="1048"/>
      <c r="R349" s="1048"/>
      <c r="S349" s="1048"/>
      <c r="T349" s="1048"/>
      <c r="U349" s="1048"/>
      <c r="V349" s="1048"/>
      <c r="W349" s="1048"/>
      <c r="X349" s="1048"/>
      <c r="Y349" s="1048"/>
      <c r="Z349" s="1048"/>
      <c r="AA349" s="1048"/>
      <c r="AB349" s="1048"/>
      <c r="AC349" s="1048"/>
      <c r="AD349" s="1048"/>
      <c r="AE349" s="1048"/>
      <c r="AF349" s="1048"/>
      <c r="AG349" s="1048"/>
      <c r="AH349" s="1048"/>
      <c r="AI349" s="1048"/>
      <c r="AJ349" s="1048"/>
      <c r="AK349" s="1048"/>
      <c r="AL349" s="1048"/>
      <c r="AM349" s="1048"/>
      <c r="AN349" s="1048"/>
      <c r="AO349" s="1048"/>
      <c r="AP349" s="1048"/>
      <c r="AQ349" s="1048"/>
      <c r="AR349" s="1048"/>
      <c r="AS349" s="1048"/>
      <c r="AT349" s="1048"/>
      <c r="AU349" s="1048"/>
      <c r="AV349" s="1048"/>
      <c r="AW349" s="1048"/>
      <c r="AX349" s="1048"/>
    </row>
    <row r="350" spans="1:50" ht="15" customHeight="1">
      <c r="A350" s="347"/>
      <c r="B350" s="507"/>
      <c r="C350" s="333"/>
      <c r="D350" s="1112"/>
      <c r="E350" s="375"/>
      <c r="F350" s="407"/>
      <c r="G350" s="346"/>
      <c r="H350" s="346"/>
      <c r="I350" s="1112"/>
      <c r="J350" s="1125"/>
      <c r="K350" s="1048"/>
      <c r="L350" s="1048"/>
      <c r="M350" s="1048"/>
      <c r="N350" s="1048"/>
      <c r="O350" s="1048"/>
      <c r="P350" s="1048"/>
      <c r="Q350" s="1048"/>
      <c r="R350" s="1048"/>
      <c r="S350" s="1048"/>
      <c r="T350" s="1048"/>
      <c r="U350" s="1048"/>
      <c r="V350" s="1048"/>
      <c r="W350" s="1048"/>
      <c r="X350" s="1048"/>
      <c r="Y350" s="1048"/>
      <c r="Z350" s="1048"/>
      <c r="AA350" s="1048"/>
      <c r="AB350" s="1048"/>
      <c r="AC350" s="1048"/>
      <c r="AD350" s="1048"/>
      <c r="AE350" s="1048"/>
      <c r="AF350" s="1048"/>
      <c r="AG350" s="1048"/>
      <c r="AH350" s="1048"/>
      <c r="AI350" s="1048"/>
      <c r="AJ350" s="1048"/>
      <c r="AK350" s="1048"/>
      <c r="AL350" s="1048"/>
      <c r="AM350" s="1048"/>
      <c r="AN350" s="1048"/>
      <c r="AO350" s="1048"/>
      <c r="AP350" s="1048"/>
      <c r="AQ350" s="1048"/>
      <c r="AR350" s="1048"/>
      <c r="AS350" s="1048"/>
      <c r="AT350" s="1048"/>
      <c r="AU350" s="1048"/>
      <c r="AV350" s="1048"/>
      <c r="AW350" s="1048"/>
      <c r="AX350" s="1048"/>
    </row>
    <row r="351" spans="1:50" ht="15" customHeight="1">
      <c r="A351" s="351" t="str">
        <f xml:space="preserve"> Translate!$E$29</f>
        <v>CIT depreciation</v>
      </c>
      <c r="B351" s="686"/>
      <c r="C351" s="352"/>
      <c r="D351" s="353"/>
      <c r="E351" s="3"/>
      <c r="F351" s="351"/>
      <c r="G351" s="351"/>
      <c r="H351" s="351"/>
      <c r="I351" s="351"/>
      <c r="J351" s="351"/>
      <c r="K351" s="351"/>
      <c r="L351" s="351"/>
      <c r="M351" s="351"/>
      <c r="N351" s="351"/>
      <c r="O351" s="351"/>
      <c r="P351" s="351"/>
      <c r="Q351" s="351"/>
      <c r="R351" s="351"/>
      <c r="S351" s="351"/>
      <c r="T351" s="351"/>
      <c r="U351" s="351"/>
      <c r="V351" s="351"/>
      <c r="W351" s="351"/>
      <c r="X351" s="351"/>
      <c r="Y351" s="351"/>
      <c r="Z351" s="351"/>
      <c r="AA351" s="351"/>
      <c r="AB351" s="351"/>
      <c r="AC351" s="351"/>
      <c r="AD351" s="351"/>
      <c r="AE351" s="351"/>
      <c r="AF351" s="351"/>
      <c r="AG351" s="351"/>
      <c r="AH351" s="351"/>
      <c r="AI351" s="351"/>
      <c r="AJ351" s="351"/>
      <c r="AK351" s="351"/>
      <c r="AL351" s="351"/>
      <c r="AM351" s="351"/>
      <c r="AN351" s="351"/>
      <c r="AO351" s="351"/>
      <c r="AP351" s="351"/>
      <c r="AQ351" s="351"/>
      <c r="AR351" s="351"/>
      <c r="AS351" s="351"/>
      <c r="AT351" s="351"/>
      <c r="AU351" s="351"/>
      <c r="AV351" s="351"/>
      <c r="AW351" s="351"/>
      <c r="AX351" s="351"/>
    </row>
    <row r="352" spans="1:50" ht="15" customHeight="1">
      <c r="A352" s="347"/>
      <c r="B352" s="507"/>
      <c r="C352" s="333"/>
      <c r="D352" s="1112"/>
      <c r="E352" s="1024"/>
      <c r="F352" s="1048"/>
      <c r="G352" s="346"/>
      <c r="H352" s="346"/>
      <c r="I352" s="1112"/>
      <c r="J352" s="1059"/>
      <c r="K352" s="1048"/>
      <c r="L352" s="1048"/>
      <c r="M352" s="1048"/>
      <c r="N352" s="1048"/>
      <c r="O352" s="1048"/>
      <c r="P352" s="1048"/>
      <c r="Q352" s="1048"/>
      <c r="R352" s="1048"/>
      <c r="S352" s="1048"/>
      <c r="T352" s="1048"/>
      <c r="U352" s="1048"/>
      <c r="V352" s="1048"/>
      <c r="W352" s="1048"/>
      <c r="X352" s="1048"/>
      <c r="Y352" s="1048"/>
      <c r="Z352" s="1048"/>
      <c r="AA352" s="1048"/>
      <c r="AB352" s="1048"/>
      <c r="AC352" s="1048"/>
      <c r="AD352" s="1048"/>
      <c r="AE352" s="1048"/>
      <c r="AF352" s="1048"/>
      <c r="AG352" s="1048"/>
      <c r="AH352" s="1048"/>
      <c r="AI352" s="1048"/>
      <c r="AJ352" s="1048"/>
      <c r="AK352" s="1048"/>
      <c r="AL352" s="1048"/>
      <c r="AM352" s="1048"/>
      <c r="AN352" s="1048"/>
      <c r="AO352" s="1048"/>
      <c r="AP352" s="1048"/>
      <c r="AQ352" s="1048"/>
      <c r="AR352" s="1048"/>
      <c r="AS352" s="1048"/>
      <c r="AT352" s="1048"/>
      <c r="AU352" s="1048"/>
      <c r="AV352" s="1048"/>
      <c r="AW352" s="1048"/>
      <c r="AX352" s="1048"/>
    </row>
    <row r="353" spans="1:50" ht="15" customHeight="1">
      <c r="A353" s="347"/>
      <c r="B353" s="507" t="str">
        <f>Translate!$E$72</f>
        <v>Exploration costs tax treatment</v>
      </c>
      <c r="C353" s="333"/>
      <c r="D353" s="1112"/>
      <c r="E353" s="1024"/>
      <c r="F353" s="1048"/>
      <c r="G353" s="346"/>
      <c r="H353" s="346"/>
      <c r="I353" s="1112"/>
      <c r="J353" s="1059"/>
      <c r="K353" s="1048"/>
      <c r="L353" s="1048"/>
      <c r="M353" s="1048"/>
      <c r="N353" s="1048"/>
      <c r="O353" s="1048"/>
      <c r="P353" s="1048"/>
      <c r="Q353" s="1048"/>
      <c r="R353" s="1048"/>
      <c r="S353" s="1048"/>
      <c r="T353" s="1048"/>
      <c r="U353" s="1048"/>
      <c r="V353" s="1048"/>
      <c r="W353" s="1048"/>
      <c r="X353" s="1048"/>
      <c r="Y353" s="1048"/>
      <c r="Z353" s="1048"/>
      <c r="AA353" s="1048"/>
      <c r="AB353" s="1048"/>
      <c r="AC353" s="1048"/>
      <c r="AD353" s="1048"/>
      <c r="AE353" s="1048"/>
      <c r="AF353" s="1048"/>
      <c r="AG353" s="1048"/>
      <c r="AH353" s="1048"/>
      <c r="AI353" s="1048"/>
      <c r="AJ353" s="1048"/>
      <c r="AK353" s="1048"/>
      <c r="AL353" s="1048"/>
      <c r="AM353" s="1048"/>
      <c r="AN353" s="1048"/>
      <c r="AO353" s="1048"/>
      <c r="AP353" s="1048"/>
      <c r="AQ353" s="1048"/>
      <c r="AR353" s="1048"/>
      <c r="AS353" s="1048"/>
      <c r="AT353" s="1048"/>
      <c r="AU353" s="1048"/>
      <c r="AV353" s="1048"/>
      <c r="AW353" s="1048"/>
      <c r="AX353" s="1048"/>
    </row>
    <row r="354" spans="1:50" ht="15" customHeight="1">
      <c r="A354" s="347"/>
      <c r="B354" s="507"/>
      <c r="C354" s="333"/>
      <c r="D354" s="1112"/>
      <c r="E354" s="366" t="str">
        <f xml:space="preserve"> ProjectCashflows!E$238</f>
        <v>Exploration costs, after ELT</v>
      </c>
      <c r="F354" s="366">
        <f xml:space="preserve"> ProjectCashflows!F$238</f>
        <v>0</v>
      </c>
      <c r="G354" s="366" t="str">
        <f xml:space="preserve"> ProjectCashflows!G$238</f>
        <v>US$ mn</v>
      </c>
      <c r="H354" s="366">
        <f xml:space="preserve"> ProjectCashflows!H$238</f>
        <v>0</v>
      </c>
      <c r="I354" s="366">
        <f ca="1" xml:space="preserve"> ProjectCashflows!I$238</f>
        <v>30.603999999999999</v>
      </c>
      <c r="J354" s="366">
        <f xml:space="preserve"> ProjectCashflows!J$238</f>
        <v>0</v>
      </c>
      <c r="K354" s="366">
        <f ca="1" xml:space="preserve"> ProjectCashflows!K$238</f>
        <v>10</v>
      </c>
      <c r="L354" s="366">
        <f ca="1" xml:space="preserve"> ProjectCashflows!L$238</f>
        <v>10.199999999999999</v>
      </c>
      <c r="M354" s="366">
        <f ca="1" xml:space="preserve"> ProjectCashflows!M$238</f>
        <v>10.404</v>
      </c>
      <c r="N354" s="366">
        <f ca="1" xml:space="preserve"> ProjectCashflows!N$238</f>
        <v>0</v>
      </c>
      <c r="O354" s="366">
        <f ca="1" xml:space="preserve"> ProjectCashflows!O$238</f>
        <v>0</v>
      </c>
      <c r="P354" s="366">
        <f ca="1" xml:space="preserve"> ProjectCashflows!P$238</f>
        <v>0</v>
      </c>
      <c r="Q354" s="366">
        <f ca="1" xml:space="preserve"> ProjectCashflows!Q$238</f>
        <v>0</v>
      </c>
      <c r="R354" s="366">
        <f ca="1" xml:space="preserve"> ProjectCashflows!R$238</f>
        <v>0</v>
      </c>
      <c r="S354" s="366">
        <f ca="1" xml:space="preserve"> ProjectCashflows!S$238</f>
        <v>0</v>
      </c>
      <c r="T354" s="366">
        <f ca="1" xml:space="preserve"> ProjectCashflows!T$238</f>
        <v>0</v>
      </c>
      <c r="U354" s="366">
        <f ca="1" xml:space="preserve"> ProjectCashflows!U$238</f>
        <v>0</v>
      </c>
      <c r="V354" s="366">
        <f ca="1" xml:space="preserve"> ProjectCashflows!V$238</f>
        <v>0</v>
      </c>
      <c r="W354" s="366">
        <f ca="1" xml:space="preserve"> ProjectCashflows!W$238</f>
        <v>0</v>
      </c>
      <c r="X354" s="366">
        <f ca="1" xml:space="preserve"> ProjectCashflows!X$238</f>
        <v>0</v>
      </c>
      <c r="Y354" s="366">
        <f ca="1" xml:space="preserve"> ProjectCashflows!Y$238</f>
        <v>0</v>
      </c>
      <c r="Z354" s="366">
        <f ca="1" xml:space="preserve"> ProjectCashflows!Z$238</f>
        <v>0</v>
      </c>
      <c r="AA354" s="366">
        <f ca="1" xml:space="preserve"> ProjectCashflows!AA$238</f>
        <v>0</v>
      </c>
      <c r="AB354" s="366">
        <f ca="1" xml:space="preserve"> ProjectCashflows!AB$238</f>
        <v>0</v>
      </c>
      <c r="AC354" s="366">
        <f ca="1" xml:space="preserve"> ProjectCashflows!AC$238</f>
        <v>0</v>
      </c>
      <c r="AD354" s="366">
        <f ca="1" xml:space="preserve"> ProjectCashflows!AD$238</f>
        <v>0</v>
      </c>
      <c r="AE354" s="366">
        <f ca="1" xml:space="preserve"> ProjectCashflows!AE$238</f>
        <v>0</v>
      </c>
      <c r="AF354" s="366">
        <f ca="1" xml:space="preserve"> ProjectCashflows!AF$238</f>
        <v>0</v>
      </c>
      <c r="AG354" s="366">
        <f ca="1" xml:space="preserve"> ProjectCashflows!AG$238</f>
        <v>0</v>
      </c>
      <c r="AH354" s="366">
        <f ca="1" xml:space="preserve"> ProjectCashflows!AH$238</f>
        <v>0</v>
      </c>
      <c r="AI354" s="366">
        <f ca="1" xml:space="preserve"> ProjectCashflows!AI$238</f>
        <v>0</v>
      </c>
      <c r="AJ354" s="366">
        <f ca="1" xml:space="preserve"> ProjectCashflows!AJ$238</f>
        <v>0</v>
      </c>
      <c r="AK354" s="366">
        <f ca="1" xml:space="preserve"> ProjectCashflows!AK$238</f>
        <v>0</v>
      </c>
      <c r="AL354" s="366">
        <f ca="1" xml:space="preserve"> ProjectCashflows!AL$238</f>
        <v>0</v>
      </c>
      <c r="AM354" s="366">
        <f ca="1" xml:space="preserve"> ProjectCashflows!AM$238</f>
        <v>0</v>
      </c>
      <c r="AN354" s="366">
        <f ca="1" xml:space="preserve"> ProjectCashflows!AN$238</f>
        <v>0</v>
      </c>
      <c r="AO354" s="366">
        <f ca="1" xml:space="preserve"> ProjectCashflows!AO$238</f>
        <v>0</v>
      </c>
      <c r="AP354" s="366">
        <f ca="1" xml:space="preserve"> ProjectCashflows!AP$238</f>
        <v>0</v>
      </c>
      <c r="AQ354" s="366">
        <f ca="1" xml:space="preserve"> ProjectCashflows!AQ$238</f>
        <v>0</v>
      </c>
      <c r="AR354" s="366">
        <f ca="1" xml:space="preserve"> ProjectCashflows!AR$238</f>
        <v>0</v>
      </c>
      <c r="AS354" s="366">
        <f ca="1" xml:space="preserve"> ProjectCashflows!AS$238</f>
        <v>0</v>
      </c>
      <c r="AT354" s="366">
        <f ca="1" xml:space="preserve"> ProjectCashflows!AT$238</f>
        <v>0</v>
      </c>
      <c r="AU354" s="366">
        <f ca="1" xml:space="preserve"> ProjectCashflows!AU$238</f>
        <v>0</v>
      </c>
      <c r="AV354" s="366">
        <f ca="1" xml:space="preserve"> ProjectCashflows!AV$238</f>
        <v>0</v>
      </c>
      <c r="AW354" s="366">
        <f ca="1" xml:space="preserve"> ProjectCashflows!AW$238</f>
        <v>0</v>
      </c>
      <c r="AX354" s="366">
        <f ca="1" xml:space="preserve"> ProjectCashflows!AX$238</f>
        <v>0</v>
      </c>
    </row>
    <row r="355" spans="1:50" ht="15" customHeight="1">
      <c r="A355" s="347"/>
      <c r="B355" s="507"/>
      <c r="C355" s="333"/>
      <c r="D355" s="1112"/>
      <c r="E355" s="1024"/>
      <c r="F355" s="1024"/>
      <c r="G355" s="1024"/>
      <c r="H355" s="1024"/>
      <c r="I355" s="1024"/>
      <c r="J355" s="1024"/>
      <c r="K355" s="1024"/>
      <c r="L355" s="1024"/>
      <c r="M355" s="1024"/>
      <c r="N355" s="1024"/>
      <c r="O355" s="1024"/>
      <c r="P355" s="1024"/>
      <c r="Q355" s="1024"/>
      <c r="R355" s="1024"/>
      <c r="S355" s="1024"/>
      <c r="T355" s="1024"/>
      <c r="U355" s="1024"/>
      <c r="V355" s="1024"/>
      <c r="W355" s="1024"/>
      <c r="X355" s="1024"/>
      <c r="Y355" s="1024"/>
      <c r="Z355" s="1024"/>
      <c r="AA355" s="1024"/>
      <c r="AB355" s="1024"/>
      <c r="AC355" s="1024"/>
      <c r="AD355" s="1024"/>
      <c r="AE355" s="1024"/>
      <c r="AF355" s="1024"/>
      <c r="AG355" s="1024"/>
      <c r="AH355" s="1024"/>
      <c r="AI355" s="1024"/>
      <c r="AJ355" s="1024"/>
      <c r="AK355" s="1024"/>
      <c r="AL355" s="1024"/>
      <c r="AM355" s="1024"/>
      <c r="AN355" s="1024"/>
      <c r="AO355" s="1024"/>
      <c r="AP355" s="1024"/>
      <c r="AQ355" s="1024"/>
      <c r="AR355" s="1024"/>
      <c r="AS355" s="1024"/>
      <c r="AT355" s="1024"/>
      <c r="AU355" s="1024"/>
      <c r="AV355" s="1024"/>
      <c r="AW355" s="1024"/>
      <c r="AX355" s="1024"/>
    </row>
    <row r="356" spans="1:50" s="567" customFormat="1" ht="15" customHeight="1">
      <c r="A356" s="568"/>
      <c r="B356" s="693"/>
      <c r="C356" s="565"/>
      <c r="D356" s="1078"/>
      <c r="E356" s="581" t="str">
        <f xml:space="preserve"> FiscalModel!E$40</f>
        <v>Exploration costs depreciated or deducted immediately</v>
      </c>
      <c r="F356" s="656" t="str">
        <f xml:space="preserve"> FiscalModel!F$40</f>
        <v>expensed</v>
      </c>
      <c r="G356" s="581" t="str">
        <f xml:space="preserve"> FiscalModel!G$40</f>
        <v>Option</v>
      </c>
      <c r="H356" s="1078"/>
      <c r="I356" s="1078"/>
      <c r="J356" s="1078"/>
      <c r="K356" s="1078"/>
      <c r="L356" s="1078"/>
      <c r="M356" s="1078"/>
      <c r="N356" s="1078"/>
      <c r="O356" s="1078"/>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row>
    <row r="357" spans="1:50" ht="15" customHeight="1">
      <c r="A357" s="347"/>
      <c r="B357" s="507"/>
      <c r="C357" s="333"/>
      <c r="D357" s="1112"/>
      <c r="E357" s="1024"/>
      <c r="F357" s="849" t="str">
        <f xml:space="preserve"> Translate!E$559</f>
        <v>depreciated</v>
      </c>
      <c r="G357" s="1024" t="str">
        <f>Translate!$E$351</f>
        <v>Option</v>
      </c>
      <c r="H357" s="1024"/>
      <c r="I357" s="1024"/>
      <c r="J357" s="1024"/>
      <c r="K357" s="1024"/>
      <c r="L357" s="1024"/>
      <c r="M357" s="1024"/>
      <c r="N357" s="1024"/>
      <c r="O357" s="1024"/>
      <c r="P357" s="1024"/>
      <c r="Q357" s="1024"/>
      <c r="R357" s="1024"/>
      <c r="S357" s="1024"/>
      <c r="T357" s="1024"/>
      <c r="U357" s="1024"/>
      <c r="V357" s="1024"/>
      <c r="W357" s="1024"/>
      <c r="X357" s="1024"/>
      <c r="Y357" s="1024"/>
      <c r="Z357" s="1024"/>
      <c r="AA357" s="1024"/>
      <c r="AB357" s="1024"/>
      <c r="AC357" s="1024"/>
      <c r="AD357" s="1024"/>
      <c r="AE357" s="1024"/>
      <c r="AF357" s="1024"/>
      <c r="AG357" s="1024"/>
      <c r="AH357" s="1024"/>
      <c r="AI357" s="1024"/>
      <c r="AJ357" s="1024"/>
      <c r="AK357" s="1024"/>
      <c r="AL357" s="1024"/>
      <c r="AM357" s="1024"/>
      <c r="AN357" s="1024"/>
      <c r="AO357" s="1024"/>
      <c r="AP357" s="1024"/>
      <c r="AQ357" s="1024"/>
      <c r="AR357" s="1024"/>
      <c r="AS357" s="1024"/>
      <c r="AT357" s="1024"/>
      <c r="AU357" s="1024"/>
      <c r="AV357" s="1024"/>
      <c r="AW357" s="1024"/>
      <c r="AX357" s="1024"/>
    </row>
    <row r="358" spans="1:50" ht="15" customHeight="1">
      <c r="A358" s="347"/>
      <c r="B358" s="507"/>
      <c r="C358" s="333"/>
      <c r="D358" s="1112"/>
      <c r="E358" s="1024"/>
      <c r="F358" s="849" t="str">
        <f xml:space="preserve"> Translate!E$560</f>
        <v>expensed</v>
      </c>
      <c r="G358" s="1024" t="str">
        <f>Translate!$E$351</f>
        <v>Option</v>
      </c>
      <c r="H358" s="1024"/>
      <c r="I358" s="1024"/>
      <c r="J358" s="1024"/>
      <c r="K358" s="1024"/>
      <c r="L358" s="1024"/>
      <c r="M358" s="1024"/>
      <c r="N358" s="1024"/>
      <c r="O358" s="1024"/>
      <c r="P358" s="1024"/>
      <c r="Q358" s="1024"/>
      <c r="R358" s="1024"/>
      <c r="S358" s="1024"/>
      <c r="T358" s="1024"/>
      <c r="U358" s="1024"/>
      <c r="V358" s="1024"/>
      <c r="W358" s="1024"/>
      <c r="X358" s="1024"/>
      <c r="Y358" s="1024"/>
      <c r="Z358" s="1024"/>
      <c r="AA358" s="1024"/>
      <c r="AB358" s="1024"/>
      <c r="AC358" s="1024"/>
      <c r="AD358" s="1024"/>
      <c r="AE358" s="1024"/>
      <c r="AF358" s="1024"/>
      <c r="AG358" s="1024"/>
      <c r="AH358" s="1024"/>
      <c r="AI358" s="1024"/>
      <c r="AJ358" s="1024"/>
      <c r="AK358" s="1024"/>
      <c r="AL358" s="1024"/>
      <c r="AM358" s="1024"/>
      <c r="AN358" s="1024"/>
      <c r="AO358" s="1024"/>
      <c r="AP358" s="1024"/>
      <c r="AQ358" s="1024"/>
      <c r="AR358" s="1024"/>
      <c r="AS358" s="1024"/>
      <c r="AT358" s="1024"/>
      <c r="AU358" s="1024"/>
      <c r="AV358" s="1024"/>
      <c r="AW358" s="1024"/>
      <c r="AX358" s="1024"/>
    </row>
    <row r="359" spans="1:50" ht="15" customHeight="1">
      <c r="A359" s="347"/>
      <c r="B359" s="507"/>
      <c r="C359" s="333"/>
      <c r="D359" s="1112"/>
      <c r="E359" s="1024"/>
      <c r="F359" s="1024"/>
      <c r="G359" s="1024"/>
      <c r="H359" s="1024"/>
      <c r="I359" s="1024"/>
      <c r="J359" s="1024"/>
      <c r="K359" s="1024"/>
      <c r="L359" s="1024"/>
      <c r="M359" s="1024"/>
      <c r="N359" s="1024"/>
      <c r="O359" s="1024"/>
      <c r="P359" s="1024"/>
      <c r="Q359" s="1024"/>
      <c r="R359" s="1024"/>
      <c r="S359" s="1024"/>
      <c r="T359" s="1024"/>
      <c r="U359" s="1024"/>
      <c r="V359" s="1024"/>
      <c r="W359" s="1024"/>
      <c r="X359" s="1024"/>
      <c r="Y359" s="1024"/>
      <c r="Z359" s="1024"/>
      <c r="AA359" s="1024"/>
      <c r="AB359" s="1024"/>
      <c r="AC359" s="1024"/>
      <c r="AD359" s="1024"/>
      <c r="AE359" s="1024"/>
      <c r="AF359" s="1024"/>
      <c r="AG359" s="1024"/>
      <c r="AH359" s="1024"/>
      <c r="AI359" s="1024"/>
      <c r="AJ359" s="1024"/>
      <c r="AK359" s="1024"/>
      <c r="AL359" s="1024"/>
      <c r="AM359" s="1024"/>
      <c r="AN359" s="1024"/>
      <c r="AO359" s="1024"/>
      <c r="AP359" s="1024"/>
      <c r="AQ359" s="1024"/>
      <c r="AR359" s="1024"/>
      <c r="AS359" s="1024"/>
      <c r="AT359" s="1024"/>
      <c r="AU359" s="1024"/>
      <c r="AV359" s="1024"/>
      <c r="AW359" s="1024"/>
      <c r="AX359" s="1024"/>
    </row>
    <row r="360" spans="1:50" ht="15" customHeight="1">
      <c r="A360" s="347"/>
      <c r="B360" s="507"/>
      <c r="C360" s="333"/>
      <c r="D360" s="1112"/>
      <c r="E360" s="1024" t="str">
        <f xml:space="preserve"> E354 &amp; " " &amp; Translate!$E$474</f>
        <v>Exploration costs, after ELT into depreciation</v>
      </c>
      <c r="F360" s="1024"/>
      <c r="G360" s="1024" t="str">
        <f xml:space="preserve"> G354</f>
        <v>US$ mn</v>
      </c>
      <c r="H360" s="1024"/>
      <c r="I360" s="1024">
        <f ca="1" xml:space="preserve"> SUM(K360:AX360)</f>
        <v>0</v>
      </c>
      <c r="J360" s="1024"/>
      <c r="K360" s="1024">
        <f t="shared" ref="K360:AX360" ca="1" si="91" xml:space="preserve"> OR($F356 = $F357, $F356 = 0) * K354</f>
        <v>0</v>
      </c>
      <c r="L360" s="1024">
        <f t="shared" ca="1" si="91"/>
        <v>0</v>
      </c>
      <c r="M360" s="1024">
        <f t="shared" ca="1" si="91"/>
        <v>0</v>
      </c>
      <c r="N360" s="1024">
        <f t="shared" ca="1" si="91"/>
        <v>0</v>
      </c>
      <c r="O360" s="1024">
        <f t="shared" ca="1" si="91"/>
        <v>0</v>
      </c>
      <c r="P360" s="1024">
        <f t="shared" ca="1" si="91"/>
        <v>0</v>
      </c>
      <c r="Q360" s="1024">
        <f t="shared" ca="1" si="91"/>
        <v>0</v>
      </c>
      <c r="R360" s="1024">
        <f t="shared" ca="1" si="91"/>
        <v>0</v>
      </c>
      <c r="S360" s="1024">
        <f t="shared" ca="1" si="91"/>
        <v>0</v>
      </c>
      <c r="T360" s="1024">
        <f t="shared" ca="1" si="91"/>
        <v>0</v>
      </c>
      <c r="U360" s="1024">
        <f t="shared" ca="1" si="91"/>
        <v>0</v>
      </c>
      <c r="V360" s="1024">
        <f t="shared" ca="1" si="91"/>
        <v>0</v>
      </c>
      <c r="W360" s="1024">
        <f t="shared" ca="1" si="91"/>
        <v>0</v>
      </c>
      <c r="X360" s="1024">
        <f t="shared" ca="1" si="91"/>
        <v>0</v>
      </c>
      <c r="Y360" s="1024">
        <f t="shared" ca="1" si="91"/>
        <v>0</v>
      </c>
      <c r="Z360" s="1024">
        <f t="shared" ca="1" si="91"/>
        <v>0</v>
      </c>
      <c r="AA360" s="1024">
        <f t="shared" ca="1" si="91"/>
        <v>0</v>
      </c>
      <c r="AB360" s="1024">
        <f t="shared" ca="1" si="91"/>
        <v>0</v>
      </c>
      <c r="AC360" s="1024">
        <f t="shared" ca="1" si="91"/>
        <v>0</v>
      </c>
      <c r="AD360" s="1024">
        <f t="shared" ca="1" si="91"/>
        <v>0</v>
      </c>
      <c r="AE360" s="1024">
        <f t="shared" ca="1" si="91"/>
        <v>0</v>
      </c>
      <c r="AF360" s="1024">
        <f t="shared" ca="1" si="91"/>
        <v>0</v>
      </c>
      <c r="AG360" s="1024">
        <f t="shared" ca="1" si="91"/>
        <v>0</v>
      </c>
      <c r="AH360" s="1024">
        <f t="shared" ca="1" si="91"/>
        <v>0</v>
      </c>
      <c r="AI360" s="1024">
        <f t="shared" ca="1" si="91"/>
        <v>0</v>
      </c>
      <c r="AJ360" s="1024">
        <f t="shared" ca="1" si="91"/>
        <v>0</v>
      </c>
      <c r="AK360" s="1024">
        <f t="shared" ca="1" si="91"/>
        <v>0</v>
      </c>
      <c r="AL360" s="1024">
        <f t="shared" ca="1" si="91"/>
        <v>0</v>
      </c>
      <c r="AM360" s="1024">
        <f t="shared" ca="1" si="91"/>
        <v>0</v>
      </c>
      <c r="AN360" s="1024">
        <f t="shared" ca="1" si="91"/>
        <v>0</v>
      </c>
      <c r="AO360" s="1024">
        <f t="shared" ca="1" si="91"/>
        <v>0</v>
      </c>
      <c r="AP360" s="1024">
        <f t="shared" ca="1" si="91"/>
        <v>0</v>
      </c>
      <c r="AQ360" s="1024">
        <f t="shared" ca="1" si="91"/>
        <v>0</v>
      </c>
      <c r="AR360" s="1024">
        <f t="shared" ca="1" si="91"/>
        <v>0</v>
      </c>
      <c r="AS360" s="1024">
        <f t="shared" ca="1" si="91"/>
        <v>0</v>
      </c>
      <c r="AT360" s="1024">
        <f t="shared" ca="1" si="91"/>
        <v>0</v>
      </c>
      <c r="AU360" s="1024">
        <f t="shared" ca="1" si="91"/>
        <v>0</v>
      </c>
      <c r="AV360" s="1024">
        <f t="shared" ca="1" si="91"/>
        <v>0</v>
      </c>
      <c r="AW360" s="1024">
        <f t="shared" ca="1" si="91"/>
        <v>0</v>
      </c>
      <c r="AX360" s="1024">
        <f t="shared" ca="1" si="91"/>
        <v>0</v>
      </c>
    </row>
    <row r="361" spans="1:50" ht="15" customHeight="1">
      <c r="A361" s="347"/>
      <c r="B361" s="507"/>
      <c r="C361" s="333"/>
      <c r="D361" s="1112"/>
      <c r="E361" s="1024" t="str">
        <f xml:space="preserve"> E354 &amp; " " &amp; Translate!$E$357</f>
        <v>Exploration costs, after ELT deducted immediately</v>
      </c>
      <c r="F361" s="1024"/>
      <c r="G361" s="1024" t="str">
        <f xml:space="preserve"> G354</f>
        <v>US$ mn</v>
      </c>
      <c r="H361" s="1024"/>
      <c r="I361" s="1024">
        <f ca="1" xml:space="preserve"> SUM(K361:AX361)</f>
        <v>30.603999999999999</v>
      </c>
      <c r="J361" s="1024"/>
      <c r="K361" s="1024">
        <f t="shared" ref="K361:AX361" ca="1" si="92" xml:space="preserve"> ($F356 = $F358) * K354</f>
        <v>10</v>
      </c>
      <c r="L361" s="1024">
        <f t="shared" ca="1" si="92"/>
        <v>10.199999999999999</v>
      </c>
      <c r="M361" s="1024">
        <f t="shared" ca="1" si="92"/>
        <v>10.404</v>
      </c>
      <c r="N361" s="1024">
        <f t="shared" ca="1" si="92"/>
        <v>0</v>
      </c>
      <c r="O361" s="1024">
        <f t="shared" ca="1" si="92"/>
        <v>0</v>
      </c>
      <c r="P361" s="1024">
        <f t="shared" ca="1" si="92"/>
        <v>0</v>
      </c>
      <c r="Q361" s="1024">
        <f t="shared" ca="1" si="92"/>
        <v>0</v>
      </c>
      <c r="R361" s="1024">
        <f t="shared" ca="1" si="92"/>
        <v>0</v>
      </c>
      <c r="S361" s="1024">
        <f t="shared" ca="1" si="92"/>
        <v>0</v>
      </c>
      <c r="T361" s="1024">
        <f t="shared" ca="1" si="92"/>
        <v>0</v>
      </c>
      <c r="U361" s="1024">
        <f t="shared" ca="1" si="92"/>
        <v>0</v>
      </c>
      <c r="V361" s="1024">
        <f t="shared" ca="1" si="92"/>
        <v>0</v>
      </c>
      <c r="W361" s="1024">
        <f t="shared" ca="1" si="92"/>
        <v>0</v>
      </c>
      <c r="X361" s="1024">
        <f t="shared" ca="1" si="92"/>
        <v>0</v>
      </c>
      <c r="Y361" s="1024">
        <f t="shared" ca="1" si="92"/>
        <v>0</v>
      </c>
      <c r="Z361" s="1024">
        <f t="shared" ca="1" si="92"/>
        <v>0</v>
      </c>
      <c r="AA361" s="1024">
        <f t="shared" ca="1" si="92"/>
        <v>0</v>
      </c>
      <c r="AB361" s="1024">
        <f t="shared" ca="1" si="92"/>
        <v>0</v>
      </c>
      <c r="AC361" s="1024">
        <f t="shared" ca="1" si="92"/>
        <v>0</v>
      </c>
      <c r="AD361" s="1024">
        <f t="shared" ca="1" si="92"/>
        <v>0</v>
      </c>
      <c r="AE361" s="1024">
        <f t="shared" ca="1" si="92"/>
        <v>0</v>
      </c>
      <c r="AF361" s="1024">
        <f t="shared" ca="1" si="92"/>
        <v>0</v>
      </c>
      <c r="AG361" s="1024">
        <f t="shared" ca="1" si="92"/>
        <v>0</v>
      </c>
      <c r="AH361" s="1024">
        <f t="shared" ca="1" si="92"/>
        <v>0</v>
      </c>
      <c r="AI361" s="1024">
        <f t="shared" ca="1" si="92"/>
        <v>0</v>
      </c>
      <c r="AJ361" s="1024">
        <f t="shared" ca="1" si="92"/>
        <v>0</v>
      </c>
      <c r="AK361" s="1024">
        <f t="shared" ca="1" si="92"/>
        <v>0</v>
      </c>
      <c r="AL361" s="1024">
        <f t="shared" ca="1" si="92"/>
        <v>0</v>
      </c>
      <c r="AM361" s="1024">
        <f t="shared" ca="1" si="92"/>
        <v>0</v>
      </c>
      <c r="AN361" s="1024">
        <f t="shared" ca="1" si="92"/>
        <v>0</v>
      </c>
      <c r="AO361" s="1024">
        <f t="shared" ca="1" si="92"/>
        <v>0</v>
      </c>
      <c r="AP361" s="1024">
        <f t="shared" ca="1" si="92"/>
        <v>0</v>
      </c>
      <c r="AQ361" s="1024">
        <f t="shared" ca="1" si="92"/>
        <v>0</v>
      </c>
      <c r="AR361" s="1024">
        <f t="shared" ca="1" si="92"/>
        <v>0</v>
      </c>
      <c r="AS361" s="1024">
        <f t="shared" ca="1" si="92"/>
        <v>0</v>
      </c>
      <c r="AT361" s="1024">
        <f t="shared" ca="1" si="92"/>
        <v>0</v>
      </c>
      <c r="AU361" s="1024">
        <f t="shared" ca="1" si="92"/>
        <v>0</v>
      </c>
      <c r="AV361" s="1024">
        <f t="shared" ca="1" si="92"/>
        <v>0</v>
      </c>
      <c r="AW361" s="1024">
        <f t="shared" ca="1" si="92"/>
        <v>0</v>
      </c>
      <c r="AX361" s="1024">
        <f t="shared" ca="1" si="92"/>
        <v>0</v>
      </c>
    </row>
    <row r="362" spans="1:50" ht="15" customHeight="1">
      <c r="A362" s="347"/>
      <c r="B362" s="507"/>
      <c r="C362" s="333"/>
      <c r="D362" s="1112"/>
      <c r="E362" s="1024"/>
      <c r="F362" s="1024"/>
      <c r="G362" s="1024"/>
      <c r="H362" s="1024"/>
      <c r="I362" s="1024"/>
      <c r="J362" s="1024"/>
      <c r="K362" s="1024"/>
      <c r="L362" s="1024"/>
      <c r="M362" s="1024"/>
      <c r="N362" s="1024"/>
      <c r="O362" s="1024"/>
      <c r="P362" s="1024"/>
      <c r="Q362" s="1024"/>
      <c r="R362" s="1024"/>
      <c r="S362" s="1024"/>
      <c r="T362" s="1024"/>
      <c r="U362" s="1024"/>
      <c r="V362" s="1024"/>
      <c r="W362" s="1024"/>
      <c r="X362" s="1024"/>
      <c r="Y362" s="1024"/>
      <c r="Z362" s="1024"/>
      <c r="AA362" s="1024"/>
      <c r="AB362" s="1024"/>
      <c r="AC362" s="1024"/>
      <c r="AD362" s="1024"/>
      <c r="AE362" s="1024"/>
      <c r="AF362" s="1024"/>
      <c r="AG362" s="1024"/>
      <c r="AH362" s="1024"/>
      <c r="AI362" s="1024"/>
      <c r="AJ362" s="1024"/>
      <c r="AK362" s="1024"/>
      <c r="AL362" s="1024"/>
      <c r="AM362" s="1024"/>
      <c r="AN362" s="1024"/>
      <c r="AO362" s="1024"/>
      <c r="AP362" s="1024"/>
      <c r="AQ362" s="1024"/>
      <c r="AR362" s="1024"/>
      <c r="AS362" s="1024"/>
      <c r="AT362" s="1024"/>
      <c r="AU362" s="1024"/>
      <c r="AV362" s="1024"/>
      <c r="AW362" s="1024"/>
      <c r="AX362" s="1024"/>
    </row>
    <row r="363" spans="1:50" ht="15" customHeight="1">
      <c r="A363" s="347"/>
      <c r="B363" s="507" t="str">
        <f>Translate!$E$73</f>
        <v>Bonus tax treatment</v>
      </c>
      <c r="C363" s="333"/>
      <c r="D363" s="1112"/>
      <c r="E363" s="1024"/>
      <c r="F363" s="1024"/>
      <c r="G363" s="1024"/>
      <c r="H363" s="1024"/>
      <c r="I363" s="1024"/>
      <c r="J363" s="1024"/>
      <c r="K363" s="1024"/>
      <c r="L363" s="1024"/>
      <c r="M363" s="1024"/>
      <c r="N363" s="1024"/>
      <c r="O363" s="1024"/>
      <c r="P363" s="1024"/>
      <c r="Q363" s="1024"/>
      <c r="R363" s="1024"/>
      <c r="S363" s="1024"/>
      <c r="T363" s="1024"/>
      <c r="U363" s="1024"/>
      <c r="V363" s="1024"/>
      <c r="W363" s="1024"/>
      <c r="X363" s="1024"/>
      <c r="Y363" s="1024"/>
      <c r="Z363" s="1024"/>
      <c r="AA363" s="1024"/>
      <c r="AB363" s="1024"/>
      <c r="AC363" s="1024"/>
      <c r="AD363" s="1024"/>
      <c r="AE363" s="1024"/>
      <c r="AF363" s="1024"/>
      <c r="AG363" s="1024"/>
      <c r="AH363" s="1024"/>
      <c r="AI363" s="1024"/>
      <c r="AJ363" s="1024"/>
      <c r="AK363" s="1024"/>
      <c r="AL363" s="1024"/>
      <c r="AM363" s="1024"/>
      <c r="AN363" s="1024"/>
      <c r="AO363" s="1024"/>
      <c r="AP363" s="1024"/>
      <c r="AQ363" s="1024"/>
      <c r="AR363" s="1024"/>
      <c r="AS363" s="1024"/>
      <c r="AT363" s="1024"/>
      <c r="AU363" s="1024"/>
      <c r="AV363" s="1024"/>
      <c r="AW363" s="1024"/>
      <c r="AX363" s="1024"/>
    </row>
    <row r="364" spans="1:50" ht="15" customHeight="1">
      <c r="A364" s="347"/>
      <c r="B364" s="507"/>
      <c r="C364" s="333"/>
      <c r="D364" s="1112"/>
      <c r="E364" s="1024" t="str">
        <f t="shared" ref="E364:AX364" si="93" xml:space="preserve"> E$136</f>
        <v>Signature bonus</v>
      </c>
      <c r="F364" s="1024">
        <f t="shared" si="93"/>
        <v>0</v>
      </c>
      <c r="G364" s="1024" t="str">
        <f t="shared" si="93"/>
        <v>US$ mn</v>
      </c>
      <c r="H364" s="1024">
        <f t="shared" si="93"/>
        <v>0</v>
      </c>
      <c r="I364" s="1024">
        <f t="shared" ca="1" si="93"/>
        <v>0</v>
      </c>
      <c r="J364" s="1024">
        <f t="shared" si="93"/>
        <v>0</v>
      </c>
      <c r="K364" s="1024">
        <f t="shared" ca="1" si="93"/>
        <v>0</v>
      </c>
      <c r="L364" s="1024">
        <f t="shared" ca="1" si="93"/>
        <v>0</v>
      </c>
      <c r="M364" s="1024">
        <f t="shared" ca="1" si="93"/>
        <v>0</v>
      </c>
      <c r="N364" s="1024">
        <f t="shared" ca="1" si="93"/>
        <v>0</v>
      </c>
      <c r="O364" s="1024">
        <f t="shared" ca="1" si="93"/>
        <v>0</v>
      </c>
      <c r="P364" s="1024">
        <f t="shared" ca="1" si="93"/>
        <v>0</v>
      </c>
      <c r="Q364" s="1024">
        <f t="shared" ca="1" si="93"/>
        <v>0</v>
      </c>
      <c r="R364" s="1024">
        <f t="shared" ca="1" si="93"/>
        <v>0</v>
      </c>
      <c r="S364" s="1024">
        <f t="shared" ca="1" si="93"/>
        <v>0</v>
      </c>
      <c r="T364" s="1024">
        <f t="shared" ca="1" si="93"/>
        <v>0</v>
      </c>
      <c r="U364" s="1024">
        <f t="shared" ca="1" si="93"/>
        <v>0</v>
      </c>
      <c r="V364" s="1024">
        <f t="shared" ca="1" si="93"/>
        <v>0</v>
      </c>
      <c r="W364" s="1024">
        <f t="shared" ca="1" si="93"/>
        <v>0</v>
      </c>
      <c r="X364" s="1024">
        <f t="shared" ca="1" si="93"/>
        <v>0</v>
      </c>
      <c r="Y364" s="1024">
        <f t="shared" ca="1" si="93"/>
        <v>0</v>
      </c>
      <c r="Z364" s="1024">
        <f t="shared" ca="1" si="93"/>
        <v>0</v>
      </c>
      <c r="AA364" s="1024">
        <f t="shared" ca="1" si="93"/>
        <v>0</v>
      </c>
      <c r="AB364" s="1024">
        <f t="shared" ca="1" si="93"/>
        <v>0</v>
      </c>
      <c r="AC364" s="1024">
        <f t="shared" ca="1" si="93"/>
        <v>0</v>
      </c>
      <c r="AD364" s="1024">
        <f t="shared" ca="1" si="93"/>
        <v>0</v>
      </c>
      <c r="AE364" s="1024">
        <f t="shared" ca="1" si="93"/>
        <v>0</v>
      </c>
      <c r="AF364" s="1024">
        <f t="shared" ca="1" si="93"/>
        <v>0</v>
      </c>
      <c r="AG364" s="1024">
        <f t="shared" ca="1" si="93"/>
        <v>0</v>
      </c>
      <c r="AH364" s="1024">
        <f t="shared" ca="1" si="93"/>
        <v>0</v>
      </c>
      <c r="AI364" s="1024">
        <f t="shared" ca="1" si="93"/>
        <v>0</v>
      </c>
      <c r="AJ364" s="1024">
        <f t="shared" ca="1" si="93"/>
        <v>0</v>
      </c>
      <c r="AK364" s="1024">
        <f t="shared" ca="1" si="93"/>
        <v>0</v>
      </c>
      <c r="AL364" s="1024">
        <f t="shared" ca="1" si="93"/>
        <v>0</v>
      </c>
      <c r="AM364" s="1024">
        <f t="shared" ca="1" si="93"/>
        <v>0</v>
      </c>
      <c r="AN364" s="1024">
        <f t="shared" ca="1" si="93"/>
        <v>0</v>
      </c>
      <c r="AO364" s="1024">
        <f t="shared" ca="1" si="93"/>
        <v>0</v>
      </c>
      <c r="AP364" s="1024">
        <f t="shared" ca="1" si="93"/>
        <v>0</v>
      </c>
      <c r="AQ364" s="1024">
        <f t="shared" ca="1" si="93"/>
        <v>0</v>
      </c>
      <c r="AR364" s="1024">
        <f t="shared" ca="1" si="93"/>
        <v>0</v>
      </c>
      <c r="AS364" s="1024">
        <f t="shared" ca="1" si="93"/>
        <v>0</v>
      </c>
      <c r="AT364" s="1024">
        <f t="shared" ca="1" si="93"/>
        <v>0</v>
      </c>
      <c r="AU364" s="1024">
        <f t="shared" ca="1" si="93"/>
        <v>0</v>
      </c>
      <c r="AV364" s="1024">
        <f t="shared" ca="1" si="93"/>
        <v>0</v>
      </c>
      <c r="AW364" s="1024">
        <f t="shared" ca="1" si="93"/>
        <v>0</v>
      </c>
      <c r="AX364" s="1024">
        <f t="shared" ca="1" si="93"/>
        <v>0</v>
      </c>
    </row>
    <row r="365" spans="1:50" ht="15" customHeight="1">
      <c r="A365" s="347"/>
      <c r="B365" s="507"/>
      <c r="C365" s="333"/>
      <c r="D365" s="1112"/>
      <c r="E365" s="383" t="str">
        <f xml:space="preserve"> FiscalModel!E$17</f>
        <v>Bonuses tax deductible</v>
      </c>
      <c r="F365" s="413">
        <f xml:space="preserve"> FiscalModel!F$17</f>
        <v>0</v>
      </c>
      <c r="G365" s="383" t="str">
        <f xml:space="preserve"> FiscalModel!G$17</f>
        <v>Option</v>
      </c>
      <c r="H365" s="1024"/>
      <c r="I365" s="1024"/>
      <c r="J365" s="1024"/>
      <c r="K365" s="1024"/>
      <c r="L365" s="1024"/>
      <c r="M365" s="1024"/>
      <c r="N365" s="1024"/>
      <c r="O365" s="1024"/>
      <c r="P365" s="1024"/>
      <c r="Q365" s="1024"/>
      <c r="R365" s="1024"/>
      <c r="S365" s="1024"/>
      <c r="T365" s="1024"/>
      <c r="U365" s="1024"/>
      <c r="V365" s="1024"/>
      <c r="W365" s="1024"/>
      <c r="X365" s="1024"/>
      <c r="Y365" s="1024"/>
      <c r="Z365" s="1024"/>
      <c r="AA365" s="1024"/>
      <c r="AB365" s="1024"/>
      <c r="AC365" s="1024"/>
      <c r="AD365" s="1024"/>
      <c r="AE365" s="1024"/>
      <c r="AF365" s="1024"/>
      <c r="AG365" s="1024"/>
      <c r="AH365" s="1024"/>
      <c r="AI365" s="1024"/>
      <c r="AJ365" s="1024"/>
      <c r="AK365" s="1024"/>
      <c r="AL365" s="1024"/>
      <c r="AM365" s="1024"/>
      <c r="AN365" s="1024"/>
      <c r="AO365" s="1024"/>
      <c r="AP365" s="1024"/>
      <c r="AQ365" s="1024"/>
      <c r="AR365" s="1024"/>
      <c r="AS365" s="1024"/>
      <c r="AT365" s="1024"/>
      <c r="AU365" s="1024"/>
      <c r="AV365" s="1024"/>
      <c r="AW365" s="1024"/>
      <c r="AX365" s="1024"/>
    </row>
    <row r="366" spans="1:50" ht="15" customHeight="1">
      <c r="A366" s="325"/>
      <c r="B366" s="643"/>
      <c r="C366" s="333"/>
      <c r="D366" s="1097"/>
      <c r="E366" s="219" t="str">
        <f>Inputs!E$81</f>
        <v>Label: yes</v>
      </c>
      <c r="F366" s="552" t="str">
        <f>Inputs!F$81</f>
        <v>yes</v>
      </c>
      <c r="G366" s="219" t="str">
        <f>Inputs!G$81</f>
        <v>Label</v>
      </c>
      <c r="H366" s="1049"/>
      <c r="I366" s="1097"/>
      <c r="J366" s="1054"/>
      <c r="K366" s="1054"/>
      <c r="L366" s="1054"/>
      <c r="M366" s="1054"/>
      <c r="N366" s="1054"/>
      <c r="O366" s="1054"/>
      <c r="P366" s="1054"/>
      <c r="Q366" s="1054"/>
      <c r="R366" s="1054"/>
      <c r="S366" s="1054"/>
      <c r="T366" s="1054"/>
      <c r="U366" s="1054"/>
      <c r="V366" s="1054"/>
      <c r="W366" s="1054"/>
      <c r="X366" s="1054"/>
      <c r="Y366" s="1054"/>
      <c r="Z366" s="1054"/>
      <c r="AA366" s="1054"/>
      <c r="AB366" s="1054"/>
      <c r="AC366" s="1054"/>
      <c r="AD366" s="1054"/>
      <c r="AE366" s="1054"/>
      <c r="AF366" s="1054"/>
      <c r="AG366" s="1054"/>
      <c r="AH366" s="1054"/>
      <c r="AI366" s="1054"/>
      <c r="AJ366" s="1054"/>
      <c r="AK366" s="1054"/>
      <c r="AL366" s="1054"/>
      <c r="AM366" s="1054"/>
      <c r="AN366" s="1054"/>
      <c r="AO366" s="1054"/>
      <c r="AP366" s="1054"/>
      <c r="AQ366" s="1054"/>
      <c r="AR366" s="1054"/>
      <c r="AS366" s="1054"/>
      <c r="AT366" s="1054"/>
      <c r="AU366" s="1054"/>
      <c r="AV366" s="1054"/>
      <c r="AW366" s="1054"/>
      <c r="AX366" s="1054"/>
    </row>
    <row r="367" spans="1:50" ht="15" customHeight="1">
      <c r="A367" s="347"/>
      <c r="B367" s="507"/>
      <c r="C367" s="333"/>
      <c r="D367" s="1112"/>
      <c r="E367" s="1024" t="str">
        <f xml:space="preserve"> E364  &amp; ": " &amp; Translate!$E$468</f>
        <v>Signature bonus: tax deductible</v>
      </c>
      <c r="F367" s="1024"/>
      <c r="G367" s="1024" t="str">
        <f xml:space="preserve"> G364</f>
        <v>US$ mn</v>
      </c>
      <c r="H367" s="1024" t="str">
        <f>Translate!$E$305</f>
        <v>assumed via depreciation</v>
      </c>
      <c r="I367" s="1024">
        <f ca="1" xml:space="preserve"> SUM(K367:AX367)</f>
        <v>0</v>
      </c>
      <c r="J367" s="1024"/>
      <c r="K367" s="1024">
        <f ca="1" xml:space="preserve"> K364 * ($F365 = $F366)</f>
        <v>0</v>
      </c>
      <c r="L367" s="1024">
        <f t="shared" ref="L367:AX367" ca="1" si="94" xml:space="preserve"> L364 * ($F365 = $F366)</f>
        <v>0</v>
      </c>
      <c r="M367" s="1024">
        <f t="shared" ca="1" si="94"/>
        <v>0</v>
      </c>
      <c r="N367" s="1024">
        <f t="shared" ca="1" si="94"/>
        <v>0</v>
      </c>
      <c r="O367" s="1024">
        <f t="shared" ca="1" si="94"/>
        <v>0</v>
      </c>
      <c r="P367" s="1024">
        <f t="shared" ca="1" si="94"/>
        <v>0</v>
      </c>
      <c r="Q367" s="1024">
        <f t="shared" ca="1" si="94"/>
        <v>0</v>
      </c>
      <c r="R367" s="1024">
        <f t="shared" ca="1" si="94"/>
        <v>0</v>
      </c>
      <c r="S367" s="1024">
        <f t="shared" ca="1" si="94"/>
        <v>0</v>
      </c>
      <c r="T367" s="1024">
        <f t="shared" ca="1" si="94"/>
        <v>0</v>
      </c>
      <c r="U367" s="1024">
        <f t="shared" ca="1" si="94"/>
        <v>0</v>
      </c>
      <c r="V367" s="1024">
        <f t="shared" ca="1" si="94"/>
        <v>0</v>
      </c>
      <c r="W367" s="1024">
        <f t="shared" ca="1" si="94"/>
        <v>0</v>
      </c>
      <c r="X367" s="1024">
        <f t="shared" ca="1" si="94"/>
        <v>0</v>
      </c>
      <c r="Y367" s="1024">
        <f t="shared" ca="1" si="94"/>
        <v>0</v>
      </c>
      <c r="Z367" s="1024">
        <f t="shared" ca="1" si="94"/>
        <v>0</v>
      </c>
      <c r="AA367" s="1024">
        <f t="shared" ca="1" si="94"/>
        <v>0</v>
      </c>
      <c r="AB367" s="1024">
        <f t="shared" ca="1" si="94"/>
        <v>0</v>
      </c>
      <c r="AC367" s="1024">
        <f t="shared" ca="1" si="94"/>
        <v>0</v>
      </c>
      <c r="AD367" s="1024">
        <f t="shared" ca="1" si="94"/>
        <v>0</v>
      </c>
      <c r="AE367" s="1024">
        <f t="shared" ca="1" si="94"/>
        <v>0</v>
      </c>
      <c r="AF367" s="1024">
        <f t="shared" ca="1" si="94"/>
        <v>0</v>
      </c>
      <c r="AG367" s="1024">
        <f t="shared" ca="1" si="94"/>
        <v>0</v>
      </c>
      <c r="AH367" s="1024">
        <f t="shared" ca="1" si="94"/>
        <v>0</v>
      </c>
      <c r="AI367" s="1024">
        <f t="shared" ca="1" si="94"/>
        <v>0</v>
      </c>
      <c r="AJ367" s="1024">
        <f t="shared" ca="1" si="94"/>
        <v>0</v>
      </c>
      <c r="AK367" s="1024">
        <f t="shared" ca="1" si="94"/>
        <v>0</v>
      </c>
      <c r="AL367" s="1024">
        <f t="shared" ca="1" si="94"/>
        <v>0</v>
      </c>
      <c r="AM367" s="1024">
        <f t="shared" ca="1" si="94"/>
        <v>0</v>
      </c>
      <c r="AN367" s="1024">
        <f t="shared" ca="1" si="94"/>
        <v>0</v>
      </c>
      <c r="AO367" s="1024">
        <f t="shared" ca="1" si="94"/>
        <v>0</v>
      </c>
      <c r="AP367" s="1024">
        <f t="shared" ca="1" si="94"/>
        <v>0</v>
      </c>
      <c r="AQ367" s="1024">
        <f t="shared" ca="1" si="94"/>
        <v>0</v>
      </c>
      <c r="AR367" s="1024">
        <f t="shared" ca="1" si="94"/>
        <v>0</v>
      </c>
      <c r="AS367" s="1024">
        <f t="shared" ca="1" si="94"/>
        <v>0</v>
      </c>
      <c r="AT367" s="1024">
        <f t="shared" ca="1" si="94"/>
        <v>0</v>
      </c>
      <c r="AU367" s="1024">
        <f t="shared" ca="1" si="94"/>
        <v>0</v>
      </c>
      <c r="AV367" s="1024">
        <f t="shared" ca="1" si="94"/>
        <v>0</v>
      </c>
      <c r="AW367" s="1024">
        <f t="shared" ca="1" si="94"/>
        <v>0</v>
      </c>
      <c r="AX367" s="1024">
        <f t="shared" ca="1" si="94"/>
        <v>0</v>
      </c>
    </row>
    <row r="368" spans="1:50" ht="15" customHeight="1">
      <c r="A368" s="347"/>
      <c r="B368" s="507"/>
      <c r="C368" s="333"/>
      <c r="D368" s="1112"/>
      <c r="E368" s="1024"/>
      <c r="F368" s="1024"/>
      <c r="G368" s="1024"/>
      <c r="H368" s="1024"/>
      <c r="I368" s="1024"/>
      <c r="J368" s="1024"/>
      <c r="K368" s="1024"/>
      <c r="L368" s="1024"/>
      <c r="M368" s="1024"/>
      <c r="N368" s="1024"/>
      <c r="O368" s="1024"/>
      <c r="P368" s="1024"/>
      <c r="Q368" s="1024"/>
      <c r="R368" s="1024"/>
      <c r="S368" s="1024"/>
      <c r="T368" s="1024"/>
      <c r="U368" s="1024"/>
      <c r="V368" s="1024"/>
      <c r="W368" s="1024"/>
      <c r="X368" s="1024"/>
      <c r="Y368" s="1024"/>
      <c r="Z368" s="1024"/>
      <c r="AA368" s="1024"/>
      <c r="AB368" s="1024"/>
      <c r="AC368" s="1024"/>
      <c r="AD368" s="1024"/>
      <c r="AE368" s="1024"/>
      <c r="AF368" s="1024"/>
      <c r="AG368" s="1024"/>
      <c r="AH368" s="1024"/>
      <c r="AI368" s="1024"/>
      <c r="AJ368" s="1024"/>
      <c r="AK368" s="1024"/>
      <c r="AL368" s="1024"/>
      <c r="AM368" s="1024"/>
      <c r="AN368" s="1024"/>
      <c r="AO368" s="1024"/>
      <c r="AP368" s="1024"/>
      <c r="AQ368" s="1024"/>
      <c r="AR368" s="1024"/>
      <c r="AS368" s="1024"/>
      <c r="AT368" s="1024"/>
      <c r="AU368" s="1024"/>
      <c r="AV368" s="1024"/>
      <c r="AW368" s="1024"/>
      <c r="AX368" s="1024"/>
    </row>
    <row r="369" spans="1:50" ht="15" customHeight="1">
      <c r="A369" s="347"/>
      <c r="B369" s="507"/>
      <c r="C369" s="333"/>
      <c r="D369" s="1112"/>
      <c r="E369" s="1024"/>
      <c r="F369" s="1024"/>
      <c r="G369" s="1024"/>
      <c r="H369" s="1024"/>
      <c r="I369" s="1024"/>
      <c r="J369" s="1024"/>
      <c r="K369" s="1024"/>
      <c r="L369" s="1024"/>
      <c r="M369" s="1024"/>
      <c r="N369" s="1024"/>
      <c r="O369" s="1024"/>
      <c r="P369" s="1024"/>
      <c r="Q369" s="1024"/>
      <c r="R369" s="1024"/>
      <c r="S369" s="1024"/>
      <c r="T369" s="1024"/>
      <c r="U369" s="1024"/>
      <c r="V369" s="1024"/>
      <c r="W369" s="1024"/>
      <c r="X369" s="1024"/>
      <c r="Y369" s="1024"/>
      <c r="Z369" s="1024"/>
      <c r="AA369" s="1024"/>
      <c r="AB369" s="1024"/>
      <c r="AC369" s="1024"/>
      <c r="AD369" s="1024"/>
      <c r="AE369" s="1024"/>
      <c r="AF369" s="1024"/>
      <c r="AG369" s="1024"/>
      <c r="AH369" s="1024"/>
      <c r="AI369" s="1024"/>
      <c r="AJ369" s="1024"/>
      <c r="AK369" s="1024"/>
      <c r="AL369" s="1024"/>
      <c r="AM369" s="1024"/>
      <c r="AN369" s="1024"/>
      <c r="AO369" s="1024"/>
      <c r="AP369" s="1024"/>
      <c r="AQ369" s="1024"/>
      <c r="AR369" s="1024"/>
      <c r="AS369" s="1024"/>
      <c r="AT369" s="1024"/>
      <c r="AU369" s="1024"/>
      <c r="AV369" s="1024"/>
      <c r="AW369" s="1024"/>
      <c r="AX369" s="1024"/>
    </row>
    <row r="370" spans="1:50" ht="15" customHeight="1">
      <c r="A370" s="347"/>
      <c r="B370" s="507" t="str">
        <f>Translate!$E$74</f>
        <v>Costs for depreciation calculation</v>
      </c>
      <c r="C370" s="333"/>
      <c r="D370" s="1112"/>
      <c r="E370" s="1024"/>
      <c r="F370" s="1048"/>
      <c r="G370" s="346"/>
      <c r="H370" s="346"/>
      <c r="I370" s="1112"/>
      <c r="J370" s="1059"/>
      <c r="K370" s="1048"/>
      <c r="L370" s="1048"/>
      <c r="M370" s="1048"/>
      <c r="N370" s="1048"/>
      <c r="O370" s="1048"/>
      <c r="P370" s="1048"/>
      <c r="Q370" s="1048"/>
      <c r="R370" s="1048"/>
      <c r="S370" s="1048"/>
      <c r="T370" s="1048"/>
      <c r="U370" s="1048"/>
      <c r="V370" s="1048"/>
      <c r="W370" s="1048"/>
      <c r="X370" s="1048"/>
      <c r="Y370" s="1048"/>
      <c r="Z370" s="1048"/>
      <c r="AA370" s="1048"/>
      <c r="AB370" s="1048"/>
      <c r="AC370" s="1048"/>
      <c r="AD370" s="1048"/>
      <c r="AE370" s="1048"/>
      <c r="AF370" s="1048"/>
      <c r="AG370" s="1048"/>
      <c r="AH370" s="1048"/>
      <c r="AI370" s="1048"/>
      <c r="AJ370" s="1048"/>
      <c r="AK370" s="1048"/>
      <c r="AL370" s="1048"/>
      <c r="AM370" s="1048"/>
      <c r="AN370" s="1048"/>
      <c r="AO370" s="1048"/>
      <c r="AP370" s="1048"/>
      <c r="AQ370" s="1048"/>
      <c r="AR370" s="1048"/>
      <c r="AS370" s="1048"/>
      <c r="AT370" s="1048"/>
      <c r="AU370" s="1048"/>
      <c r="AV370" s="1048"/>
      <c r="AW370" s="1048"/>
      <c r="AX370" s="1048"/>
    </row>
    <row r="371" spans="1:50" ht="15" customHeight="1">
      <c r="A371" s="347"/>
      <c r="B371" s="507"/>
      <c r="C371" s="333"/>
      <c r="D371" s="1112"/>
      <c r="E371" s="1024" t="str">
        <f t="shared" ref="E371:AX371" si="95" xml:space="preserve"> E$360</f>
        <v>Exploration costs, after ELT into depreciation</v>
      </c>
      <c r="F371" s="1024">
        <f t="shared" si="95"/>
        <v>0</v>
      </c>
      <c r="G371" s="1024" t="str">
        <f t="shared" si="95"/>
        <v>US$ mn</v>
      </c>
      <c r="H371" s="1024">
        <f t="shared" si="95"/>
        <v>0</v>
      </c>
      <c r="I371" s="1024">
        <f t="shared" ca="1" si="95"/>
        <v>0</v>
      </c>
      <c r="J371" s="1024">
        <f t="shared" si="95"/>
        <v>0</v>
      </c>
      <c r="K371" s="1024">
        <f t="shared" ca="1" si="95"/>
        <v>0</v>
      </c>
      <c r="L371" s="1024">
        <f t="shared" ca="1" si="95"/>
        <v>0</v>
      </c>
      <c r="M371" s="1024">
        <f t="shared" ca="1" si="95"/>
        <v>0</v>
      </c>
      <c r="N371" s="1024">
        <f t="shared" ca="1" si="95"/>
        <v>0</v>
      </c>
      <c r="O371" s="1024">
        <f t="shared" ca="1" si="95"/>
        <v>0</v>
      </c>
      <c r="P371" s="1024">
        <f t="shared" ca="1" si="95"/>
        <v>0</v>
      </c>
      <c r="Q371" s="1024">
        <f t="shared" ca="1" si="95"/>
        <v>0</v>
      </c>
      <c r="R371" s="1024">
        <f t="shared" ca="1" si="95"/>
        <v>0</v>
      </c>
      <c r="S371" s="1024">
        <f t="shared" ca="1" si="95"/>
        <v>0</v>
      </c>
      <c r="T371" s="1024">
        <f t="shared" ca="1" si="95"/>
        <v>0</v>
      </c>
      <c r="U371" s="1024">
        <f t="shared" ca="1" si="95"/>
        <v>0</v>
      </c>
      <c r="V371" s="1024">
        <f t="shared" ca="1" si="95"/>
        <v>0</v>
      </c>
      <c r="W371" s="1024">
        <f t="shared" ca="1" si="95"/>
        <v>0</v>
      </c>
      <c r="X371" s="1024">
        <f t="shared" ca="1" si="95"/>
        <v>0</v>
      </c>
      <c r="Y371" s="1024">
        <f t="shared" ca="1" si="95"/>
        <v>0</v>
      </c>
      <c r="Z371" s="1024">
        <f t="shared" ca="1" si="95"/>
        <v>0</v>
      </c>
      <c r="AA371" s="1024">
        <f t="shared" ca="1" si="95"/>
        <v>0</v>
      </c>
      <c r="AB371" s="1024">
        <f t="shared" ca="1" si="95"/>
        <v>0</v>
      </c>
      <c r="AC371" s="1024">
        <f t="shared" ca="1" si="95"/>
        <v>0</v>
      </c>
      <c r="AD371" s="1024">
        <f t="shared" ca="1" si="95"/>
        <v>0</v>
      </c>
      <c r="AE371" s="1024">
        <f t="shared" ca="1" si="95"/>
        <v>0</v>
      </c>
      <c r="AF371" s="1024">
        <f t="shared" ca="1" si="95"/>
        <v>0</v>
      </c>
      <c r="AG371" s="1024">
        <f t="shared" ca="1" si="95"/>
        <v>0</v>
      </c>
      <c r="AH371" s="1024">
        <f t="shared" ca="1" si="95"/>
        <v>0</v>
      </c>
      <c r="AI371" s="1024">
        <f t="shared" ca="1" si="95"/>
        <v>0</v>
      </c>
      <c r="AJ371" s="1024">
        <f t="shared" ca="1" si="95"/>
        <v>0</v>
      </c>
      <c r="AK371" s="1024">
        <f t="shared" ca="1" si="95"/>
        <v>0</v>
      </c>
      <c r="AL371" s="1024">
        <f t="shared" ca="1" si="95"/>
        <v>0</v>
      </c>
      <c r="AM371" s="1024">
        <f t="shared" ca="1" si="95"/>
        <v>0</v>
      </c>
      <c r="AN371" s="1024">
        <f t="shared" ca="1" si="95"/>
        <v>0</v>
      </c>
      <c r="AO371" s="1024">
        <f t="shared" ca="1" si="95"/>
        <v>0</v>
      </c>
      <c r="AP371" s="1024">
        <f t="shared" ca="1" si="95"/>
        <v>0</v>
      </c>
      <c r="AQ371" s="1024">
        <f t="shared" ca="1" si="95"/>
        <v>0</v>
      </c>
      <c r="AR371" s="1024">
        <f t="shared" ca="1" si="95"/>
        <v>0</v>
      </c>
      <c r="AS371" s="1024">
        <f t="shared" ca="1" si="95"/>
        <v>0</v>
      </c>
      <c r="AT371" s="1024">
        <f t="shared" ca="1" si="95"/>
        <v>0</v>
      </c>
      <c r="AU371" s="1024">
        <f t="shared" ca="1" si="95"/>
        <v>0</v>
      </c>
      <c r="AV371" s="1024">
        <f t="shared" ca="1" si="95"/>
        <v>0</v>
      </c>
      <c r="AW371" s="1024">
        <f t="shared" ca="1" si="95"/>
        <v>0</v>
      </c>
      <c r="AX371" s="1024">
        <f t="shared" ca="1" si="95"/>
        <v>0</v>
      </c>
    </row>
    <row r="372" spans="1:50" ht="15" customHeight="1">
      <c r="A372" s="347"/>
      <c r="B372" s="507"/>
      <c r="C372" s="333"/>
      <c r="D372" s="1112"/>
      <c r="E372" s="1024" t="str">
        <f t="shared" ref="E372:AX372" si="96" xml:space="preserve"> E$367</f>
        <v>Signature bonus: tax deductible</v>
      </c>
      <c r="F372" s="1024">
        <f t="shared" si="96"/>
        <v>0</v>
      </c>
      <c r="G372" s="1024" t="str">
        <f t="shared" si="96"/>
        <v>US$ mn</v>
      </c>
      <c r="H372" s="1024" t="str">
        <f t="shared" si="96"/>
        <v>assumed via depreciation</v>
      </c>
      <c r="I372" s="1024">
        <f t="shared" ca="1" si="96"/>
        <v>0</v>
      </c>
      <c r="J372" s="1024">
        <f t="shared" si="96"/>
        <v>0</v>
      </c>
      <c r="K372" s="1024">
        <f t="shared" ca="1" si="96"/>
        <v>0</v>
      </c>
      <c r="L372" s="1024">
        <f t="shared" ca="1" si="96"/>
        <v>0</v>
      </c>
      <c r="M372" s="1024">
        <f t="shared" ca="1" si="96"/>
        <v>0</v>
      </c>
      <c r="N372" s="1024">
        <f t="shared" ca="1" si="96"/>
        <v>0</v>
      </c>
      <c r="O372" s="1024">
        <f t="shared" ca="1" si="96"/>
        <v>0</v>
      </c>
      <c r="P372" s="1024">
        <f t="shared" ca="1" si="96"/>
        <v>0</v>
      </c>
      <c r="Q372" s="1024">
        <f t="shared" ca="1" si="96"/>
        <v>0</v>
      </c>
      <c r="R372" s="1024">
        <f t="shared" ca="1" si="96"/>
        <v>0</v>
      </c>
      <c r="S372" s="1024">
        <f t="shared" ca="1" si="96"/>
        <v>0</v>
      </c>
      <c r="T372" s="1024">
        <f t="shared" ca="1" si="96"/>
        <v>0</v>
      </c>
      <c r="U372" s="1024">
        <f t="shared" ca="1" si="96"/>
        <v>0</v>
      </c>
      <c r="V372" s="1024">
        <f t="shared" ca="1" si="96"/>
        <v>0</v>
      </c>
      <c r="W372" s="1024">
        <f t="shared" ca="1" si="96"/>
        <v>0</v>
      </c>
      <c r="X372" s="1024">
        <f t="shared" ca="1" si="96"/>
        <v>0</v>
      </c>
      <c r="Y372" s="1024">
        <f t="shared" ca="1" si="96"/>
        <v>0</v>
      </c>
      <c r="Z372" s="1024">
        <f t="shared" ca="1" si="96"/>
        <v>0</v>
      </c>
      <c r="AA372" s="1024">
        <f t="shared" ca="1" si="96"/>
        <v>0</v>
      </c>
      <c r="AB372" s="1024">
        <f t="shared" ca="1" si="96"/>
        <v>0</v>
      </c>
      <c r="AC372" s="1024">
        <f t="shared" ca="1" si="96"/>
        <v>0</v>
      </c>
      <c r="AD372" s="1024">
        <f t="shared" ca="1" si="96"/>
        <v>0</v>
      </c>
      <c r="AE372" s="1024">
        <f t="shared" ca="1" si="96"/>
        <v>0</v>
      </c>
      <c r="AF372" s="1024">
        <f t="shared" ca="1" si="96"/>
        <v>0</v>
      </c>
      <c r="AG372" s="1024">
        <f t="shared" ca="1" si="96"/>
        <v>0</v>
      </c>
      <c r="AH372" s="1024">
        <f t="shared" ca="1" si="96"/>
        <v>0</v>
      </c>
      <c r="AI372" s="1024">
        <f t="shared" ca="1" si="96"/>
        <v>0</v>
      </c>
      <c r="AJ372" s="1024">
        <f t="shared" ca="1" si="96"/>
        <v>0</v>
      </c>
      <c r="AK372" s="1024">
        <f t="shared" ca="1" si="96"/>
        <v>0</v>
      </c>
      <c r="AL372" s="1024">
        <f t="shared" ca="1" si="96"/>
        <v>0</v>
      </c>
      <c r="AM372" s="1024">
        <f t="shared" ca="1" si="96"/>
        <v>0</v>
      </c>
      <c r="AN372" s="1024">
        <f t="shared" ca="1" si="96"/>
        <v>0</v>
      </c>
      <c r="AO372" s="1024">
        <f t="shared" ca="1" si="96"/>
        <v>0</v>
      </c>
      <c r="AP372" s="1024">
        <f t="shared" ca="1" si="96"/>
        <v>0</v>
      </c>
      <c r="AQ372" s="1024">
        <f t="shared" ca="1" si="96"/>
        <v>0</v>
      </c>
      <c r="AR372" s="1024">
        <f t="shared" ca="1" si="96"/>
        <v>0</v>
      </c>
      <c r="AS372" s="1024">
        <f t="shared" ca="1" si="96"/>
        <v>0</v>
      </c>
      <c r="AT372" s="1024">
        <f t="shared" ca="1" si="96"/>
        <v>0</v>
      </c>
      <c r="AU372" s="1024">
        <f t="shared" ca="1" si="96"/>
        <v>0</v>
      </c>
      <c r="AV372" s="1024">
        <f t="shared" ca="1" si="96"/>
        <v>0</v>
      </c>
      <c r="AW372" s="1024">
        <f t="shared" ca="1" si="96"/>
        <v>0</v>
      </c>
      <c r="AX372" s="1024">
        <f t="shared" ca="1" si="96"/>
        <v>0</v>
      </c>
    </row>
    <row r="373" spans="1:50" ht="15" customHeight="1">
      <c r="A373" s="347"/>
      <c r="B373" s="507"/>
      <c r="C373" s="333"/>
      <c r="D373" s="1112"/>
      <c r="E373" s="366" t="str">
        <f xml:space="preserve"> ProjectCashflows!E$239</f>
        <v>Development costs, after ELT</v>
      </c>
      <c r="F373" s="366">
        <f xml:space="preserve"> ProjectCashflows!F$239</f>
        <v>0</v>
      </c>
      <c r="G373" s="366" t="str">
        <f xml:space="preserve"> ProjectCashflows!G$239</f>
        <v>US$ mn</v>
      </c>
      <c r="H373" s="366">
        <f xml:space="preserve"> ProjectCashflows!H$239</f>
        <v>0</v>
      </c>
      <c r="I373" s="366">
        <f ca="1" xml:space="preserve"> ProjectCashflows!I$239</f>
        <v>434.07652032000004</v>
      </c>
      <c r="J373" s="366">
        <f xml:space="preserve"> ProjectCashflows!J$239</f>
        <v>0</v>
      </c>
      <c r="K373" s="366">
        <f ca="1" xml:space="preserve"> ProjectCashflows!K$239</f>
        <v>0</v>
      </c>
      <c r="L373" s="366">
        <f ca="1" xml:space="preserve"> ProjectCashflows!L$239</f>
        <v>0</v>
      </c>
      <c r="M373" s="366">
        <f ca="1" xml:space="preserve"> ProjectCashflows!M$239</f>
        <v>0</v>
      </c>
      <c r="N373" s="366">
        <f ca="1" xml:space="preserve"> ProjectCashflows!N$239</f>
        <v>53.060399999999994</v>
      </c>
      <c r="O373" s="366">
        <f ca="1" xml:space="preserve"> ProjectCashflows!O$239</f>
        <v>270.60804000000002</v>
      </c>
      <c r="P373" s="366">
        <f ca="1" xml:space="preserve"> ProjectCashflows!P$239</f>
        <v>110.40808032</v>
      </c>
      <c r="Q373" s="366">
        <f ca="1" xml:space="preserve"> ProjectCashflows!Q$239</f>
        <v>0</v>
      </c>
      <c r="R373" s="366">
        <f ca="1" xml:space="preserve"> ProjectCashflows!R$239</f>
        <v>0</v>
      </c>
      <c r="S373" s="366">
        <f ca="1" xml:space="preserve"> ProjectCashflows!S$239</f>
        <v>0</v>
      </c>
      <c r="T373" s="366">
        <f ca="1" xml:space="preserve"> ProjectCashflows!T$239</f>
        <v>0</v>
      </c>
      <c r="U373" s="366">
        <f ca="1" xml:space="preserve"> ProjectCashflows!U$239</f>
        <v>0</v>
      </c>
      <c r="V373" s="366">
        <f ca="1" xml:space="preserve"> ProjectCashflows!V$239</f>
        <v>0</v>
      </c>
      <c r="W373" s="366">
        <f ca="1" xml:space="preserve"> ProjectCashflows!W$239</f>
        <v>0</v>
      </c>
      <c r="X373" s="366">
        <f ca="1" xml:space="preserve"> ProjectCashflows!X$239</f>
        <v>0</v>
      </c>
      <c r="Y373" s="366">
        <f ca="1" xml:space="preserve"> ProjectCashflows!Y$239</f>
        <v>0</v>
      </c>
      <c r="Z373" s="366">
        <f ca="1" xml:space="preserve"> ProjectCashflows!Z$239</f>
        <v>0</v>
      </c>
      <c r="AA373" s="366">
        <f ca="1" xml:space="preserve"> ProjectCashflows!AA$239</f>
        <v>0</v>
      </c>
      <c r="AB373" s="366">
        <f ca="1" xml:space="preserve"> ProjectCashflows!AB$239</f>
        <v>0</v>
      </c>
      <c r="AC373" s="366">
        <f ca="1" xml:space="preserve"> ProjectCashflows!AC$239</f>
        <v>0</v>
      </c>
      <c r="AD373" s="366">
        <f ca="1" xml:space="preserve"> ProjectCashflows!AD$239</f>
        <v>0</v>
      </c>
      <c r="AE373" s="366">
        <f ca="1" xml:space="preserve"> ProjectCashflows!AE$239</f>
        <v>0</v>
      </c>
      <c r="AF373" s="366">
        <f ca="1" xml:space="preserve"> ProjectCashflows!AF$239</f>
        <v>0</v>
      </c>
      <c r="AG373" s="366">
        <f ca="1" xml:space="preserve"> ProjectCashflows!AG$239</f>
        <v>0</v>
      </c>
      <c r="AH373" s="366">
        <f ca="1" xml:space="preserve"> ProjectCashflows!AH$239</f>
        <v>0</v>
      </c>
      <c r="AI373" s="366">
        <f ca="1" xml:space="preserve"> ProjectCashflows!AI$239</f>
        <v>0</v>
      </c>
      <c r="AJ373" s="366">
        <f ca="1" xml:space="preserve"> ProjectCashflows!AJ$239</f>
        <v>0</v>
      </c>
      <c r="AK373" s="366">
        <f ca="1" xml:space="preserve"> ProjectCashflows!AK$239</f>
        <v>0</v>
      </c>
      <c r="AL373" s="366">
        <f ca="1" xml:space="preserve"> ProjectCashflows!AL$239</f>
        <v>0</v>
      </c>
      <c r="AM373" s="366">
        <f ca="1" xml:space="preserve"> ProjectCashflows!AM$239</f>
        <v>0</v>
      </c>
      <c r="AN373" s="366">
        <f ca="1" xml:space="preserve"> ProjectCashflows!AN$239</f>
        <v>0</v>
      </c>
      <c r="AO373" s="366">
        <f ca="1" xml:space="preserve"> ProjectCashflows!AO$239</f>
        <v>0</v>
      </c>
      <c r="AP373" s="366">
        <f ca="1" xml:space="preserve"> ProjectCashflows!AP$239</f>
        <v>0</v>
      </c>
      <c r="AQ373" s="366">
        <f ca="1" xml:space="preserve"> ProjectCashflows!AQ$239</f>
        <v>0</v>
      </c>
      <c r="AR373" s="366">
        <f ca="1" xml:space="preserve"> ProjectCashflows!AR$239</f>
        <v>0</v>
      </c>
      <c r="AS373" s="366">
        <f ca="1" xml:space="preserve"> ProjectCashflows!AS$239</f>
        <v>0</v>
      </c>
      <c r="AT373" s="366">
        <f ca="1" xml:space="preserve"> ProjectCashflows!AT$239</f>
        <v>0</v>
      </c>
      <c r="AU373" s="366">
        <f ca="1" xml:space="preserve"> ProjectCashflows!AU$239</f>
        <v>0</v>
      </c>
      <c r="AV373" s="366">
        <f ca="1" xml:space="preserve"> ProjectCashflows!AV$239</f>
        <v>0</v>
      </c>
      <c r="AW373" s="366">
        <f ca="1" xml:space="preserve"> ProjectCashflows!AW$239</f>
        <v>0</v>
      </c>
      <c r="AX373" s="366">
        <f ca="1" xml:space="preserve"> ProjectCashflows!AX$239</f>
        <v>0</v>
      </c>
    </row>
    <row r="374" spans="1:50" ht="15" customHeight="1">
      <c r="A374" s="347"/>
      <c r="B374" s="507"/>
      <c r="C374" s="333"/>
      <c r="D374" s="1112"/>
      <c r="E374" s="366" t="str">
        <f xml:space="preserve"> ProjectCashflows!E$240</f>
        <v>Replacement capital costs, after ELT</v>
      </c>
      <c r="F374" s="366">
        <f xml:space="preserve"> ProjectCashflows!F$240</f>
        <v>0</v>
      </c>
      <c r="G374" s="366" t="str">
        <f xml:space="preserve"> ProjectCashflows!G$240</f>
        <v>US$ mn</v>
      </c>
      <c r="H374" s="366">
        <f xml:space="preserve"> ProjectCashflows!H$240</f>
        <v>0</v>
      </c>
      <c r="I374" s="366">
        <f ca="1" xml:space="preserve"> ProjectCashflows!I$240</f>
        <v>118.46424639696978</v>
      </c>
      <c r="J374" s="366">
        <f xml:space="preserve"> ProjectCashflows!J$240</f>
        <v>0</v>
      </c>
      <c r="K374" s="366">
        <f ca="1" xml:space="preserve"> ProjectCashflows!K$240</f>
        <v>0</v>
      </c>
      <c r="L374" s="366">
        <f ca="1" xml:space="preserve"> ProjectCashflows!L$240</f>
        <v>0</v>
      </c>
      <c r="M374" s="366">
        <f ca="1" xml:space="preserve"> ProjectCashflows!M$240</f>
        <v>0</v>
      </c>
      <c r="N374" s="366">
        <f ca="1" xml:space="preserve"> ProjectCashflows!N$240</f>
        <v>0</v>
      </c>
      <c r="O374" s="366">
        <f ca="1" xml:space="preserve"> ProjectCashflows!O$240</f>
        <v>0</v>
      </c>
      <c r="P374" s="366">
        <f ca="1" xml:space="preserve"> ProjectCashflows!P$240</f>
        <v>8.8326464256000001</v>
      </c>
      <c r="Q374" s="366">
        <f ca="1" xml:space="preserve"> ProjectCashflows!Q$240</f>
        <v>9.0092993541120006</v>
      </c>
      <c r="R374" s="366">
        <f ca="1" xml:space="preserve"> ProjectCashflows!R$240</f>
        <v>9.1894853411942403</v>
      </c>
      <c r="S374" s="366">
        <f ca="1" xml:space="preserve"> ProjectCashflows!S$240</f>
        <v>9.3732750480181259</v>
      </c>
      <c r="T374" s="366">
        <f ca="1" xml:space="preserve"> ProjectCashflows!T$240</f>
        <v>9.5607405489784885</v>
      </c>
      <c r="U374" s="366">
        <f ca="1" xml:space="preserve"> ProjectCashflows!U$240</f>
        <v>9.7519553599580586</v>
      </c>
      <c r="V374" s="366">
        <f ca="1" xml:space="preserve"> ProjectCashflows!V$240</f>
        <v>9.9469944671572197</v>
      </c>
      <c r="W374" s="366">
        <f ca="1" xml:space="preserve"> ProjectCashflows!W$240</f>
        <v>10.145934356500364</v>
      </c>
      <c r="X374" s="366">
        <f ca="1" xml:space="preserve"> ProjectCashflows!X$240</f>
        <v>10.348853043630371</v>
      </c>
      <c r="Y374" s="366">
        <f ca="1" xml:space="preserve"> ProjectCashflows!Y$240</f>
        <v>10.555830104502979</v>
      </c>
      <c r="Z374" s="366">
        <f ca="1" xml:space="preserve"> ProjectCashflows!Z$240</f>
        <v>10.766946706593039</v>
      </c>
      <c r="AA374" s="366">
        <f ca="1" xml:space="preserve"> ProjectCashflows!AA$240</f>
        <v>10.9822856407249</v>
      </c>
      <c r="AB374" s="366">
        <f ca="1" xml:space="preserve"> ProjectCashflows!AB$240</f>
        <v>0</v>
      </c>
      <c r="AC374" s="366">
        <f ca="1" xml:space="preserve"> ProjectCashflows!AC$240</f>
        <v>0</v>
      </c>
      <c r="AD374" s="366">
        <f ca="1" xml:space="preserve"> ProjectCashflows!AD$240</f>
        <v>0</v>
      </c>
      <c r="AE374" s="366">
        <f ca="1" xml:space="preserve"> ProjectCashflows!AE$240</f>
        <v>0</v>
      </c>
      <c r="AF374" s="366">
        <f ca="1" xml:space="preserve"> ProjectCashflows!AF$240</f>
        <v>0</v>
      </c>
      <c r="AG374" s="366">
        <f ca="1" xml:space="preserve"> ProjectCashflows!AG$240</f>
        <v>0</v>
      </c>
      <c r="AH374" s="366">
        <f ca="1" xml:space="preserve"> ProjectCashflows!AH$240</f>
        <v>0</v>
      </c>
      <c r="AI374" s="366">
        <f ca="1" xml:space="preserve"> ProjectCashflows!AI$240</f>
        <v>0</v>
      </c>
      <c r="AJ374" s="366">
        <f ca="1" xml:space="preserve"> ProjectCashflows!AJ$240</f>
        <v>0</v>
      </c>
      <c r="AK374" s="366">
        <f ca="1" xml:space="preserve"> ProjectCashflows!AK$240</f>
        <v>0</v>
      </c>
      <c r="AL374" s="366">
        <f ca="1" xml:space="preserve"> ProjectCashflows!AL$240</f>
        <v>0</v>
      </c>
      <c r="AM374" s="366">
        <f ca="1" xml:space="preserve"> ProjectCashflows!AM$240</f>
        <v>0</v>
      </c>
      <c r="AN374" s="366">
        <f ca="1" xml:space="preserve"> ProjectCashflows!AN$240</f>
        <v>0</v>
      </c>
      <c r="AO374" s="366">
        <f ca="1" xml:space="preserve"> ProjectCashflows!AO$240</f>
        <v>0</v>
      </c>
      <c r="AP374" s="366">
        <f ca="1" xml:space="preserve"> ProjectCashflows!AP$240</f>
        <v>0</v>
      </c>
      <c r="AQ374" s="366">
        <f ca="1" xml:space="preserve"> ProjectCashflows!AQ$240</f>
        <v>0</v>
      </c>
      <c r="AR374" s="366">
        <f ca="1" xml:space="preserve"> ProjectCashflows!AR$240</f>
        <v>0</v>
      </c>
      <c r="AS374" s="366">
        <f ca="1" xml:space="preserve"> ProjectCashflows!AS$240</f>
        <v>0</v>
      </c>
      <c r="AT374" s="366">
        <f ca="1" xml:space="preserve"> ProjectCashflows!AT$240</f>
        <v>0</v>
      </c>
      <c r="AU374" s="366">
        <f ca="1" xml:space="preserve"> ProjectCashflows!AU$240</f>
        <v>0</v>
      </c>
      <c r="AV374" s="366">
        <f ca="1" xml:space="preserve"> ProjectCashflows!AV$240</f>
        <v>0</v>
      </c>
      <c r="AW374" s="366">
        <f ca="1" xml:space="preserve"> ProjectCashflows!AW$240</f>
        <v>0</v>
      </c>
      <c r="AX374" s="366">
        <f ca="1" xml:space="preserve"> ProjectCashflows!AX$240</f>
        <v>0</v>
      </c>
    </row>
    <row r="375" spans="1:50" ht="15" customHeight="1">
      <c r="A375" s="347"/>
      <c r="B375" s="507"/>
      <c r="C375" s="333"/>
      <c r="D375" s="1112"/>
      <c r="E375" s="1024" t="str">
        <f t="shared" ref="E375:AX375" si="97" xml:space="preserve"> E$341</f>
        <v>Interest capitalized into development costs: Mining company</v>
      </c>
      <c r="F375" s="1024">
        <f t="shared" si="97"/>
        <v>0</v>
      </c>
      <c r="G375" s="1024" t="str">
        <f t="shared" si="97"/>
        <v>US$ mn</v>
      </c>
      <c r="H375" s="1024">
        <f t="shared" si="97"/>
        <v>0</v>
      </c>
      <c r="I375" s="1024">
        <f t="shared" ca="1" si="97"/>
        <v>1.3185509400000031</v>
      </c>
      <c r="J375" s="1024">
        <f t="shared" si="97"/>
        <v>0</v>
      </c>
      <c r="K375" s="1024">
        <f t="shared" ca="1" si="97"/>
        <v>0</v>
      </c>
      <c r="L375" s="1024">
        <f t="shared" ca="1" si="97"/>
        <v>0</v>
      </c>
      <c r="M375" s="1024">
        <f t="shared" ca="1" si="97"/>
        <v>0</v>
      </c>
      <c r="N375" s="1024">
        <f t="shared" ca="1" si="97"/>
        <v>1.3185509400000031</v>
      </c>
      <c r="O375" s="1024">
        <f t="shared" ca="1" si="97"/>
        <v>0</v>
      </c>
      <c r="P375" s="1024">
        <f t="shared" ca="1" si="97"/>
        <v>0</v>
      </c>
      <c r="Q375" s="1024">
        <f t="shared" ca="1" si="97"/>
        <v>0</v>
      </c>
      <c r="R375" s="1024">
        <f t="shared" ca="1" si="97"/>
        <v>0</v>
      </c>
      <c r="S375" s="1024">
        <f t="shared" ca="1" si="97"/>
        <v>0</v>
      </c>
      <c r="T375" s="1024">
        <f t="shared" ca="1" si="97"/>
        <v>0</v>
      </c>
      <c r="U375" s="1024">
        <f t="shared" ca="1" si="97"/>
        <v>0</v>
      </c>
      <c r="V375" s="1024">
        <f t="shared" ca="1" si="97"/>
        <v>0</v>
      </c>
      <c r="W375" s="1024">
        <f t="shared" ca="1" si="97"/>
        <v>0</v>
      </c>
      <c r="X375" s="1024">
        <f t="shared" ca="1" si="97"/>
        <v>0</v>
      </c>
      <c r="Y375" s="1024">
        <f t="shared" ca="1" si="97"/>
        <v>0</v>
      </c>
      <c r="Z375" s="1024">
        <f t="shared" ca="1" si="97"/>
        <v>0</v>
      </c>
      <c r="AA375" s="1024">
        <f t="shared" ca="1" si="97"/>
        <v>0</v>
      </c>
      <c r="AB375" s="1024">
        <f t="shared" ca="1" si="97"/>
        <v>0</v>
      </c>
      <c r="AC375" s="1024">
        <f t="shared" ca="1" si="97"/>
        <v>0</v>
      </c>
      <c r="AD375" s="1024">
        <f t="shared" ca="1" si="97"/>
        <v>0</v>
      </c>
      <c r="AE375" s="1024">
        <f t="shared" ca="1" si="97"/>
        <v>0</v>
      </c>
      <c r="AF375" s="1024">
        <f t="shared" ca="1" si="97"/>
        <v>0</v>
      </c>
      <c r="AG375" s="1024">
        <f t="shared" ca="1" si="97"/>
        <v>0</v>
      </c>
      <c r="AH375" s="1024">
        <f t="shared" ca="1" si="97"/>
        <v>0</v>
      </c>
      <c r="AI375" s="1024">
        <f t="shared" ca="1" si="97"/>
        <v>0</v>
      </c>
      <c r="AJ375" s="1024">
        <f t="shared" ca="1" si="97"/>
        <v>0</v>
      </c>
      <c r="AK375" s="1024">
        <f t="shared" ca="1" si="97"/>
        <v>0</v>
      </c>
      <c r="AL375" s="1024">
        <f t="shared" ca="1" si="97"/>
        <v>0</v>
      </c>
      <c r="AM375" s="1024">
        <f t="shared" ca="1" si="97"/>
        <v>0</v>
      </c>
      <c r="AN375" s="1024">
        <f t="shared" ca="1" si="97"/>
        <v>0</v>
      </c>
      <c r="AO375" s="1024">
        <f t="shared" ca="1" si="97"/>
        <v>0</v>
      </c>
      <c r="AP375" s="1024">
        <f t="shared" ca="1" si="97"/>
        <v>0</v>
      </c>
      <c r="AQ375" s="1024">
        <f t="shared" ca="1" si="97"/>
        <v>0</v>
      </c>
      <c r="AR375" s="1024">
        <f t="shared" ca="1" si="97"/>
        <v>0</v>
      </c>
      <c r="AS375" s="1024">
        <f t="shared" ca="1" si="97"/>
        <v>0</v>
      </c>
      <c r="AT375" s="1024">
        <f t="shared" ca="1" si="97"/>
        <v>0</v>
      </c>
      <c r="AU375" s="1024">
        <f t="shared" ca="1" si="97"/>
        <v>0</v>
      </c>
      <c r="AV375" s="1024">
        <f t="shared" ca="1" si="97"/>
        <v>0</v>
      </c>
      <c r="AW375" s="1024">
        <f t="shared" ca="1" si="97"/>
        <v>0</v>
      </c>
      <c r="AX375" s="1024">
        <f t="shared" ca="1" si="97"/>
        <v>0</v>
      </c>
    </row>
    <row r="376" spans="1:50" s="556" customFormat="1" ht="15" customHeight="1">
      <c r="A376" s="569"/>
      <c r="B376" s="697"/>
      <c r="C376" s="554"/>
      <c r="D376" s="1124"/>
      <c r="E376" s="1108" t="str">
        <f>Translate!$E$214</f>
        <v>Capitalized costs: Mining company</v>
      </c>
      <c r="F376" s="1108"/>
      <c r="G376" s="1108" t="str">
        <f xml:space="preserve"> Translate!E$10</f>
        <v>US$ mn</v>
      </c>
      <c r="H376" s="1108"/>
      <c r="I376" s="1108">
        <f ca="1" xml:space="preserve"> SUM(K376:AX376)</f>
        <v>553.85931765696978</v>
      </c>
      <c r="J376" s="1108"/>
      <c r="K376" s="1108">
        <f t="shared" ref="K376:AX376" ca="1" si="98">SUM(K371:K375)</f>
        <v>0</v>
      </c>
      <c r="L376" s="1108">
        <f t="shared" ca="1" si="98"/>
        <v>0</v>
      </c>
      <c r="M376" s="1108">
        <f t="shared" ca="1" si="98"/>
        <v>0</v>
      </c>
      <c r="N376" s="1108">
        <f t="shared" ca="1" si="98"/>
        <v>54.378950939999996</v>
      </c>
      <c r="O376" s="1108">
        <f t="shared" ca="1" si="98"/>
        <v>270.60804000000002</v>
      </c>
      <c r="P376" s="1108">
        <f t="shared" ca="1" si="98"/>
        <v>119.2407267456</v>
      </c>
      <c r="Q376" s="1108">
        <f t="shared" ca="1" si="98"/>
        <v>9.0092993541120006</v>
      </c>
      <c r="R376" s="1108">
        <f t="shared" ca="1" si="98"/>
        <v>9.1894853411942403</v>
      </c>
      <c r="S376" s="1108">
        <f t="shared" ca="1" si="98"/>
        <v>9.3732750480181259</v>
      </c>
      <c r="T376" s="1108">
        <f t="shared" ca="1" si="98"/>
        <v>9.5607405489784885</v>
      </c>
      <c r="U376" s="1108">
        <f t="shared" ca="1" si="98"/>
        <v>9.7519553599580586</v>
      </c>
      <c r="V376" s="1108">
        <f t="shared" ca="1" si="98"/>
        <v>9.9469944671572197</v>
      </c>
      <c r="W376" s="1108">
        <f t="shared" ca="1" si="98"/>
        <v>10.145934356500364</v>
      </c>
      <c r="X376" s="1108">
        <f t="shared" ca="1" si="98"/>
        <v>10.348853043630371</v>
      </c>
      <c r="Y376" s="1108">
        <f t="shared" ca="1" si="98"/>
        <v>10.555830104502979</v>
      </c>
      <c r="Z376" s="1108">
        <f t="shared" ca="1" si="98"/>
        <v>10.766946706593039</v>
      </c>
      <c r="AA376" s="1108">
        <f t="shared" ca="1" si="98"/>
        <v>10.9822856407249</v>
      </c>
      <c r="AB376" s="1108">
        <f t="shared" ca="1" si="98"/>
        <v>0</v>
      </c>
      <c r="AC376" s="1108">
        <f t="shared" ca="1" si="98"/>
        <v>0</v>
      </c>
      <c r="AD376" s="1108">
        <f t="shared" ca="1" si="98"/>
        <v>0</v>
      </c>
      <c r="AE376" s="1108">
        <f t="shared" ca="1" si="98"/>
        <v>0</v>
      </c>
      <c r="AF376" s="1108">
        <f t="shared" ca="1" si="98"/>
        <v>0</v>
      </c>
      <c r="AG376" s="1108">
        <f t="shared" ca="1" si="98"/>
        <v>0</v>
      </c>
      <c r="AH376" s="1108">
        <f t="shared" ca="1" si="98"/>
        <v>0</v>
      </c>
      <c r="AI376" s="1108">
        <f t="shared" ca="1" si="98"/>
        <v>0</v>
      </c>
      <c r="AJ376" s="1108">
        <f t="shared" ca="1" si="98"/>
        <v>0</v>
      </c>
      <c r="AK376" s="1108">
        <f t="shared" ca="1" si="98"/>
        <v>0</v>
      </c>
      <c r="AL376" s="1108">
        <f t="shared" ca="1" si="98"/>
        <v>0</v>
      </c>
      <c r="AM376" s="1108">
        <f t="shared" ca="1" si="98"/>
        <v>0</v>
      </c>
      <c r="AN376" s="1108">
        <f t="shared" ca="1" si="98"/>
        <v>0</v>
      </c>
      <c r="AO376" s="1108">
        <f t="shared" ca="1" si="98"/>
        <v>0</v>
      </c>
      <c r="AP376" s="1108">
        <f t="shared" ca="1" si="98"/>
        <v>0</v>
      </c>
      <c r="AQ376" s="1108">
        <f t="shared" ca="1" si="98"/>
        <v>0</v>
      </c>
      <c r="AR376" s="1108">
        <f t="shared" ca="1" si="98"/>
        <v>0</v>
      </c>
      <c r="AS376" s="1108">
        <f t="shared" ca="1" si="98"/>
        <v>0</v>
      </c>
      <c r="AT376" s="1108">
        <f t="shared" ca="1" si="98"/>
        <v>0</v>
      </c>
      <c r="AU376" s="1108">
        <f t="shared" ca="1" si="98"/>
        <v>0</v>
      </c>
      <c r="AV376" s="1108">
        <f t="shared" ca="1" si="98"/>
        <v>0</v>
      </c>
      <c r="AW376" s="1108">
        <f t="shared" ca="1" si="98"/>
        <v>0</v>
      </c>
      <c r="AX376" s="1108">
        <f t="shared" ca="1" si="98"/>
        <v>0</v>
      </c>
    </row>
    <row r="377" spans="1:50" ht="15" customHeight="1">
      <c r="A377" s="347"/>
      <c r="B377" s="507"/>
      <c r="C377" s="333"/>
      <c r="D377" s="1112"/>
      <c r="E377" s="1024" t="str">
        <f xml:space="preserve"> E376 &amp; " Cum"</f>
        <v>Capitalized costs: Mining company Cum</v>
      </c>
      <c r="F377" s="1024"/>
      <c r="G377" s="1024" t="str">
        <f xml:space="preserve"> G376</f>
        <v>US$ mn</v>
      </c>
      <c r="H377" s="1024"/>
      <c r="I377" s="1024"/>
      <c r="J377" s="1068"/>
      <c r="K377" s="1024">
        <f t="shared" ref="K377:AX377" ca="1" si="99" xml:space="preserve"> J377 + K376</f>
        <v>0</v>
      </c>
      <c r="L377" s="1024">
        <f t="shared" ca="1" si="99"/>
        <v>0</v>
      </c>
      <c r="M377" s="1024">
        <f t="shared" ca="1" si="99"/>
        <v>0</v>
      </c>
      <c r="N377" s="1024">
        <f t="shared" ca="1" si="99"/>
        <v>54.378950939999996</v>
      </c>
      <c r="O377" s="1024">
        <f t="shared" ca="1" si="99"/>
        <v>324.98699094</v>
      </c>
      <c r="P377" s="1024">
        <f t="shared" ca="1" si="99"/>
        <v>444.2277176856</v>
      </c>
      <c r="Q377" s="1024">
        <f t="shared" ca="1" si="99"/>
        <v>453.23701703971199</v>
      </c>
      <c r="R377" s="1024">
        <f t="shared" ca="1" si="99"/>
        <v>462.42650238090624</v>
      </c>
      <c r="S377" s="1024">
        <f t="shared" ca="1" si="99"/>
        <v>471.79977742892436</v>
      </c>
      <c r="T377" s="1024">
        <f t="shared" ca="1" si="99"/>
        <v>481.36051797790287</v>
      </c>
      <c r="U377" s="1024">
        <f t="shared" ca="1" si="99"/>
        <v>491.11247333786093</v>
      </c>
      <c r="V377" s="1024">
        <f t="shared" ca="1" si="99"/>
        <v>501.05946780501813</v>
      </c>
      <c r="W377" s="1024">
        <f t="shared" ca="1" si="99"/>
        <v>511.20540216151852</v>
      </c>
      <c r="X377" s="1024">
        <f t="shared" ca="1" si="99"/>
        <v>521.55425520514893</v>
      </c>
      <c r="Y377" s="1024">
        <f t="shared" ca="1" si="99"/>
        <v>532.11008530965194</v>
      </c>
      <c r="Z377" s="1024">
        <f t="shared" ca="1" si="99"/>
        <v>542.87703201624493</v>
      </c>
      <c r="AA377" s="1024">
        <f t="shared" ca="1" si="99"/>
        <v>553.85931765696978</v>
      </c>
      <c r="AB377" s="1024">
        <f t="shared" ca="1" si="99"/>
        <v>553.85931765696978</v>
      </c>
      <c r="AC377" s="1024">
        <f t="shared" ca="1" si="99"/>
        <v>553.85931765696978</v>
      </c>
      <c r="AD377" s="1024">
        <f t="shared" ca="1" si="99"/>
        <v>553.85931765696978</v>
      </c>
      <c r="AE377" s="1024">
        <f t="shared" ca="1" si="99"/>
        <v>553.85931765696978</v>
      </c>
      <c r="AF377" s="1024">
        <f t="shared" ca="1" si="99"/>
        <v>553.85931765696978</v>
      </c>
      <c r="AG377" s="1024">
        <f t="shared" ca="1" si="99"/>
        <v>553.85931765696978</v>
      </c>
      <c r="AH377" s="1024">
        <f t="shared" ca="1" si="99"/>
        <v>553.85931765696978</v>
      </c>
      <c r="AI377" s="1024">
        <f t="shared" ca="1" si="99"/>
        <v>553.85931765696978</v>
      </c>
      <c r="AJ377" s="1024">
        <f t="shared" ca="1" si="99"/>
        <v>553.85931765696978</v>
      </c>
      <c r="AK377" s="1024">
        <f t="shared" ca="1" si="99"/>
        <v>553.85931765696978</v>
      </c>
      <c r="AL377" s="1024">
        <f t="shared" ca="1" si="99"/>
        <v>553.85931765696978</v>
      </c>
      <c r="AM377" s="1024">
        <f t="shared" ca="1" si="99"/>
        <v>553.85931765696978</v>
      </c>
      <c r="AN377" s="1024">
        <f t="shared" ca="1" si="99"/>
        <v>553.85931765696978</v>
      </c>
      <c r="AO377" s="1024">
        <f t="shared" ca="1" si="99"/>
        <v>553.85931765696978</v>
      </c>
      <c r="AP377" s="1024">
        <f t="shared" ca="1" si="99"/>
        <v>553.85931765696978</v>
      </c>
      <c r="AQ377" s="1024">
        <f t="shared" ca="1" si="99"/>
        <v>553.85931765696978</v>
      </c>
      <c r="AR377" s="1024">
        <f t="shared" ca="1" si="99"/>
        <v>553.85931765696978</v>
      </c>
      <c r="AS377" s="1024">
        <f t="shared" ca="1" si="99"/>
        <v>553.85931765696978</v>
      </c>
      <c r="AT377" s="1024">
        <f t="shared" ca="1" si="99"/>
        <v>553.85931765696978</v>
      </c>
      <c r="AU377" s="1024">
        <f t="shared" ca="1" si="99"/>
        <v>553.85931765696978</v>
      </c>
      <c r="AV377" s="1024">
        <f t="shared" ca="1" si="99"/>
        <v>553.85931765696978</v>
      </c>
      <c r="AW377" s="1024">
        <f t="shared" ca="1" si="99"/>
        <v>553.85931765696978</v>
      </c>
      <c r="AX377" s="1024">
        <f t="shared" ca="1" si="99"/>
        <v>553.85931765696978</v>
      </c>
    </row>
    <row r="378" spans="1:50" ht="15" customHeight="1">
      <c r="A378" s="347"/>
      <c r="B378" s="507"/>
      <c r="C378" s="333"/>
      <c r="D378" s="1112"/>
      <c r="E378" s="1024"/>
      <c r="F378" s="1048"/>
      <c r="G378" s="1048"/>
      <c r="H378" s="1048"/>
      <c r="I378" s="1048"/>
      <c r="J378" s="1048"/>
      <c r="K378" s="1048"/>
      <c r="L378" s="1048"/>
      <c r="M378" s="1048"/>
      <c r="N378" s="1048"/>
      <c r="O378" s="1048"/>
      <c r="P378" s="1048"/>
      <c r="Q378" s="1048"/>
      <c r="R378" s="1048"/>
      <c r="S378" s="1048"/>
      <c r="T378" s="1048"/>
      <c r="U378" s="1048"/>
      <c r="V378" s="1048"/>
      <c r="W378" s="1048"/>
      <c r="X378" s="1048"/>
      <c r="Y378" s="1048"/>
      <c r="Z378" s="1048"/>
      <c r="AA378" s="1048"/>
      <c r="AB378" s="1048"/>
      <c r="AC378" s="1048"/>
      <c r="AD378" s="1048"/>
      <c r="AE378" s="1048"/>
      <c r="AF378" s="1048"/>
      <c r="AG378" s="1048"/>
      <c r="AH378" s="1048"/>
      <c r="AI378" s="1048"/>
      <c r="AJ378" s="1048"/>
      <c r="AK378" s="1048"/>
      <c r="AL378" s="1048"/>
      <c r="AM378" s="1048"/>
      <c r="AN378" s="1048"/>
      <c r="AO378" s="1048"/>
      <c r="AP378" s="1048"/>
      <c r="AQ378" s="1048"/>
      <c r="AR378" s="1048"/>
      <c r="AS378" s="1048"/>
      <c r="AT378" s="1048"/>
      <c r="AU378" s="1048"/>
      <c r="AV378" s="1048"/>
      <c r="AW378" s="1048"/>
      <c r="AX378" s="1048"/>
    </row>
    <row r="379" spans="1:50" ht="15" customHeight="1">
      <c r="A379" s="347"/>
      <c r="B379" s="507"/>
      <c r="C379" s="333" t="str">
        <f>Translate!$E$107</f>
        <v>Capitalized costs excluding interest (for RRT)</v>
      </c>
      <c r="D379" s="1112"/>
      <c r="E379" s="1024"/>
      <c r="F379" s="1048"/>
      <c r="G379" s="1048"/>
      <c r="H379" s="1048"/>
      <c r="I379" s="1048"/>
      <c r="J379" s="1048"/>
      <c r="K379" s="1048"/>
      <c r="L379" s="1048"/>
      <c r="M379" s="1048"/>
      <c r="N379" s="1048"/>
      <c r="O379" s="1048"/>
      <c r="P379" s="1048"/>
      <c r="Q379" s="1048"/>
      <c r="R379" s="1048"/>
      <c r="S379" s="1048"/>
      <c r="T379" s="1048"/>
      <c r="U379" s="1048"/>
      <c r="V379" s="1048"/>
      <c r="W379" s="1048"/>
      <c r="X379" s="1048"/>
      <c r="Y379" s="1048"/>
      <c r="Z379" s="1048"/>
      <c r="AA379" s="1048"/>
      <c r="AB379" s="1048"/>
      <c r="AC379" s="1048"/>
      <c r="AD379" s="1048"/>
      <c r="AE379" s="1048"/>
      <c r="AF379" s="1048"/>
      <c r="AG379" s="1048"/>
      <c r="AH379" s="1048"/>
      <c r="AI379" s="1048"/>
      <c r="AJ379" s="1048"/>
      <c r="AK379" s="1048"/>
      <c r="AL379" s="1048"/>
      <c r="AM379" s="1048"/>
      <c r="AN379" s="1048"/>
      <c r="AO379" s="1048"/>
      <c r="AP379" s="1048"/>
      <c r="AQ379" s="1048"/>
      <c r="AR379" s="1048"/>
      <c r="AS379" s="1048"/>
      <c r="AT379" s="1048"/>
      <c r="AU379" s="1048"/>
      <c r="AV379" s="1048"/>
      <c r="AW379" s="1048"/>
      <c r="AX379" s="1048"/>
    </row>
    <row r="380" spans="1:50" ht="15" customHeight="1">
      <c r="A380" s="347"/>
      <c r="B380" s="507"/>
      <c r="C380" s="333"/>
      <c r="D380" s="1112" t="str">
        <f>Translate!$E$605</f>
        <v>add</v>
      </c>
      <c r="E380" s="1024" t="str">
        <f t="shared" ref="E380:AX380" si="100" xml:space="preserve"> E$376</f>
        <v>Capitalized costs: Mining company</v>
      </c>
      <c r="F380" s="1024">
        <f t="shared" si="100"/>
        <v>0</v>
      </c>
      <c r="G380" s="1024" t="str">
        <f t="shared" si="100"/>
        <v>US$ mn</v>
      </c>
      <c r="H380" s="1024">
        <f t="shared" si="100"/>
        <v>0</v>
      </c>
      <c r="I380" s="1024">
        <f t="shared" ca="1" si="100"/>
        <v>553.85931765696978</v>
      </c>
      <c r="J380" s="1024">
        <f t="shared" si="100"/>
        <v>0</v>
      </c>
      <c r="K380" s="1024">
        <f t="shared" ca="1" si="100"/>
        <v>0</v>
      </c>
      <c r="L380" s="1024">
        <f t="shared" ca="1" si="100"/>
        <v>0</v>
      </c>
      <c r="M380" s="1024">
        <f t="shared" ca="1" si="100"/>
        <v>0</v>
      </c>
      <c r="N380" s="1024">
        <f t="shared" ca="1" si="100"/>
        <v>54.378950939999996</v>
      </c>
      <c r="O380" s="1024">
        <f t="shared" ca="1" si="100"/>
        <v>270.60804000000002</v>
      </c>
      <c r="P380" s="1024">
        <f t="shared" ca="1" si="100"/>
        <v>119.2407267456</v>
      </c>
      <c r="Q380" s="1024">
        <f t="shared" ca="1" si="100"/>
        <v>9.0092993541120006</v>
      </c>
      <c r="R380" s="1024">
        <f t="shared" ca="1" si="100"/>
        <v>9.1894853411942403</v>
      </c>
      <c r="S380" s="1024">
        <f t="shared" ca="1" si="100"/>
        <v>9.3732750480181259</v>
      </c>
      <c r="T380" s="1024">
        <f t="shared" ca="1" si="100"/>
        <v>9.5607405489784885</v>
      </c>
      <c r="U380" s="1024">
        <f t="shared" ca="1" si="100"/>
        <v>9.7519553599580586</v>
      </c>
      <c r="V380" s="1024">
        <f t="shared" ca="1" si="100"/>
        <v>9.9469944671572197</v>
      </c>
      <c r="W380" s="1024">
        <f t="shared" ca="1" si="100"/>
        <v>10.145934356500364</v>
      </c>
      <c r="X380" s="1024">
        <f t="shared" ca="1" si="100"/>
        <v>10.348853043630371</v>
      </c>
      <c r="Y380" s="1024">
        <f t="shared" ca="1" si="100"/>
        <v>10.555830104502979</v>
      </c>
      <c r="Z380" s="1024">
        <f t="shared" ca="1" si="100"/>
        <v>10.766946706593039</v>
      </c>
      <c r="AA380" s="1024">
        <f t="shared" ca="1" si="100"/>
        <v>10.9822856407249</v>
      </c>
      <c r="AB380" s="1024">
        <f t="shared" ca="1" si="100"/>
        <v>0</v>
      </c>
      <c r="AC380" s="1024">
        <f t="shared" ca="1" si="100"/>
        <v>0</v>
      </c>
      <c r="AD380" s="1024">
        <f t="shared" ca="1" si="100"/>
        <v>0</v>
      </c>
      <c r="AE380" s="1024">
        <f t="shared" ca="1" si="100"/>
        <v>0</v>
      </c>
      <c r="AF380" s="1024">
        <f t="shared" ca="1" si="100"/>
        <v>0</v>
      </c>
      <c r="AG380" s="1024">
        <f t="shared" ca="1" si="100"/>
        <v>0</v>
      </c>
      <c r="AH380" s="1024">
        <f t="shared" ca="1" si="100"/>
        <v>0</v>
      </c>
      <c r="AI380" s="1024">
        <f t="shared" ca="1" si="100"/>
        <v>0</v>
      </c>
      <c r="AJ380" s="1024">
        <f t="shared" ca="1" si="100"/>
        <v>0</v>
      </c>
      <c r="AK380" s="1024">
        <f t="shared" ca="1" si="100"/>
        <v>0</v>
      </c>
      <c r="AL380" s="1024">
        <f t="shared" ca="1" si="100"/>
        <v>0</v>
      </c>
      <c r="AM380" s="1024">
        <f t="shared" ca="1" si="100"/>
        <v>0</v>
      </c>
      <c r="AN380" s="1024">
        <f t="shared" ca="1" si="100"/>
        <v>0</v>
      </c>
      <c r="AO380" s="1024">
        <f t="shared" ca="1" si="100"/>
        <v>0</v>
      </c>
      <c r="AP380" s="1024">
        <f t="shared" ca="1" si="100"/>
        <v>0</v>
      </c>
      <c r="AQ380" s="1024">
        <f t="shared" ca="1" si="100"/>
        <v>0</v>
      </c>
      <c r="AR380" s="1024">
        <f t="shared" ca="1" si="100"/>
        <v>0</v>
      </c>
      <c r="AS380" s="1024">
        <f t="shared" ca="1" si="100"/>
        <v>0</v>
      </c>
      <c r="AT380" s="1024">
        <f t="shared" ca="1" si="100"/>
        <v>0</v>
      </c>
      <c r="AU380" s="1024">
        <f t="shared" ca="1" si="100"/>
        <v>0</v>
      </c>
      <c r="AV380" s="1024">
        <f t="shared" ca="1" si="100"/>
        <v>0</v>
      </c>
      <c r="AW380" s="1024">
        <f t="shared" ca="1" si="100"/>
        <v>0</v>
      </c>
      <c r="AX380" s="1024">
        <f t="shared" ca="1" si="100"/>
        <v>0</v>
      </c>
    </row>
    <row r="381" spans="1:50" ht="15" customHeight="1">
      <c r="A381" s="347"/>
      <c r="B381" s="507"/>
      <c r="C381" s="333"/>
      <c r="D381" s="1112" t="str">
        <f>Translate!$E$606</f>
        <v>less</v>
      </c>
      <c r="E381" s="1024" t="str">
        <f t="shared" ref="E381:AX381" si="101" xml:space="preserve"> E$341</f>
        <v>Interest capitalized into development costs: Mining company</v>
      </c>
      <c r="F381" s="1024">
        <f t="shared" si="101"/>
        <v>0</v>
      </c>
      <c r="G381" s="1024" t="str">
        <f t="shared" si="101"/>
        <v>US$ mn</v>
      </c>
      <c r="H381" s="1024">
        <f t="shared" si="101"/>
        <v>0</v>
      </c>
      <c r="I381" s="1024">
        <f t="shared" ca="1" si="101"/>
        <v>1.3185509400000031</v>
      </c>
      <c r="J381" s="1024">
        <f t="shared" si="101"/>
        <v>0</v>
      </c>
      <c r="K381" s="1024">
        <f t="shared" ca="1" si="101"/>
        <v>0</v>
      </c>
      <c r="L381" s="1024">
        <f t="shared" ca="1" si="101"/>
        <v>0</v>
      </c>
      <c r="M381" s="1024">
        <f t="shared" ca="1" si="101"/>
        <v>0</v>
      </c>
      <c r="N381" s="1024">
        <f t="shared" ca="1" si="101"/>
        <v>1.3185509400000031</v>
      </c>
      <c r="O381" s="1024">
        <f t="shared" ca="1" si="101"/>
        <v>0</v>
      </c>
      <c r="P381" s="1024">
        <f t="shared" ca="1" si="101"/>
        <v>0</v>
      </c>
      <c r="Q381" s="1024">
        <f t="shared" ca="1" si="101"/>
        <v>0</v>
      </c>
      <c r="R381" s="1024">
        <f t="shared" ca="1" si="101"/>
        <v>0</v>
      </c>
      <c r="S381" s="1024">
        <f t="shared" ca="1" si="101"/>
        <v>0</v>
      </c>
      <c r="T381" s="1024">
        <f t="shared" ca="1" si="101"/>
        <v>0</v>
      </c>
      <c r="U381" s="1024">
        <f t="shared" ca="1" si="101"/>
        <v>0</v>
      </c>
      <c r="V381" s="1024">
        <f t="shared" ca="1" si="101"/>
        <v>0</v>
      </c>
      <c r="W381" s="1024">
        <f t="shared" ca="1" si="101"/>
        <v>0</v>
      </c>
      <c r="X381" s="1024">
        <f t="shared" ca="1" si="101"/>
        <v>0</v>
      </c>
      <c r="Y381" s="1024">
        <f t="shared" ca="1" si="101"/>
        <v>0</v>
      </c>
      <c r="Z381" s="1024">
        <f t="shared" ca="1" si="101"/>
        <v>0</v>
      </c>
      <c r="AA381" s="1024">
        <f t="shared" ca="1" si="101"/>
        <v>0</v>
      </c>
      <c r="AB381" s="1024">
        <f t="shared" ca="1" si="101"/>
        <v>0</v>
      </c>
      <c r="AC381" s="1024">
        <f t="shared" ca="1" si="101"/>
        <v>0</v>
      </c>
      <c r="AD381" s="1024">
        <f t="shared" ca="1" si="101"/>
        <v>0</v>
      </c>
      <c r="AE381" s="1024">
        <f t="shared" ca="1" si="101"/>
        <v>0</v>
      </c>
      <c r="AF381" s="1024">
        <f t="shared" ca="1" si="101"/>
        <v>0</v>
      </c>
      <c r="AG381" s="1024">
        <f t="shared" ca="1" si="101"/>
        <v>0</v>
      </c>
      <c r="AH381" s="1024">
        <f t="shared" ca="1" si="101"/>
        <v>0</v>
      </c>
      <c r="AI381" s="1024">
        <f t="shared" ca="1" si="101"/>
        <v>0</v>
      </c>
      <c r="AJ381" s="1024">
        <f t="shared" ca="1" si="101"/>
        <v>0</v>
      </c>
      <c r="AK381" s="1024">
        <f t="shared" ca="1" si="101"/>
        <v>0</v>
      </c>
      <c r="AL381" s="1024">
        <f t="shared" ca="1" si="101"/>
        <v>0</v>
      </c>
      <c r="AM381" s="1024">
        <f t="shared" ca="1" si="101"/>
        <v>0</v>
      </c>
      <c r="AN381" s="1024">
        <f t="shared" ca="1" si="101"/>
        <v>0</v>
      </c>
      <c r="AO381" s="1024">
        <f t="shared" ca="1" si="101"/>
        <v>0</v>
      </c>
      <c r="AP381" s="1024">
        <f t="shared" ca="1" si="101"/>
        <v>0</v>
      </c>
      <c r="AQ381" s="1024">
        <f t="shared" ca="1" si="101"/>
        <v>0</v>
      </c>
      <c r="AR381" s="1024">
        <f t="shared" ca="1" si="101"/>
        <v>0</v>
      </c>
      <c r="AS381" s="1024">
        <f t="shared" ca="1" si="101"/>
        <v>0</v>
      </c>
      <c r="AT381" s="1024">
        <f t="shared" ca="1" si="101"/>
        <v>0</v>
      </c>
      <c r="AU381" s="1024">
        <f t="shared" ca="1" si="101"/>
        <v>0</v>
      </c>
      <c r="AV381" s="1024">
        <f t="shared" ca="1" si="101"/>
        <v>0</v>
      </c>
      <c r="AW381" s="1024">
        <f t="shared" ca="1" si="101"/>
        <v>0</v>
      </c>
      <c r="AX381" s="1024">
        <f t="shared" ca="1" si="101"/>
        <v>0</v>
      </c>
    </row>
    <row r="382" spans="1:50" s="556" customFormat="1" ht="15" customHeight="1">
      <c r="A382" s="582"/>
      <c r="B382" s="698"/>
      <c r="C382" s="583"/>
      <c r="D382" s="1108"/>
      <c r="E382" s="1108" t="str">
        <f>Translate!$E$215</f>
        <v>Capitalized costs excluding interest</v>
      </c>
      <c r="F382" s="1108"/>
      <c r="G382" s="1108" t="str">
        <f xml:space="preserve"> Translate!E$10</f>
        <v>US$ mn</v>
      </c>
      <c r="H382" s="1108"/>
      <c r="I382" s="1108">
        <f ca="1" xml:space="preserve"> SUM(K382:AX382)</f>
        <v>552.54076671696976</v>
      </c>
      <c r="J382" s="1108"/>
      <c r="K382" s="1108">
        <f t="shared" ref="K382:AX382" ca="1" si="102" xml:space="preserve"> K380 - K381</f>
        <v>0</v>
      </c>
      <c r="L382" s="1108">
        <f t="shared" ca="1" si="102"/>
        <v>0</v>
      </c>
      <c r="M382" s="1108">
        <f t="shared" ca="1" si="102"/>
        <v>0</v>
      </c>
      <c r="N382" s="1108">
        <f t="shared" ca="1" si="102"/>
        <v>53.060399999999994</v>
      </c>
      <c r="O382" s="1108">
        <f t="shared" ca="1" si="102"/>
        <v>270.60804000000002</v>
      </c>
      <c r="P382" s="1108">
        <f t="shared" ca="1" si="102"/>
        <v>119.2407267456</v>
      </c>
      <c r="Q382" s="1108">
        <f t="shared" ca="1" si="102"/>
        <v>9.0092993541120006</v>
      </c>
      <c r="R382" s="1108">
        <f t="shared" ca="1" si="102"/>
        <v>9.1894853411942403</v>
      </c>
      <c r="S382" s="1108">
        <f t="shared" ca="1" si="102"/>
        <v>9.3732750480181259</v>
      </c>
      <c r="T382" s="1108">
        <f t="shared" ca="1" si="102"/>
        <v>9.5607405489784885</v>
      </c>
      <c r="U382" s="1108">
        <f t="shared" ca="1" si="102"/>
        <v>9.7519553599580586</v>
      </c>
      <c r="V382" s="1108">
        <f t="shared" ca="1" si="102"/>
        <v>9.9469944671572197</v>
      </c>
      <c r="W382" s="1108">
        <f t="shared" ca="1" si="102"/>
        <v>10.145934356500364</v>
      </c>
      <c r="X382" s="1108">
        <f t="shared" ca="1" si="102"/>
        <v>10.348853043630371</v>
      </c>
      <c r="Y382" s="1108">
        <f t="shared" ca="1" si="102"/>
        <v>10.555830104502979</v>
      </c>
      <c r="Z382" s="1108">
        <f t="shared" ca="1" si="102"/>
        <v>10.766946706593039</v>
      </c>
      <c r="AA382" s="1108">
        <f t="shared" ca="1" si="102"/>
        <v>10.9822856407249</v>
      </c>
      <c r="AB382" s="1108">
        <f t="shared" ca="1" si="102"/>
        <v>0</v>
      </c>
      <c r="AC382" s="1108">
        <f t="shared" ca="1" si="102"/>
        <v>0</v>
      </c>
      <c r="AD382" s="1108">
        <f t="shared" ca="1" si="102"/>
        <v>0</v>
      </c>
      <c r="AE382" s="1108">
        <f t="shared" ca="1" si="102"/>
        <v>0</v>
      </c>
      <c r="AF382" s="1108">
        <f t="shared" ca="1" si="102"/>
        <v>0</v>
      </c>
      <c r="AG382" s="1108">
        <f t="shared" ca="1" si="102"/>
        <v>0</v>
      </c>
      <c r="AH382" s="1108">
        <f t="shared" ca="1" si="102"/>
        <v>0</v>
      </c>
      <c r="AI382" s="1108">
        <f t="shared" ca="1" si="102"/>
        <v>0</v>
      </c>
      <c r="AJ382" s="1108">
        <f t="shared" ca="1" si="102"/>
        <v>0</v>
      </c>
      <c r="AK382" s="1108">
        <f t="shared" ca="1" si="102"/>
        <v>0</v>
      </c>
      <c r="AL382" s="1108">
        <f t="shared" ca="1" si="102"/>
        <v>0</v>
      </c>
      <c r="AM382" s="1108">
        <f t="shared" ca="1" si="102"/>
        <v>0</v>
      </c>
      <c r="AN382" s="1108">
        <f t="shared" ca="1" si="102"/>
        <v>0</v>
      </c>
      <c r="AO382" s="1108">
        <f t="shared" ca="1" si="102"/>
        <v>0</v>
      </c>
      <c r="AP382" s="1108">
        <f t="shared" ca="1" si="102"/>
        <v>0</v>
      </c>
      <c r="AQ382" s="1108">
        <f t="shared" ca="1" si="102"/>
        <v>0</v>
      </c>
      <c r="AR382" s="1108">
        <f t="shared" ca="1" si="102"/>
        <v>0</v>
      </c>
      <c r="AS382" s="1108">
        <f t="shared" ca="1" si="102"/>
        <v>0</v>
      </c>
      <c r="AT382" s="1108">
        <f t="shared" ca="1" si="102"/>
        <v>0</v>
      </c>
      <c r="AU382" s="1108">
        <f t="shared" ca="1" si="102"/>
        <v>0</v>
      </c>
      <c r="AV382" s="1108">
        <f t="shared" ca="1" si="102"/>
        <v>0</v>
      </c>
      <c r="AW382" s="1108">
        <f t="shared" ca="1" si="102"/>
        <v>0</v>
      </c>
      <c r="AX382" s="1108">
        <f t="shared" ca="1" si="102"/>
        <v>0</v>
      </c>
    </row>
    <row r="383" spans="1:50" ht="15" customHeight="1">
      <c r="A383" s="347"/>
      <c r="B383" s="507"/>
      <c r="C383" s="333"/>
      <c r="D383" s="1112"/>
      <c r="E383" s="1024"/>
      <c r="F383" s="1048"/>
      <c r="G383" s="1048"/>
      <c r="H383" s="1048"/>
      <c r="I383" s="1048"/>
      <c r="J383" s="1048"/>
      <c r="K383" s="1048"/>
      <c r="L383" s="1048"/>
      <c r="M383" s="1048"/>
      <c r="N383" s="1048"/>
      <c r="O383" s="1048"/>
      <c r="P383" s="1048"/>
      <c r="Q383" s="1048"/>
      <c r="R383" s="1048"/>
      <c r="S383" s="1048"/>
      <c r="T383" s="1048"/>
      <c r="U383" s="1048"/>
      <c r="V383" s="1048"/>
      <c r="W383" s="1048"/>
      <c r="X383" s="1048"/>
      <c r="Y383" s="1048"/>
      <c r="Z383" s="1048"/>
      <c r="AA383" s="1048"/>
      <c r="AB383" s="1048"/>
      <c r="AC383" s="1048"/>
      <c r="AD383" s="1048"/>
      <c r="AE383" s="1048"/>
      <c r="AF383" s="1048"/>
      <c r="AG383" s="1048"/>
      <c r="AH383" s="1048"/>
      <c r="AI383" s="1048"/>
      <c r="AJ383" s="1048"/>
      <c r="AK383" s="1048"/>
      <c r="AL383" s="1048"/>
      <c r="AM383" s="1048"/>
      <c r="AN383" s="1048"/>
      <c r="AO383" s="1048"/>
      <c r="AP383" s="1048"/>
      <c r="AQ383" s="1048"/>
      <c r="AR383" s="1048"/>
      <c r="AS383" s="1048"/>
      <c r="AT383" s="1048"/>
      <c r="AU383" s="1048"/>
      <c r="AV383" s="1048"/>
      <c r="AW383" s="1048"/>
      <c r="AX383" s="1048"/>
    </row>
    <row r="384" spans="1:50" ht="15" customHeight="1">
      <c r="A384" s="347"/>
      <c r="B384" s="507" t="str">
        <f>Translate!$E$75</f>
        <v>Costs into depreciation calculation</v>
      </c>
      <c r="C384" s="333"/>
      <c r="D384" s="1112"/>
      <c r="E384" s="1024"/>
      <c r="F384" s="1024"/>
      <c r="G384" s="1024"/>
      <c r="H384" s="1024"/>
      <c r="I384" s="1024"/>
      <c r="J384" s="1024"/>
      <c r="K384" s="1024"/>
      <c r="L384" s="1024"/>
      <c r="M384" s="1024"/>
      <c r="N384" s="1024"/>
      <c r="O384" s="1024"/>
      <c r="P384" s="1024"/>
      <c r="Q384" s="1024"/>
      <c r="R384" s="1024"/>
      <c r="S384" s="1024"/>
      <c r="T384" s="1024"/>
      <c r="U384" s="1024"/>
      <c r="V384" s="1024"/>
      <c r="W384" s="1024"/>
      <c r="X384" s="1024"/>
      <c r="Y384" s="1024"/>
      <c r="Z384" s="1024"/>
      <c r="AA384" s="1024"/>
      <c r="AB384" s="1024"/>
      <c r="AC384" s="1024"/>
      <c r="AD384" s="1024"/>
      <c r="AE384" s="1024"/>
      <c r="AF384" s="1024"/>
      <c r="AG384" s="1024"/>
      <c r="AH384" s="1024"/>
      <c r="AI384" s="1024"/>
      <c r="AJ384" s="1024"/>
      <c r="AK384" s="1024"/>
      <c r="AL384" s="1024"/>
      <c r="AM384" s="1024"/>
      <c r="AN384" s="1024"/>
      <c r="AO384" s="1024"/>
      <c r="AP384" s="1024"/>
      <c r="AQ384" s="1024"/>
      <c r="AR384" s="1024"/>
      <c r="AS384" s="1024"/>
      <c r="AT384" s="1024"/>
      <c r="AU384" s="1024"/>
      <c r="AV384" s="1024"/>
      <c r="AW384" s="1024"/>
      <c r="AX384" s="1024"/>
    </row>
    <row r="385" spans="1:50" s="221" customFormat="1" ht="15" customHeight="1">
      <c r="A385" s="371"/>
      <c r="B385" s="507"/>
      <c r="C385" s="363"/>
      <c r="D385" s="365"/>
      <c r="E385" s="366" t="str">
        <f xml:space="preserve"> ProjectCashflows!E$188</f>
        <v>Project activity (excl. decommissioning)</v>
      </c>
      <c r="F385" s="366">
        <f xml:space="preserve"> ProjectCashflows!F$188</f>
        <v>0</v>
      </c>
      <c r="G385" s="366" t="str">
        <f xml:space="preserve"> ProjectCashflows!G$188</f>
        <v>Flag</v>
      </c>
      <c r="H385" s="366">
        <f xml:space="preserve"> ProjectCashflows!H$188</f>
        <v>0</v>
      </c>
      <c r="I385" s="366">
        <f ca="1" xml:space="preserve"> ProjectCashflows!I$188</f>
        <v>21</v>
      </c>
      <c r="J385" s="366">
        <f xml:space="preserve"> ProjectCashflows!J$188</f>
        <v>0</v>
      </c>
      <c r="K385" s="366">
        <f ca="1" xml:space="preserve"> ProjectCashflows!K$188</f>
        <v>1</v>
      </c>
      <c r="L385" s="366">
        <f ca="1" xml:space="preserve"> ProjectCashflows!L$188</f>
        <v>1</v>
      </c>
      <c r="M385" s="366">
        <f ca="1" xml:space="preserve"> ProjectCashflows!M$188</f>
        <v>1</v>
      </c>
      <c r="N385" s="366">
        <f ca="1" xml:space="preserve"> ProjectCashflows!N$188</f>
        <v>1</v>
      </c>
      <c r="O385" s="366">
        <f ca="1" xml:space="preserve"> ProjectCashflows!O$188</f>
        <v>1</v>
      </c>
      <c r="P385" s="366">
        <f ca="1" xml:space="preserve"> ProjectCashflows!P$188</f>
        <v>1</v>
      </c>
      <c r="Q385" s="366">
        <f ca="1" xml:space="preserve"> ProjectCashflows!Q$188</f>
        <v>1</v>
      </c>
      <c r="R385" s="366">
        <f ca="1" xml:space="preserve"> ProjectCashflows!R$188</f>
        <v>1</v>
      </c>
      <c r="S385" s="366">
        <f ca="1" xml:space="preserve"> ProjectCashflows!S$188</f>
        <v>1</v>
      </c>
      <c r="T385" s="366">
        <f ca="1" xml:space="preserve"> ProjectCashflows!T$188</f>
        <v>1</v>
      </c>
      <c r="U385" s="366">
        <f ca="1" xml:space="preserve"> ProjectCashflows!U$188</f>
        <v>1</v>
      </c>
      <c r="V385" s="366">
        <f ca="1" xml:space="preserve"> ProjectCashflows!V$188</f>
        <v>1</v>
      </c>
      <c r="W385" s="366">
        <f ca="1" xml:space="preserve"> ProjectCashflows!W$188</f>
        <v>1</v>
      </c>
      <c r="X385" s="366">
        <f ca="1" xml:space="preserve"> ProjectCashflows!X$188</f>
        <v>1</v>
      </c>
      <c r="Y385" s="366">
        <f ca="1" xml:space="preserve"> ProjectCashflows!Y$188</f>
        <v>1</v>
      </c>
      <c r="Z385" s="366">
        <f ca="1" xml:space="preserve"> ProjectCashflows!Z$188</f>
        <v>1</v>
      </c>
      <c r="AA385" s="366">
        <f ca="1" xml:space="preserve"> ProjectCashflows!AA$188</f>
        <v>1</v>
      </c>
      <c r="AB385" s="366">
        <f ca="1" xml:space="preserve"> ProjectCashflows!AB$188</f>
        <v>1</v>
      </c>
      <c r="AC385" s="366">
        <f ca="1" xml:space="preserve"> ProjectCashflows!AC$188</f>
        <v>1</v>
      </c>
      <c r="AD385" s="366">
        <f ca="1" xml:space="preserve"> ProjectCashflows!AD$188</f>
        <v>1</v>
      </c>
      <c r="AE385" s="366">
        <f ca="1" xml:space="preserve"> ProjectCashflows!AE$188</f>
        <v>1</v>
      </c>
      <c r="AF385" s="366">
        <f ca="1" xml:space="preserve"> ProjectCashflows!AF$188</f>
        <v>0</v>
      </c>
      <c r="AG385" s="366">
        <f ca="1" xml:space="preserve"> ProjectCashflows!AG$188</f>
        <v>0</v>
      </c>
      <c r="AH385" s="366">
        <f ca="1" xml:space="preserve"> ProjectCashflows!AH$188</f>
        <v>0</v>
      </c>
      <c r="AI385" s="366">
        <f ca="1" xml:space="preserve"> ProjectCashflows!AI$188</f>
        <v>0</v>
      </c>
      <c r="AJ385" s="366">
        <f ca="1" xml:space="preserve"> ProjectCashflows!AJ$188</f>
        <v>0</v>
      </c>
      <c r="AK385" s="366">
        <f ca="1" xml:space="preserve"> ProjectCashflows!AK$188</f>
        <v>0</v>
      </c>
      <c r="AL385" s="366">
        <f ca="1" xml:space="preserve"> ProjectCashflows!AL$188</f>
        <v>0</v>
      </c>
      <c r="AM385" s="366">
        <f ca="1" xml:space="preserve"> ProjectCashflows!AM$188</f>
        <v>0</v>
      </c>
      <c r="AN385" s="366">
        <f ca="1" xml:space="preserve"> ProjectCashflows!AN$188</f>
        <v>0</v>
      </c>
      <c r="AO385" s="366">
        <f ca="1" xml:space="preserve"> ProjectCashflows!AO$188</f>
        <v>0</v>
      </c>
      <c r="AP385" s="366">
        <f ca="1" xml:space="preserve"> ProjectCashflows!AP$188</f>
        <v>0</v>
      </c>
      <c r="AQ385" s="366">
        <f ca="1" xml:space="preserve"> ProjectCashflows!AQ$188</f>
        <v>0</v>
      </c>
      <c r="AR385" s="366">
        <f ca="1" xml:space="preserve"> ProjectCashflows!AR$188</f>
        <v>0</v>
      </c>
      <c r="AS385" s="366">
        <f ca="1" xml:space="preserve"> ProjectCashflows!AS$188</f>
        <v>0</v>
      </c>
      <c r="AT385" s="366">
        <f ca="1" xml:space="preserve"> ProjectCashflows!AT$188</f>
        <v>0</v>
      </c>
      <c r="AU385" s="366">
        <f ca="1" xml:space="preserve"> ProjectCashflows!AU$188</f>
        <v>0</v>
      </c>
      <c r="AV385" s="366">
        <f ca="1" xml:space="preserve"> ProjectCashflows!AV$188</f>
        <v>0</v>
      </c>
      <c r="AW385" s="366">
        <f ca="1" xml:space="preserve"> ProjectCashflows!AW$188</f>
        <v>0</v>
      </c>
      <c r="AX385" s="366">
        <f ca="1" xml:space="preserve"> ProjectCashflows!AX$188</f>
        <v>0</v>
      </c>
    </row>
    <row r="386" spans="1:50" s="221" customFormat="1" ht="15" customHeight="1">
      <c r="A386" s="371"/>
      <c r="B386" s="507"/>
      <c r="C386" s="363"/>
      <c r="D386" s="365"/>
      <c r="E386" s="366" t="str">
        <f xml:space="preserve"> ProjectCashflows!E$192</f>
        <v>Production years after ELT</v>
      </c>
      <c r="F386" s="366">
        <f xml:space="preserve"> ProjectCashflows!F$192</f>
        <v>0</v>
      </c>
      <c r="G386" s="366" t="str">
        <f xml:space="preserve"> ProjectCashflows!G$192</f>
        <v>Flag</v>
      </c>
      <c r="H386" s="366">
        <f xml:space="preserve"> ProjectCashflows!H$192</f>
        <v>0</v>
      </c>
      <c r="I386" s="366">
        <f ca="1" xml:space="preserve"> ProjectCashflows!I$192</f>
        <v>17</v>
      </c>
      <c r="J386" s="366">
        <f xml:space="preserve"> ProjectCashflows!J$192</f>
        <v>0</v>
      </c>
      <c r="K386" s="366">
        <f ca="1" xml:space="preserve"> ProjectCashflows!K$192</f>
        <v>0</v>
      </c>
      <c r="L386" s="366">
        <f ca="1" xml:space="preserve"> ProjectCashflows!L$192</f>
        <v>0</v>
      </c>
      <c r="M386" s="366">
        <f ca="1" xml:space="preserve"> ProjectCashflows!M$192</f>
        <v>0</v>
      </c>
      <c r="N386" s="366">
        <f ca="1" xml:space="preserve"> ProjectCashflows!N$192</f>
        <v>0</v>
      </c>
      <c r="O386" s="366">
        <f ca="1" xml:space="preserve"> ProjectCashflows!O$192</f>
        <v>1</v>
      </c>
      <c r="P386" s="366">
        <f ca="1" xml:space="preserve"> ProjectCashflows!P$192</f>
        <v>1</v>
      </c>
      <c r="Q386" s="366">
        <f ca="1" xml:space="preserve"> ProjectCashflows!Q$192</f>
        <v>1</v>
      </c>
      <c r="R386" s="366">
        <f ca="1" xml:space="preserve"> ProjectCashflows!R$192</f>
        <v>1</v>
      </c>
      <c r="S386" s="366">
        <f ca="1" xml:space="preserve"> ProjectCashflows!S$192</f>
        <v>1</v>
      </c>
      <c r="T386" s="366">
        <f ca="1" xml:space="preserve"> ProjectCashflows!T$192</f>
        <v>1</v>
      </c>
      <c r="U386" s="366">
        <f ca="1" xml:space="preserve"> ProjectCashflows!U$192</f>
        <v>1</v>
      </c>
      <c r="V386" s="366">
        <f ca="1" xml:space="preserve"> ProjectCashflows!V$192</f>
        <v>1</v>
      </c>
      <c r="W386" s="366">
        <f ca="1" xml:space="preserve"> ProjectCashflows!W$192</f>
        <v>1</v>
      </c>
      <c r="X386" s="366">
        <f ca="1" xml:space="preserve"> ProjectCashflows!X$192</f>
        <v>1</v>
      </c>
      <c r="Y386" s="366">
        <f ca="1" xml:space="preserve"> ProjectCashflows!Y$192</f>
        <v>1</v>
      </c>
      <c r="Z386" s="366">
        <f ca="1" xml:space="preserve"> ProjectCashflows!Z$192</f>
        <v>1</v>
      </c>
      <c r="AA386" s="366">
        <f ca="1" xml:space="preserve"> ProjectCashflows!AA$192</f>
        <v>1</v>
      </c>
      <c r="AB386" s="366">
        <f ca="1" xml:space="preserve"> ProjectCashflows!AB$192</f>
        <v>1</v>
      </c>
      <c r="AC386" s="366">
        <f ca="1" xml:space="preserve"> ProjectCashflows!AC$192</f>
        <v>1</v>
      </c>
      <c r="AD386" s="366">
        <f ca="1" xml:space="preserve"> ProjectCashflows!AD$192</f>
        <v>1</v>
      </c>
      <c r="AE386" s="366">
        <f ca="1" xml:space="preserve"> ProjectCashflows!AE$192</f>
        <v>1</v>
      </c>
      <c r="AF386" s="366">
        <f ca="1" xml:space="preserve"> ProjectCashflows!AF$192</f>
        <v>0</v>
      </c>
      <c r="AG386" s="366">
        <f ca="1" xml:space="preserve"> ProjectCashflows!AG$192</f>
        <v>0</v>
      </c>
      <c r="AH386" s="366">
        <f ca="1" xml:space="preserve"> ProjectCashflows!AH$192</f>
        <v>0</v>
      </c>
      <c r="AI386" s="366">
        <f ca="1" xml:space="preserve"> ProjectCashflows!AI$192</f>
        <v>0</v>
      </c>
      <c r="AJ386" s="366">
        <f ca="1" xml:space="preserve"> ProjectCashflows!AJ$192</f>
        <v>0</v>
      </c>
      <c r="AK386" s="366">
        <f ca="1" xml:space="preserve"> ProjectCashflows!AK$192</f>
        <v>0</v>
      </c>
      <c r="AL386" s="366">
        <f ca="1" xml:space="preserve"> ProjectCashflows!AL$192</f>
        <v>0</v>
      </c>
      <c r="AM386" s="366">
        <f ca="1" xml:space="preserve"> ProjectCashflows!AM$192</f>
        <v>0</v>
      </c>
      <c r="AN386" s="366">
        <f ca="1" xml:space="preserve"> ProjectCashflows!AN$192</f>
        <v>0</v>
      </c>
      <c r="AO386" s="366">
        <f ca="1" xml:space="preserve"> ProjectCashflows!AO$192</f>
        <v>0</v>
      </c>
      <c r="AP386" s="366">
        <f ca="1" xml:space="preserve"> ProjectCashflows!AP$192</f>
        <v>0</v>
      </c>
      <c r="AQ386" s="366">
        <f ca="1" xml:space="preserve"> ProjectCashflows!AQ$192</f>
        <v>0</v>
      </c>
      <c r="AR386" s="366">
        <f ca="1" xml:space="preserve"> ProjectCashflows!AR$192</f>
        <v>0</v>
      </c>
      <c r="AS386" s="366">
        <f ca="1" xml:space="preserve"> ProjectCashflows!AS$192</f>
        <v>0</v>
      </c>
      <c r="AT386" s="366">
        <f ca="1" xml:space="preserve"> ProjectCashflows!AT$192</f>
        <v>0</v>
      </c>
      <c r="AU386" s="366">
        <f ca="1" xml:space="preserve"> ProjectCashflows!AU$192</f>
        <v>0</v>
      </c>
      <c r="AV386" s="366">
        <f ca="1" xml:space="preserve"> ProjectCashflows!AV$192</f>
        <v>0</v>
      </c>
      <c r="AW386" s="366">
        <f ca="1" xml:space="preserve"> ProjectCashflows!AW$192</f>
        <v>0</v>
      </c>
      <c r="AX386" s="366">
        <f ca="1" xml:space="preserve"> ProjectCashflows!AX$192</f>
        <v>0</v>
      </c>
    </row>
    <row r="387" spans="1:50" ht="15" customHeight="1">
      <c r="A387" s="1041"/>
      <c r="D387" s="1005"/>
      <c r="E387" s="1041"/>
      <c r="F387" s="1041"/>
      <c r="G387" s="1041"/>
      <c r="H387" s="1041"/>
      <c r="I387" s="1041"/>
      <c r="J387" s="1041"/>
      <c r="K387" s="1041"/>
      <c r="L387" s="1041"/>
      <c r="M387" s="1041"/>
      <c r="N387" s="1041"/>
      <c r="O387" s="1041"/>
      <c r="P387" s="1041"/>
      <c r="Q387" s="1041"/>
      <c r="R387" s="1041"/>
      <c r="S387" s="1041"/>
      <c r="T387" s="1041"/>
      <c r="U387" s="1041"/>
      <c r="V387" s="1041"/>
      <c r="W387" s="1041"/>
      <c r="X387" s="1041"/>
      <c r="Y387" s="1041"/>
      <c r="Z387" s="1041"/>
      <c r="AA387" s="1041"/>
      <c r="AB387" s="1041"/>
      <c r="AC387" s="1041"/>
      <c r="AD387" s="1041"/>
      <c r="AE387" s="1041"/>
      <c r="AF387" s="1041"/>
      <c r="AG387" s="1041"/>
      <c r="AH387" s="1041"/>
      <c r="AI387" s="1041"/>
      <c r="AJ387" s="1041"/>
      <c r="AK387" s="1041"/>
      <c r="AL387" s="1041"/>
      <c r="AM387" s="1041"/>
      <c r="AN387" s="1041"/>
      <c r="AO387" s="1041"/>
      <c r="AP387" s="1041"/>
      <c r="AQ387" s="1041"/>
      <c r="AR387" s="1041"/>
      <c r="AS387" s="1041"/>
      <c r="AT387" s="1041"/>
      <c r="AU387" s="1041"/>
      <c r="AV387" s="1041"/>
      <c r="AW387" s="1041"/>
      <c r="AX387" s="1041"/>
    </row>
    <row r="388" spans="1:50" ht="15" customHeight="1">
      <c r="A388" s="1041"/>
      <c r="C388" s="381" t="str">
        <f>Translate!$E$108</f>
        <v>Capitalized costs into depreciation calculation</v>
      </c>
      <c r="D388" s="1005"/>
      <c r="E388" s="1041"/>
      <c r="F388" s="1041"/>
      <c r="G388" s="1041"/>
      <c r="H388" s="1041"/>
      <c r="I388" s="1041"/>
      <c r="J388" s="1041"/>
      <c r="K388" s="1041"/>
      <c r="L388" s="1041"/>
      <c r="M388" s="1041"/>
      <c r="N388" s="1041"/>
      <c r="O388" s="1041"/>
      <c r="P388" s="1041"/>
      <c r="Q388" s="1041"/>
      <c r="R388" s="1041"/>
      <c r="S388" s="1041"/>
      <c r="T388" s="1041"/>
      <c r="U388" s="1041"/>
      <c r="V388" s="1041"/>
      <c r="W388" s="1041"/>
      <c r="X388" s="1041"/>
      <c r="Y388" s="1041"/>
      <c r="Z388" s="1041"/>
      <c r="AA388" s="1041"/>
      <c r="AB388" s="1041"/>
      <c r="AC388" s="1041"/>
      <c r="AD388" s="1041"/>
      <c r="AE388" s="1041"/>
      <c r="AF388" s="1041"/>
      <c r="AG388" s="1041"/>
      <c r="AH388" s="1041"/>
      <c r="AI388" s="1041"/>
      <c r="AJ388" s="1041"/>
      <c r="AK388" s="1041"/>
      <c r="AL388" s="1041"/>
      <c r="AM388" s="1041"/>
      <c r="AN388" s="1041"/>
      <c r="AO388" s="1041"/>
      <c r="AP388" s="1041"/>
      <c r="AQ388" s="1041"/>
      <c r="AR388" s="1041"/>
      <c r="AS388" s="1041"/>
      <c r="AT388" s="1041"/>
      <c r="AU388" s="1041"/>
      <c r="AV388" s="1041"/>
      <c r="AW388" s="1041"/>
      <c r="AX388" s="1041"/>
    </row>
    <row r="389" spans="1:50" ht="15" customHeight="1">
      <c r="A389" s="347"/>
      <c r="B389" s="507"/>
      <c r="C389" s="333"/>
      <c r="D389" s="1112"/>
      <c r="E389" s="383" t="str">
        <f xml:space="preserve"> FiscalModel!E$41</f>
        <v>Depreciation starts from</v>
      </c>
      <c r="F389" s="644" t="str">
        <f xml:space="preserve"> FiscalModel!F$41</f>
        <v>Production</v>
      </c>
      <c r="G389" s="412" t="str">
        <f xml:space="preserve"> FiscalModel!G$41</f>
        <v>Option</v>
      </c>
      <c r="H389" s="1024"/>
      <c r="I389" s="1024"/>
      <c r="J389" s="1024"/>
      <c r="K389" s="1024"/>
      <c r="L389" s="1024"/>
      <c r="M389" s="1024"/>
      <c r="N389" s="1024"/>
      <c r="O389" s="1024"/>
      <c r="P389" s="1024"/>
      <c r="Q389" s="1024"/>
      <c r="R389" s="1024"/>
      <c r="S389" s="1024"/>
      <c r="T389" s="1024"/>
      <c r="U389" s="1024"/>
      <c r="V389" s="1024"/>
      <c r="W389" s="1024"/>
      <c r="X389" s="1024"/>
      <c r="Y389" s="1024"/>
      <c r="Z389" s="1024"/>
      <c r="AA389" s="1024"/>
      <c r="AB389" s="1024"/>
      <c r="AC389" s="1024"/>
      <c r="AD389" s="1024"/>
      <c r="AE389" s="1024"/>
      <c r="AF389" s="1024"/>
      <c r="AG389" s="1024"/>
      <c r="AH389" s="1024"/>
      <c r="AI389" s="1024"/>
      <c r="AJ389" s="1024"/>
      <c r="AK389" s="1024"/>
      <c r="AL389" s="1024"/>
      <c r="AM389" s="1024"/>
      <c r="AN389" s="1024"/>
      <c r="AO389" s="1024"/>
      <c r="AP389" s="1024"/>
      <c r="AQ389" s="1024"/>
      <c r="AR389" s="1024"/>
      <c r="AS389" s="1024"/>
      <c r="AT389" s="1024"/>
      <c r="AU389" s="1024"/>
      <c r="AV389" s="1024"/>
      <c r="AW389" s="1024"/>
      <c r="AX389" s="1024"/>
    </row>
    <row r="390" spans="1:50" ht="15" customHeight="1">
      <c r="A390" s="347"/>
      <c r="B390" s="507"/>
      <c r="C390" s="333"/>
      <c r="D390" s="1112"/>
      <c r="E390" s="1024"/>
      <c r="F390" s="850" t="str">
        <f xml:space="preserve"> Translate!E$561</f>
        <v>spend</v>
      </c>
      <c r="G390" s="1024" t="str">
        <f>Translate!$E$351</f>
        <v>Option</v>
      </c>
      <c r="H390" s="1024"/>
      <c r="I390" s="1024"/>
      <c r="J390" s="1024"/>
      <c r="K390" s="1024"/>
      <c r="L390" s="1024"/>
      <c r="M390" s="1024"/>
      <c r="N390" s="1024"/>
      <c r="O390" s="1024"/>
      <c r="P390" s="1024"/>
      <c r="Q390" s="1024"/>
      <c r="R390" s="1024"/>
      <c r="S390" s="1024"/>
      <c r="T390" s="1024"/>
      <c r="U390" s="1024"/>
      <c r="V390" s="1024"/>
      <c r="W390" s="1024"/>
      <c r="X390" s="1024"/>
      <c r="Y390" s="1024"/>
      <c r="Z390" s="1024"/>
      <c r="AA390" s="1024"/>
      <c r="AB390" s="1024"/>
      <c r="AC390" s="1024"/>
      <c r="AD390" s="1024"/>
      <c r="AE390" s="1024"/>
      <c r="AF390" s="1024"/>
      <c r="AG390" s="1024"/>
      <c r="AH390" s="1024"/>
      <c r="AI390" s="1024"/>
      <c r="AJ390" s="1024"/>
      <c r="AK390" s="1024"/>
      <c r="AL390" s="1024"/>
      <c r="AM390" s="1024"/>
      <c r="AN390" s="1024"/>
      <c r="AO390" s="1024"/>
      <c r="AP390" s="1024"/>
      <c r="AQ390" s="1024"/>
      <c r="AR390" s="1024"/>
      <c r="AS390" s="1024"/>
      <c r="AT390" s="1024"/>
      <c r="AU390" s="1024"/>
      <c r="AV390" s="1024"/>
      <c r="AW390" s="1024"/>
      <c r="AX390" s="1024"/>
    </row>
    <row r="391" spans="1:50" ht="15" customHeight="1">
      <c r="A391" s="347"/>
      <c r="B391" s="507"/>
      <c r="C391" s="333"/>
      <c r="D391" s="1112"/>
      <c r="E391" s="1024"/>
      <c r="F391" s="850" t="str">
        <f xml:space="preserve"> Translate!E$564</f>
        <v>Production</v>
      </c>
      <c r="G391" s="1024" t="str">
        <f>Translate!$E$351</f>
        <v>Option</v>
      </c>
      <c r="H391" s="1024"/>
      <c r="I391" s="1024"/>
      <c r="J391" s="1024"/>
      <c r="K391" s="1024"/>
      <c r="L391" s="1024"/>
      <c r="M391" s="1024"/>
      <c r="N391" s="1024"/>
      <c r="O391" s="1024"/>
      <c r="P391" s="1024"/>
      <c r="Q391" s="1024"/>
      <c r="R391" s="1024"/>
      <c r="S391" s="1024"/>
      <c r="T391" s="1024"/>
      <c r="U391" s="1024"/>
      <c r="V391" s="1024"/>
      <c r="W391" s="1024"/>
      <c r="X391" s="1024"/>
      <c r="Y391" s="1024"/>
      <c r="Z391" s="1024"/>
      <c r="AA391" s="1024"/>
      <c r="AB391" s="1024"/>
      <c r="AC391" s="1024"/>
      <c r="AD391" s="1024"/>
      <c r="AE391" s="1024"/>
      <c r="AF391" s="1024"/>
      <c r="AG391" s="1024"/>
      <c r="AH391" s="1024"/>
      <c r="AI391" s="1024"/>
      <c r="AJ391" s="1024"/>
      <c r="AK391" s="1024"/>
      <c r="AL391" s="1024"/>
      <c r="AM391" s="1024"/>
      <c r="AN391" s="1024"/>
      <c r="AO391" s="1024"/>
      <c r="AP391" s="1024"/>
      <c r="AQ391" s="1024"/>
      <c r="AR391" s="1024"/>
      <c r="AS391" s="1024"/>
      <c r="AT391" s="1024"/>
      <c r="AU391" s="1024"/>
      <c r="AV391" s="1024"/>
      <c r="AW391" s="1024"/>
      <c r="AX391" s="1024"/>
    </row>
    <row r="392" spans="1:50" ht="15" customHeight="1">
      <c r="A392" s="1041"/>
      <c r="D392" s="1005"/>
      <c r="E392" s="1041"/>
      <c r="F392" s="1041"/>
      <c r="G392" s="1041"/>
      <c r="H392" s="1041"/>
      <c r="I392" s="1041"/>
      <c r="J392" s="1041"/>
      <c r="K392" s="1041"/>
      <c r="L392" s="1041"/>
      <c r="M392" s="1041"/>
      <c r="N392" s="1041"/>
      <c r="O392" s="1041"/>
      <c r="P392" s="1041"/>
      <c r="Q392" s="1041"/>
      <c r="R392" s="1041"/>
      <c r="S392" s="1041"/>
      <c r="T392" s="1041"/>
      <c r="U392" s="1041"/>
      <c r="V392" s="1041"/>
      <c r="W392" s="1041"/>
      <c r="X392" s="1041"/>
      <c r="Y392" s="1041"/>
      <c r="Z392" s="1041"/>
      <c r="AA392" s="1041"/>
      <c r="AB392" s="1041"/>
      <c r="AC392" s="1041"/>
      <c r="AD392" s="1041"/>
      <c r="AE392" s="1041"/>
      <c r="AF392" s="1041"/>
      <c r="AG392" s="1041"/>
      <c r="AH392" s="1041"/>
      <c r="AI392" s="1041"/>
      <c r="AJ392" s="1041"/>
      <c r="AK392" s="1041"/>
      <c r="AL392" s="1041"/>
      <c r="AM392" s="1041"/>
      <c r="AN392" s="1041"/>
      <c r="AO392" s="1041"/>
      <c r="AP392" s="1041"/>
      <c r="AQ392" s="1041"/>
      <c r="AR392" s="1041"/>
      <c r="AS392" s="1041"/>
      <c r="AT392" s="1041"/>
      <c r="AU392" s="1041"/>
      <c r="AV392" s="1041"/>
      <c r="AW392" s="1041"/>
      <c r="AX392" s="1041"/>
    </row>
    <row r="393" spans="1:50" ht="15" customHeight="1">
      <c r="A393" s="1041"/>
      <c r="D393" s="1005"/>
      <c r="E393" s="1041" t="str">
        <f>Translate!$E$473 &amp; ": " &amp; IF( F389 = F390, E385, E386)</f>
        <v>Selected flag for depreciation: Production years after ELT</v>
      </c>
      <c r="F393" s="1041"/>
      <c r="G393" s="1041" t="str">
        <f>Translate!$E$586</f>
        <v>Flag</v>
      </c>
      <c r="H393" s="1041"/>
      <c r="I393" s="1041"/>
      <c r="J393" s="1041"/>
      <c r="K393" s="1041">
        <f t="shared" ref="K393:AX393" ca="1" si="103" xml:space="preserve"> IF($F389 = $F390, K385, K386)</f>
        <v>0</v>
      </c>
      <c r="L393" s="1041">
        <f t="shared" ca="1" si="103"/>
        <v>0</v>
      </c>
      <c r="M393" s="1041">
        <f t="shared" ca="1" si="103"/>
        <v>0</v>
      </c>
      <c r="N393" s="1041">
        <f t="shared" ca="1" si="103"/>
        <v>0</v>
      </c>
      <c r="O393" s="1041">
        <f t="shared" ca="1" si="103"/>
        <v>1</v>
      </c>
      <c r="P393" s="1041">
        <f t="shared" ca="1" si="103"/>
        <v>1</v>
      </c>
      <c r="Q393" s="1041">
        <f t="shared" ca="1" si="103"/>
        <v>1</v>
      </c>
      <c r="R393" s="1041">
        <f t="shared" ca="1" si="103"/>
        <v>1</v>
      </c>
      <c r="S393" s="1041">
        <f t="shared" ca="1" si="103"/>
        <v>1</v>
      </c>
      <c r="T393" s="1041">
        <f t="shared" ca="1" si="103"/>
        <v>1</v>
      </c>
      <c r="U393" s="1041">
        <f t="shared" ca="1" si="103"/>
        <v>1</v>
      </c>
      <c r="V393" s="1041">
        <f t="shared" ca="1" si="103"/>
        <v>1</v>
      </c>
      <c r="W393" s="1041">
        <f t="shared" ca="1" si="103"/>
        <v>1</v>
      </c>
      <c r="X393" s="1041">
        <f t="shared" ca="1" si="103"/>
        <v>1</v>
      </c>
      <c r="Y393" s="1041">
        <f t="shared" ca="1" si="103"/>
        <v>1</v>
      </c>
      <c r="Z393" s="1041">
        <f t="shared" ca="1" si="103"/>
        <v>1</v>
      </c>
      <c r="AA393" s="1041">
        <f t="shared" ca="1" si="103"/>
        <v>1</v>
      </c>
      <c r="AB393" s="1041">
        <f t="shared" ca="1" si="103"/>
        <v>1</v>
      </c>
      <c r="AC393" s="1041">
        <f t="shared" ca="1" si="103"/>
        <v>1</v>
      </c>
      <c r="AD393" s="1041">
        <f t="shared" ca="1" si="103"/>
        <v>1</v>
      </c>
      <c r="AE393" s="1041">
        <f t="shared" ca="1" si="103"/>
        <v>1</v>
      </c>
      <c r="AF393" s="1041">
        <f t="shared" ca="1" si="103"/>
        <v>0</v>
      </c>
      <c r="AG393" s="1041">
        <f t="shared" ca="1" si="103"/>
        <v>0</v>
      </c>
      <c r="AH393" s="1041">
        <f t="shared" ca="1" si="103"/>
        <v>0</v>
      </c>
      <c r="AI393" s="1041">
        <f t="shared" ca="1" si="103"/>
        <v>0</v>
      </c>
      <c r="AJ393" s="1041">
        <f t="shared" ca="1" si="103"/>
        <v>0</v>
      </c>
      <c r="AK393" s="1041">
        <f t="shared" ca="1" si="103"/>
        <v>0</v>
      </c>
      <c r="AL393" s="1041">
        <f t="shared" ca="1" si="103"/>
        <v>0</v>
      </c>
      <c r="AM393" s="1041">
        <f t="shared" ca="1" si="103"/>
        <v>0</v>
      </c>
      <c r="AN393" s="1041">
        <f t="shared" ca="1" si="103"/>
        <v>0</v>
      </c>
      <c r="AO393" s="1041">
        <f t="shared" ca="1" si="103"/>
        <v>0</v>
      </c>
      <c r="AP393" s="1041">
        <f t="shared" ca="1" si="103"/>
        <v>0</v>
      </c>
      <c r="AQ393" s="1041">
        <f t="shared" ca="1" si="103"/>
        <v>0</v>
      </c>
      <c r="AR393" s="1041">
        <f t="shared" ca="1" si="103"/>
        <v>0</v>
      </c>
      <c r="AS393" s="1041">
        <f t="shared" ca="1" si="103"/>
        <v>0</v>
      </c>
      <c r="AT393" s="1041">
        <f t="shared" ca="1" si="103"/>
        <v>0</v>
      </c>
      <c r="AU393" s="1041">
        <f t="shared" ca="1" si="103"/>
        <v>0</v>
      </c>
      <c r="AV393" s="1041">
        <f t="shared" ca="1" si="103"/>
        <v>0</v>
      </c>
      <c r="AW393" s="1041">
        <f t="shared" ca="1" si="103"/>
        <v>0</v>
      </c>
      <c r="AX393" s="1041">
        <f t="shared" ca="1" si="103"/>
        <v>0</v>
      </c>
    </row>
    <row r="394" spans="1:50" ht="15" customHeight="1">
      <c r="A394" s="1041"/>
      <c r="D394" s="1005"/>
      <c r="E394" s="1041" t="str">
        <f>Translate!$E$216</f>
        <v>Cumulative depreciation years</v>
      </c>
      <c r="F394" s="1041"/>
      <c r="G394" s="1041" t="str">
        <f xml:space="preserve"> Translate!E$358</f>
        <v>Years</v>
      </c>
      <c r="H394" s="1041"/>
      <c r="I394" s="1041"/>
      <c r="J394" s="1115"/>
      <c r="K394" s="1041">
        <f t="shared" ref="K394:AX394" ca="1" si="104" xml:space="preserve"> (J394 + K393) * K393</f>
        <v>0</v>
      </c>
      <c r="L394" s="1041">
        <f t="shared" ca="1" si="104"/>
        <v>0</v>
      </c>
      <c r="M394" s="1041">
        <f t="shared" ca="1" si="104"/>
        <v>0</v>
      </c>
      <c r="N394" s="1041">
        <f t="shared" ca="1" si="104"/>
        <v>0</v>
      </c>
      <c r="O394" s="1041">
        <f t="shared" ca="1" si="104"/>
        <v>1</v>
      </c>
      <c r="P394" s="1041">
        <f t="shared" ca="1" si="104"/>
        <v>2</v>
      </c>
      <c r="Q394" s="1041">
        <f t="shared" ca="1" si="104"/>
        <v>3</v>
      </c>
      <c r="R394" s="1041">
        <f t="shared" ca="1" si="104"/>
        <v>4</v>
      </c>
      <c r="S394" s="1041">
        <f t="shared" ca="1" si="104"/>
        <v>5</v>
      </c>
      <c r="T394" s="1041">
        <f t="shared" ca="1" si="104"/>
        <v>6</v>
      </c>
      <c r="U394" s="1041">
        <f t="shared" ca="1" si="104"/>
        <v>7</v>
      </c>
      <c r="V394" s="1041">
        <f t="shared" ca="1" si="104"/>
        <v>8</v>
      </c>
      <c r="W394" s="1041">
        <f t="shared" ca="1" si="104"/>
        <v>9</v>
      </c>
      <c r="X394" s="1041">
        <f t="shared" ca="1" si="104"/>
        <v>10</v>
      </c>
      <c r="Y394" s="1041">
        <f t="shared" ca="1" si="104"/>
        <v>11</v>
      </c>
      <c r="Z394" s="1041">
        <f t="shared" ca="1" si="104"/>
        <v>12</v>
      </c>
      <c r="AA394" s="1041">
        <f t="shared" ca="1" si="104"/>
        <v>13</v>
      </c>
      <c r="AB394" s="1041">
        <f t="shared" ca="1" si="104"/>
        <v>14</v>
      </c>
      <c r="AC394" s="1041">
        <f t="shared" ca="1" si="104"/>
        <v>15</v>
      </c>
      <c r="AD394" s="1041">
        <f t="shared" ca="1" si="104"/>
        <v>16</v>
      </c>
      <c r="AE394" s="1041">
        <f t="shared" ca="1" si="104"/>
        <v>17</v>
      </c>
      <c r="AF394" s="1041">
        <f t="shared" ca="1" si="104"/>
        <v>0</v>
      </c>
      <c r="AG394" s="1041">
        <f t="shared" ca="1" si="104"/>
        <v>0</v>
      </c>
      <c r="AH394" s="1041">
        <f t="shared" ca="1" si="104"/>
        <v>0</v>
      </c>
      <c r="AI394" s="1041">
        <f t="shared" ca="1" si="104"/>
        <v>0</v>
      </c>
      <c r="AJ394" s="1041">
        <f t="shared" ca="1" si="104"/>
        <v>0</v>
      </c>
      <c r="AK394" s="1041">
        <f t="shared" ca="1" si="104"/>
        <v>0</v>
      </c>
      <c r="AL394" s="1041">
        <f t="shared" ca="1" si="104"/>
        <v>0</v>
      </c>
      <c r="AM394" s="1041">
        <f t="shared" ca="1" si="104"/>
        <v>0</v>
      </c>
      <c r="AN394" s="1041">
        <f t="shared" ca="1" si="104"/>
        <v>0</v>
      </c>
      <c r="AO394" s="1041">
        <f t="shared" ca="1" si="104"/>
        <v>0</v>
      </c>
      <c r="AP394" s="1041">
        <f t="shared" ca="1" si="104"/>
        <v>0</v>
      </c>
      <c r="AQ394" s="1041">
        <f t="shared" ca="1" si="104"/>
        <v>0</v>
      </c>
      <c r="AR394" s="1041">
        <f t="shared" ca="1" si="104"/>
        <v>0</v>
      </c>
      <c r="AS394" s="1041">
        <f t="shared" ca="1" si="104"/>
        <v>0</v>
      </c>
      <c r="AT394" s="1041">
        <f t="shared" ca="1" si="104"/>
        <v>0</v>
      </c>
      <c r="AU394" s="1041">
        <f t="shared" ca="1" si="104"/>
        <v>0</v>
      </c>
      <c r="AV394" s="1041">
        <f t="shared" ca="1" si="104"/>
        <v>0</v>
      </c>
      <c r="AW394" s="1041">
        <f t="shared" ca="1" si="104"/>
        <v>0</v>
      </c>
      <c r="AX394" s="1041">
        <f t="shared" ca="1" si="104"/>
        <v>0</v>
      </c>
    </row>
    <row r="395" spans="1:50" ht="15" customHeight="1">
      <c r="A395" s="1041"/>
      <c r="D395" s="1005"/>
      <c r="E395" s="1041" t="str">
        <f>Translate!$E$217</f>
        <v>Remaining depreciation years</v>
      </c>
      <c r="F395" s="1041"/>
      <c r="G395" s="1041" t="str">
        <f xml:space="preserve"> Translate!E$358</f>
        <v>Years</v>
      </c>
      <c r="H395" s="1041"/>
      <c r="I395" s="1041"/>
      <c r="J395" s="1041"/>
      <c r="K395" s="1041">
        <f ca="1" xml:space="preserve"> SUM(K393:$AX393) * K393</f>
        <v>0</v>
      </c>
      <c r="L395" s="1041">
        <f ca="1" xml:space="preserve"> SUM(L393:$AX393) * L393</f>
        <v>0</v>
      </c>
      <c r="M395" s="1041">
        <f ca="1" xml:space="preserve"> SUM(M393:$AX393) * M393</f>
        <v>0</v>
      </c>
      <c r="N395" s="1041">
        <f ca="1" xml:space="preserve"> SUM(N393:$AX393) * N393</f>
        <v>0</v>
      </c>
      <c r="O395" s="1041">
        <f ca="1" xml:space="preserve"> SUM(O393:$AX393) * O393</f>
        <v>17</v>
      </c>
      <c r="P395" s="1041">
        <f ca="1" xml:space="preserve"> SUM(P393:$AX393) * P393</f>
        <v>16</v>
      </c>
      <c r="Q395" s="1041">
        <f ca="1" xml:space="preserve"> SUM(Q393:$AX393) * Q393</f>
        <v>15</v>
      </c>
      <c r="R395" s="1041">
        <f ca="1" xml:space="preserve"> SUM(R393:$AX393) * R393</f>
        <v>14</v>
      </c>
      <c r="S395" s="1041">
        <f ca="1" xml:space="preserve"> SUM(S393:$AX393) * S393</f>
        <v>13</v>
      </c>
      <c r="T395" s="1041">
        <f ca="1" xml:space="preserve"> SUM(T393:$AX393) * T393</f>
        <v>12</v>
      </c>
      <c r="U395" s="1041">
        <f ca="1" xml:space="preserve"> SUM(U393:$AX393) * U393</f>
        <v>11</v>
      </c>
      <c r="V395" s="1041">
        <f ca="1" xml:space="preserve"> SUM(V393:$AX393) * V393</f>
        <v>10</v>
      </c>
      <c r="W395" s="1041">
        <f ca="1" xml:space="preserve"> SUM(W393:$AX393) * W393</f>
        <v>9</v>
      </c>
      <c r="X395" s="1041">
        <f ca="1" xml:space="preserve"> SUM(X393:$AX393) * X393</f>
        <v>8</v>
      </c>
      <c r="Y395" s="1041">
        <f ca="1" xml:space="preserve"> SUM(Y393:$AX393) * Y393</f>
        <v>7</v>
      </c>
      <c r="Z395" s="1041">
        <f ca="1" xml:space="preserve"> SUM(Z393:$AX393) * Z393</f>
        <v>6</v>
      </c>
      <c r="AA395" s="1041">
        <f ca="1" xml:space="preserve"> SUM(AA393:$AX393) * AA393</f>
        <v>5</v>
      </c>
      <c r="AB395" s="1041">
        <f ca="1" xml:space="preserve"> SUM(AB393:$AX393) * AB393</f>
        <v>4</v>
      </c>
      <c r="AC395" s="1041">
        <f ca="1" xml:space="preserve"> SUM(AC393:$AX393) * AC393</f>
        <v>3</v>
      </c>
      <c r="AD395" s="1041">
        <f ca="1" xml:space="preserve"> SUM(AD393:$AX393) * AD393</f>
        <v>2</v>
      </c>
      <c r="AE395" s="1041">
        <f ca="1" xml:space="preserve"> SUM(AE393:$AX393) * AE393</f>
        <v>1</v>
      </c>
      <c r="AF395" s="1041">
        <f ca="1" xml:space="preserve"> SUM(AF393:$AX393) * AF393</f>
        <v>0</v>
      </c>
      <c r="AG395" s="1041">
        <f ca="1" xml:space="preserve"> SUM(AG393:$AX393) * AG393</f>
        <v>0</v>
      </c>
      <c r="AH395" s="1041">
        <f ca="1" xml:space="preserve"> SUM(AH393:$AX393) * AH393</f>
        <v>0</v>
      </c>
      <c r="AI395" s="1041">
        <f ca="1" xml:space="preserve"> SUM(AI393:$AX393) * AI393</f>
        <v>0</v>
      </c>
      <c r="AJ395" s="1041">
        <f ca="1" xml:space="preserve"> SUM(AJ393:$AX393) * AJ393</f>
        <v>0</v>
      </c>
      <c r="AK395" s="1041">
        <f ca="1" xml:space="preserve"> SUM(AK393:$AX393) * AK393</f>
        <v>0</v>
      </c>
      <c r="AL395" s="1041">
        <f ca="1" xml:space="preserve"> SUM(AL393:$AX393) * AL393</f>
        <v>0</v>
      </c>
      <c r="AM395" s="1041">
        <f ca="1" xml:space="preserve"> SUM(AM393:$AX393) * AM393</f>
        <v>0</v>
      </c>
      <c r="AN395" s="1041">
        <f ca="1" xml:space="preserve"> SUM(AN393:$AX393) * AN393</f>
        <v>0</v>
      </c>
      <c r="AO395" s="1041">
        <f ca="1" xml:space="preserve"> SUM(AO393:$AX393) * AO393</f>
        <v>0</v>
      </c>
      <c r="AP395" s="1041">
        <f ca="1" xml:space="preserve"> SUM(AP393:$AX393) * AP393</f>
        <v>0</v>
      </c>
      <c r="AQ395" s="1041">
        <f ca="1" xml:space="preserve"> SUM(AQ393:$AX393) * AQ393</f>
        <v>0</v>
      </c>
      <c r="AR395" s="1041">
        <f ca="1" xml:space="preserve"> SUM(AR393:$AX393) * AR393</f>
        <v>0</v>
      </c>
      <c r="AS395" s="1041">
        <f ca="1" xml:space="preserve"> SUM(AS393:$AX393) * AS393</f>
        <v>0</v>
      </c>
      <c r="AT395" s="1041">
        <f ca="1" xml:space="preserve"> SUM(AT393:$AX393) * AT393</f>
        <v>0</v>
      </c>
      <c r="AU395" s="1041">
        <f ca="1" xml:space="preserve"> SUM(AU393:$AX393) * AU393</f>
        <v>0</v>
      </c>
      <c r="AV395" s="1041">
        <f ca="1" xml:space="preserve"> SUM(AV393:$AX393) * AV393</f>
        <v>0</v>
      </c>
      <c r="AW395" s="1041">
        <f ca="1" xml:space="preserve"> SUM(AW393:$AX393) * AW393</f>
        <v>0</v>
      </c>
      <c r="AX395" s="1041">
        <f ca="1" xml:space="preserve"> SUM(AX393:$AX393) * AX393</f>
        <v>0</v>
      </c>
    </row>
    <row r="396" spans="1:50" ht="15" customHeight="1">
      <c r="A396" s="1041"/>
      <c r="D396" s="1005"/>
      <c r="E396" s="1041"/>
      <c r="F396" s="1041"/>
      <c r="G396" s="1041"/>
      <c r="H396" s="1041"/>
      <c r="I396" s="1041"/>
      <c r="J396" s="1041"/>
      <c r="K396" s="1041"/>
      <c r="L396" s="1041"/>
      <c r="M396" s="1041"/>
      <c r="N396" s="1041"/>
      <c r="O396" s="1041"/>
      <c r="P396" s="1041"/>
      <c r="Q396" s="1041"/>
      <c r="R396" s="1041"/>
      <c r="S396" s="1041"/>
      <c r="T396" s="1041"/>
      <c r="U396" s="1041"/>
      <c r="V396" s="1041"/>
      <c r="W396" s="1041"/>
      <c r="X396" s="1041"/>
      <c r="Y396" s="1041"/>
      <c r="Z396" s="1041"/>
      <c r="AA396" s="1041"/>
      <c r="AB396" s="1041"/>
      <c r="AC396" s="1041"/>
      <c r="AD396" s="1041"/>
      <c r="AE396" s="1041"/>
      <c r="AF396" s="1041"/>
      <c r="AG396" s="1041"/>
      <c r="AH396" s="1041"/>
      <c r="AI396" s="1041"/>
      <c r="AJ396" s="1041"/>
      <c r="AK396" s="1041"/>
      <c r="AL396" s="1041"/>
      <c r="AM396" s="1041"/>
      <c r="AN396" s="1041"/>
      <c r="AO396" s="1041"/>
      <c r="AP396" s="1041"/>
      <c r="AQ396" s="1041"/>
      <c r="AR396" s="1041"/>
      <c r="AS396" s="1041"/>
      <c r="AT396" s="1041"/>
      <c r="AU396" s="1041"/>
      <c r="AV396" s="1041"/>
      <c r="AW396" s="1041"/>
      <c r="AX396" s="1041"/>
    </row>
    <row r="397" spans="1:50" ht="15" customHeight="1">
      <c r="A397" s="347"/>
      <c r="B397" s="507"/>
      <c r="C397" s="333"/>
      <c r="D397" s="1112"/>
      <c r="E397" s="1024" t="str">
        <f xml:space="preserve"> E376 &amp; " " &amp; Translate!$E$474</f>
        <v>Capitalized costs: Mining company into depreciation</v>
      </c>
      <c r="F397" s="1024"/>
      <c r="G397" s="1024" t="str">
        <f xml:space="preserve"> Translate!E$10</f>
        <v>US$ mn</v>
      </c>
      <c r="H397" s="1024"/>
      <c r="I397" s="1024">
        <f ca="1" xml:space="preserve"> SUM(K397:AX397)</f>
        <v>553.85931765696978</v>
      </c>
      <c r="J397" s="1024"/>
      <c r="K397" s="1024">
        <f t="shared" ref="K397:AX397" ca="1" si="105" xml:space="preserve"> IF( K394 = 0, 0, IF( K394 = 1, K377, K376))</f>
        <v>0</v>
      </c>
      <c r="L397" s="1024">
        <f t="shared" ca="1" si="105"/>
        <v>0</v>
      </c>
      <c r="M397" s="1024">
        <f t="shared" ca="1" si="105"/>
        <v>0</v>
      </c>
      <c r="N397" s="1024">
        <f t="shared" ca="1" si="105"/>
        <v>0</v>
      </c>
      <c r="O397" s="1024">
        <f t="shared" ca="1" si="105"/>
        <v>324.98699094</v>
      </c>
      <c r="P397" s="1024">
        <f t="shared" ca="1" si="105"/>
        <v>119.2407267456</v>
      </c>
      <c r="Q397" s="1024">
        <f t="shared" ca="1" si="105"/>
        <v>9.0092993541120006</v>
      </c>
      <c r="R397" s="1024">
        <f t="shared" ca="1" si="105"/>
        <v>9.1894853411942403</v>
      </c>
      <c r="S397" s="1024">
        <f t="shared" ca="1" si="105"/>
        <v>9.3732750480181259</v>
      </c>
      <c r="T397" s="1024">
        <f t="shared" ca="1" si="105"/>
        <v>9.5607405489784885</v>
      </c>
      <c r="U397" s="1024">
        <f t="shared" ca="1" si="105"/>
        <v>9.7519553599580586</v>
      </c>
      <c r="V397" s="1024">
        <f t="shared" ca="1" si="105"/>
        <v>9.9469944671572197</v>
      </c>
      <c r="W397" s="1024">
        <f t="shared" ca="1" si="105"/>
        <v>10.145934356500364</v>
      </c>
      <c r="X397" s="1024">
        <f t="shared" ca="1" si="105"/>
        <v>10.348853043630371</v>
      </c>
      <c r="Y397" s="1024">
        <f t="shared" ca="1" si="105"/>
        <v>10.555830104502979</v>
      </c>
      <c r="Z397" s="1024">
        <f t="shared" ca="1" si="105"/>
        <v>10.766946706593039</v>
      </c>
      <c r="AA397" s="1024">
        <f t="shared" ca="1" si="105"/>
        <v>10.9822856407249</v>
      </c>
      <c r="AB397" s="1024">
        <f t="shared" ca="1" si="105"/>
        <v>0</v>
      </c>
      <c r="AC397" s="1024">
        <f t="shared" ca="1" si="105"/>
        <v>0</v>
      </c>
      <c r="AD397" s="1024">
        <f t="shared" ca="1" si="105"/>
        <v>0</v>
      </c>
      <c r="AE397" s="1024">
        <f t="shared" ca="1" si="105"/>
        <v>0</v>
      </c>
      <c r="AF397" s="1024">
        <f t="shared" ca="1" si="105"/>
        <v>0</v>
      </c>
      <c r="AG397" s="1024">
        <f t="shared" ca="1" si="105"/>
        <v>0</v>
      </c>
      <c r="AH397" s="1024">
        <f t="shared" ca="1" si="105"/>
        <v>0</v>
      </c>
      <c r="AI397" s="1024">
        <f t="shared" ca="1" si="105"/>
        <v>0</v>
      </c>
      <c r="AJ397" s="1024">
        <f t="shared" ca="1" si="105"/>
        <v>0</v>
      </c>
      <c r="AK397" s="1024">
        <f t="shared" ca="1" si="105"/>
        <v>0</v>
      </c>
      <c r="AL397" s="1024">
        <f t="shared" ca="1" si="105"/>
        <v>0</v>
      </c>
      <c r="AM397" s="1024">
        <f t="shared" ca="1" si="105"/>
        <v>0</v>
      </c>
      <c r="AN397" s="1024">
        <f t="shared" ca="1" si="105"/>
        <v>0</v>
      </c>
      <c r="AO397" s="1024">
        <f t="shared" ca="1" si="105"/>
        <v>0</v>
      </c>
      <c r="AP397" s="1024">
        <f t="shared" ca="1" si="105"/>
        <v>0</v>
      </c>
      <c r="AQ397" s="1024">
        <f t="shared" ca="1" si="105"/>
        <v>0</v>
      </c>
      <c r="AR397" s="1024">
        <f t="shared" ca="1" si="105"/>
        <v>0</v>
      </c>
      <c r="AS397" s="1024">
        <f t="shared" ca="1" si="105"/>
        <v>0</v>
      </c>
      <c r="AT397" s="1024">
        <f t="shared" ca="1" si="105"/>
        <v>0</v>
      </c>
      <c r="AU397" s="1024">
        <f t="shared" ca="1" si="105"/>
        <v>0</v>
      </c>
      <c r="AV397" s="1024">
        <f t="shared" ca="1" si="105"/>
        <v>0</v>
      </c>
      <c r="AW397" s="1024">
        <f t="shared" ca="1" si="105"/>
        <v>0</v>
      </c>
      <c r="AX397" s="1024">
        <f t="shared" ca="1" si="105"/>
        <v>0</v>
      </c>
    </row>
    <row r="398" spans="1:50" ht="15" customHeight="1">
      <c r="A398" s="347"/>
      <c r="B398" s="507"/>
      <c r="C398" s="333"/>
      <c r="D398" s="1112"/>
      <c r="E398" s="1024"/>
      <c r="F398" s="1024"/>
      <c r="G398" s="1024"/>
      <c r="H398" s="1024"/>
      <c r="I398" s="1024"/>
      <c r="J398" s="1024"/>
      <c r="K398" s="1024"/>
      <c r="L398" s="1024"/>
      <c r="M398" s="1024"/>
      <c r="N398" s="1024"/>
      <c r="O398" s="1024"/>
      <c r="P398" s="1024"/>
      <c r="Q398" s="1024"/>
      <c r="R398" s="1024"/>
      <c r="S398" s="1024"/>
      <c r="T398" s="1024"/>
      <c r="U398" s="1024"/>
      <c r="V398" s="1024"/>
      <c r="W398" s="1024"/>
      <c r="X398" s="1024"/>
      <c r="Y398" s="1024"/>
      <c r="Z398" s="1024"/>
      <c r="AA398" s="1024"/>
      <c r="AB398" s="1024"/>
      <c r="AC398" s="1024"/>
      <c r="AD398" s="1024"/>
      <c r="AE398" s="1024"/>
      <c r="AF398" s="1024"/>
      <c r="AG398" s="1024"/>
      <c r="AH398" s="1024"/>
      <c r="AI398" s="1024"/>
      <c r="AJ398" s="1024"/>
      <c r="AK398" s="1024"/>
      <c r="AL398" s="1024"/>
      <c r="AM398" s="1024"/>
      <c r="AN398" s="1024"/>
      <c r="AO398" s="1024"/>
      <c r="AP398" s="1024"/>
      <c r="AQ398" s="1024"/>
      <c r="AR398" s="1024"/>
      <c r="AS398" s="1024"/>
      <c r="AT398" s="1024"/>
      <c r="AU398" s="1024"/>
      <c r="AV398" s="1024"/>
      <c r="AW398" s="1024"/>
      <c r="AX398" s="1024"/>
    </row>
    <row r="399" spans="1:50" s="4" customFormat="1" ht="15" customHeight="1">
      <c r="A399" s="73"/>
      <c r="B399" s="308"/>
      <c r="C399" s="75"/>
      <c r="D399" s="187"/>
      <c r="E399" s="45" t="str">
        <f xml:space="preserve"> E376 &amp; ": " &amp; Translate!$E$19</f>
        <v>Capitalized costs: Mining company: Total</v>
      </c>
      <c r="F399" s="45">
        <f ca="1" xml:space="preserve"> SUM(K376:AX376)</f>
        <v>553.85931765696978</v>
      </c>
      <c r="G399" s="45" t="str">
        <f xml:space="preserve"> Translate!E$10</f>
        <v>US$ mn</v>
      </c>
      <c r="H399" s="45"/>
      <c r="I399" s="45"/>
      <c r="J399" s="45"/>
      <c r="K399" s="45"/>
      <c r="L399" s="45"/>
      <c r="M399" s="45"/>
      <c r="N399" s="45"/>
      <c r="O399" s="45"/>
      <c r="P399" s="45"/>
      <c r="Q399" s="45"/>
      <c r="R399" s="45"/>
      <c r="S399" s="45"/>
      <c r="T399" s="45"/>
      <c r="U399" s="45"/>
      <c r="V399" s="45"/>
      <c r="W399" s="45"/>
      <c r="X399" s="45"/>
      <c r="Y399" s="45"/>
      <c r="Z399" s="45"/>
      <c r="AA399" s="45"/>
      <c r="AB399" s="45"/>
      <c r="AC399" s="45"/>
      <c r="AD399" s="45"/>
      <c r="AE399" s="45"/>
      <c r="AF399" s="45"/>
      <c r="AG399" s="45"/>
      <c r="AH399" s="45"/>
      <c r="AI399" s="45"/>
      <c r="AJ399" s="45"/>
      <c r="AK399" s="45"/>
      <c r="AL399" s="45"/>
      <c r="AM399" s="45"/>
      <c r="AN399" s="45"/>
      <c r="AO399" s="45"/>
      <c r="AP399" s="45"/>
      <c r="AQ399" s="45"/>
      <c r="AR399" s="45"/>
      <c r="AS399" s="45"/>
      <c r="AT399" s="45"/>
      <c r="AU399" s="45"/>
      <c r="AV399" s="45"/>
      <c r="AW399" s="45"/>
      <c r="AX399" s="45"/>
    </row>
    <row r="400" spans="1:50" s="4" customFormat="1" ht="15" customHeight="1">
      <c r="A400" s="73"/>
      <c r="B400" s="308"/>
      <c r="C400" s="75"/>
      <c r="D400" s="187"/>
      <c r="E400" s="45" t="str">
        <f xml:space="preserve"> E397 &amp; ", " &amp; Translate!$E$19</f>
        <v>Capitalized costs: Mining company into depreciation, Total</v>
      </c>
      <c r="F400" s="45">
        <f ca="1" xml:space="preserve"> SUM(K397:AX397)</f>
        <v>553.85931765696978</v>
      </c>
      <c r="G400" s="45" t="str">
        <f>G397</f>
        <v>US$ mn</v>
      </c>
      <c r="H400" s="45"/>
      <c r="I400" s="45"/>
      <c r="J400" s="45"/>
      <c r="K400" s="45"/>
      <c r="L400" s="45"/>
      <c r="M400" s="45"/>
      <c r="N400" s="45"/>
      <c r="O400" s="45"/>
      <c r="P400" s="45"/>
      <c r="Q400" s="45"/>
      <c r="R400" s="45"/>
      <c r="S400" s="45"/>
      <c r="T400" s="45"/>
      <c r="U400" s="45"/>
      <c r="V400" s="45"/>
      <c r="W400" s="45"/>
      <c r="X400" s="45"/>
      <c r="Y400" s="45"/>
      <c r="Z400" s="45"/>
      <c r="AA400" s="45"/>
      <c r="AB400" s="45"/>
      <c r="AC400" s="45"/>
      <c r="AD400" s="45"/>
      <c r="AE400" s="45"/>
      <c r="AF400" s="45"/>
      <c r="AG400" s="45"/>
      <c r="AH400" s="45"/>
      <c r="AI400" s="45"/>
      <c r="AJ400" s="45"/>
      <c r="AK400" s="45"/>
      <c r="AL400" s="45"/>
      <c r="AM400" s="45"/>
      <c r="AN400" s="45"/>
      <c r="AO400" s="45"/>
      <c r="AP400" s="45"/>
      <c r="AQ400" s="45"/>
      <c r="AR400" s="45"/>
      <c r="AS400" s="45"/>
      <c r="AT400" s="45"/>
      <c r="AU400" s="45"/>
      <c r="AV400" s="45"/>
      <c r="AW400" s="45"/>
      <c r="AX400" s="45"/>
    </row>
    <row r="401" spans="1:50" ht="15" customHeight="1">
      <c r="A401" s="347"/>
      <c r="B401" s="507"/>
      <c r="C401" s="333"/>
      <c r="D401" s="1112"/>
      <c r="E401" s="1024" t="str">
        <f xml:space="preserve"> Translate!$E$444 &amp; ": " &amp; Translate!$E$218</f>
        <v>Check: costs into depreciation</v>
      </c>
      <c r="F401" s="414">
        <f ca="1" xml:space="preserve"> IF( ABS( F399 - F400 ) &gt; CHK_TOL, 1, 0)</f>
        <v>0</v>
      </c>
      <c r="G401" s="1024" t="str">
        <f xml:space="preserve"> Translate!E$444</f>
        <v>Check</v>
      </c>
      <c r="H401" s="1024"/>
      <c r="I401" s="1024"/>
      <c r="J401" s="1024"/>
      <c r="K401" s="1024"/>
      <c r="L401" s="1024"/>
      <c r="M401" s="1024"/>
      <c r="N401" s="1024"/>
      <c r="O401" s="1024"/>
      <c r="P401" s="1024"/>
      <c r="Q401" s="1024"/>
      <c r="R401" s="1024"/>
      <c r="S401" s="1024"/>
      <c r="T401" s="1024"/>
      <c r="U401" s="1024"/>
      <c r="V401" s="1024"/>
      <c r="W401" s="1024"/>
      <c r="X401" s="1024"/>
      <c r="Y401" s="1024"/>
      <c r="Z401" s="1024"/>
      <c r="AA401" s="1024"/>
      <c r="AB401" s="1024"/>
      <c r="AC401" s="1024"/>
      <c r="AD401" s="1024"/>
      <c r="AE401" s="1024"/>
      <c r="AF401" s="1024"/>
      <c r="AG401" s="1024"/>
      <c r="AH401" s="1024"/>
      <c r="AI401" s="1024"/>
      <c r="AJ401" s="1024"/>
      <c r="AK401" s="1024"/>
      <c r="AL401" s="1024"/>
      <c r="AM401" s="1024"/>
      <c r="AN401" s="1024"/>
      <c r="AO401" s="1024"/>
      <c r="AP401" s="1024"/>
      <c r="AQ401" s="1024"/>
      <c r="AR401" s="1024"/>
      <c r="AS401" s="1024"/>
      <c r="AT401" s="1024"/>
      <c r="AU401" s="1024"/>
      <c r="AV401" s="1024"/>
      <c r="AW401" s="1024"/>
      <c r="AX401" s="1024"/>
    </row>
    <row r="402" spans="1:50" ht="15" customHeight="1">
      <c r="A402" s="347"/>
      <c r="B402" s="507"/>
      <c r="C402" s="333"/>
      <c r="D402" s="1112"/>
      <c r="E402" s="1024"/>
      <c r="F402" s="1024"/>
      <c r="G402" s="1024"/>
      <c r="H402" s="1024"/>
      <c r="I402" s="1024"/>
      <c r="J402" s="1024"/>
      <c r="K402" s="1024"/>
      <c r="L402" s="1024"/>
      <c r="M402" s="1024"/>
      <c r="N402" s="1024"/>
      <c r="O402" s="1024"/>
      <c r="P402" s="1024"/>
      <c r="Q402" s="1024"/>
      <c r="R402" s="1024"/>
      <c r="S402" s="1024"/>
      <c r="T402" s="1024"/>
      <c r="U402" s="1024"/>
      <c r="V402" s="1024"/>
      <c r="W402" s="1024"/>
      <c r="X402" s="1024"/>
      <c r="Y402" s="1024"/>
      <c r="Z402" s="1024"/>
      <c r="AA402" s="1024"/>
      <c r="AB402" s="1024"/>
      <c r="AC402" s="1024"/>
      <c r="AD402" s="1024"/>
      <c r="AE402" s="1024"/>
      <c r="AF402" s="1024"/>
      <c r="AG402" s="1024"/>
      <c r="AH402" s="1024"/>
      <c r="AI402" s="1024"/>
      <c r="AJ402" s="1024"/>
      <c r="AK402" s="1024"/>
      <c r="AL402" s="1024"/>
      <c r="AM402" s="1024"/>
      <c r="AN402" s="1024"/>
      <c r="AO402" s="1024"/>
      <c r="AP402" s="1024"/>
      <c r="AQ402" s="1024"/>
      <c r="AR402" s="1024"/>
      <c r="AS402" s="1024"/>
      <c r="AT402" s="1024"/>
      <c r="AU402" s="1024"/>
      <c r="AV402" s="1024"/>
      <c r="AW402" s="1024"/>
      <c r="AX402" s="1024"/>
    </row>
    <row r="403" spans="1:50" ht="15" customHeight="1">
      <c r="A403" s="347"/>
      <c r="B403" s="507" t="str">
        <f>Translate!$E$76</f>
        <v>Straight-line depreciation</v>
      </c>
      <c r="C403" s="415"/>
      <c r="D403" s="1112"/>
      <c r="E403" s="1024"/>
      <c r="F403" s="1024"/>
      <c r="G403" s="1024"/>
      <c r="H403" s="1024"/>
      <c r="I403" s="1024"/>
      <c r="J403" s="1024"/>
      <c r="K403" s="1024"/>
      <c r="L403" s="1024"/>
      <c r="M403" s="1024"/>
      <c r="N403" s="1024"/>
      <c r="O403" s="1024"/>
      <c r="P403" s="1024"/>
      <c r="Q403" s="1024"/>
      <c r="R403" s="1024"/>
      <c r="S403" s="1024"/>
      <c r="T403" s="1024"/>
      <c r="U403" s="1024"/>
      <c r="V403" s="1024"/>
      <c r="W403" s="1024"/>
      <c r="X403" s="1024"/>
      <c r="Y403" s="1024"/>
      <c r="Z403" s="1024"/>
      <c r="AA403" s="1024"/>
      <c r="AB403" s="1024"/>
      <c r="AC403" s="1024"/>
      <c r="AD403" s="1024"/>
      <c r="AE403" s="1024"/>
      <c r="AF403" s="1024"/>
      <c r="AG403" s="1024"/>
      <c r="AH403" s="1024"/>
      <c r="AI403" s="1024"/>
      <c r="AJ403" s="1024"/>
      <c r="AK403" s="1024"/>
      <c r="AL403" s="1024"/>
      <c r="AM403" s="1024"/>
      <c r="AN403" s="1024"/>
      <c r="AO403" s="1024"/>
      <c r="AP403" s="1024"/>
      <c r="AQ403" s="1024"/>
      <c r="AR403" s="1024"/>
      <c r="AS403" s="1024"/>
      <c r="AT403" s="1024"/>
      <c r="AU403" s="1024"/>
      <c r="AV403" s="1024"/>
      <c r="AW403" s="1024"/>
      <c r="AX403" s="1024"/>
    </row>
    <row r="404" spans="1:50" s="434" customFormat="1" ht="15" customHeight="1">
      <c r="A404" s="451"/>
      <c r="B404" s="507"/>
      <c r="C404" s="452"/>
      <c r="D404" s="443"/>
      <c r="E404" s="432" t="str">
        <f t="shared" ref="E404:AX404" si="106" xml:space="preserve"> E$395</f>
        <v>Remaining depreciation years</v>
      </c>
      <c r="F404" s="432">
        <f t="shared" si="106"/>
        <v>0</v>
      </c>
      <c r="G404" s="432" t="str">
        <f t="shared" si="106"/>
        <v>Years</v>
      </c>
      <c r="H404" s="432">
        <f t="shared" si="106"/>
        <v>0</v>
      </c>
      <c r="I404" s="432">
        <f t="shared" si="106"/>
        <v>0</v>
      </c>
      <c r="J404" s="432">
        <f t="shared" si="106"/>
        <v>0</v>
      </c>
      <c r="K404" s="432">
        <f t="shared" ca="1" si="106"/>
        <v>0</v>
      </c>
      <c r="L404" s="432">
        <f t="shared" ca="1" si="106"/>
        <v>0</v>
      </c>
      <c r="M404" s="432">
        <f t="shared" ca="1" si="106"/>
        <v>0</v>
      </c>
      <c r="N404" s="432">
        <f t="shared" ca="1" si="106"/>
        <v>0</v>
      </c>
      <c r="O404" s="432">
        <f t="shared" ca="1" si="106"/>
        <v>17</v>
      </c>
      <c r="P404" s="432">
        <f t="shared" ca="1" si="106"/>
        <v>16</v>
      </c>
      <c r="Q404" s="432">
        <f t="shared" ca="1" si="106"/>
        <v>15</v>
      </c>
      <c r="R404" s="432">
        <f t="shared" ca="1" si="106"/>
        <v>14</v>
      </c>
      <c r="S404" s="432">
        <f t="shared" ca="1" si="106"/>
        <v>13</v>
      </c>
      <c r="T404" s="432">
        <f t="shared" ca="1" si="106"/>
        <v>12</v>
      </c>
      <c r="U404" s="432">
        <f t="shared" ca="1" si="106"/>
        <v>11</v>
      </c>
      <c r="V404" s="432">
        <f t="shared" ca="1" si="106"/>
        <v>10</v>
      </c>
      <c r="W404" s="432">
        <f t="shared" ca="1" si="106"/>
        <v>9</v>
      </c>
      <c r="X404" s="432">
        <f t="shared" ca="1" si="106"/>
        <v>8</v>
      </c>
      <c r="Y404" s="432">
        <f t="shared" ca="1" si="106"/>
        <v>7</v>
      </c>
      <c r="Z404" s="432">
        <f t="shared" ca="1" si="106"/>
        <v>6</v>
      </c>
      <c r="AA404" s="432">
        <f t="shared" ca="1" si="106"/>
        <v>5</v>
      </c>
      <c r="AB404" s="432">
        <f t="shared" ca="1" si="106"/>
        <v>4</v>
      </c>
      <c r="AC404" s="432">
        <f t="shared" ca="1" si="106"/>
        <v>3</v>
      </c>
      <c r="AD404" s="432">
        <f t="shared" ca="1" si="106"/>
        <v>2</v>
      </c>
      <c r="AE404" s="432">
        <f t="shared" ca="1" si="106"/>
        <v>1</v>
      </c>
      <c r="AF404" s="432">
        <f t="shared" ca="1" si="106"/>
        <v>0</v>
      </c>
      <c r="AG404" s="432">
        <f t="shared" ca="1" si="106"/>
        <v>0</v>
      </c>
      <c r="AH404" s="432">
        <f t="shared" ca="1" si="106"/>
        <v>0</v>
      </c>
      <c r="AI404" s="432">
        <f t="shared" ca="1" si="106"/>
        <v>0</v>
      </c>
      <c r="AJ404" s="432">
        <f t="shared" ca="1" si="106"/>
        <v>0</v>
      </c>
      <c r="AK404" s="432">
        <f t="shared" ca="1" si="106"/>
        <v>0</v>
      </c>
      <c r="AL404" s="432">
        <f t="shared" ca="1" si="106"/>
        <v>0</v>
      </c>
      <c r="AM404" s="432">
        <f t="shared" ca="1" si="106"/>
        <v>0</v>
      </c>
      <c r="AN404" s="432">
        <f t="shared" ca="1" si="106"/>
        <v>0</v>
      </c>
      <c r="AO404" s="432">
        <f t="shared" ca="1" si="106"/>
        <v>0</v>
      </c>
      <c r="AP404" s="432">
        <f t="shared" ca="1" si="106"/>
        <v>0</v>
      </c>
      <c r="AQ404" s="432">
        <f t="shared" ca="1" si="106"/>
        <v>0</v>
      </c>
      <c r="AR404" s="432">
        <f t="shared" ca="1" si="106"/>
        <v>0</v>
      </c>
      <c r="AS404" s="432">
        <f t="shared" ca="1" si="106"/>
        <v>0</v>
      </c>
      <c r="AT404" s="432">
        <f t="shared" ca="1" si="106"/>
        <v>0</v>
      </c>
      <c r="AU404" s="432">
        <f t="shared" ca="1" si="106"/>
        <v>0</v>
      </c>
      <c r="AV404" s="432">
        <f t="shared" ca="1" si="106"/>
        <v>0</v>
      </c>
      <c r="AW404" s="432">
        <f t="shared" ca="1" si="106"/>
        <v>0</v>
      </c>
      <c r="AX404" s="432">
        <f t="shared" ca="1" si="106"/>
        <v>0</v>
      </c>
    </row>
    <row r="405" spans="1:50" ht="15" customHeight="1">
      <c r="A405" s="347"/>
      <c r="B405" s="507"/>
      <c r="C405" s="333"/>
      <c r="D405" s="1112"/>
      <c r="E405" s="1024"/>
      <c r="F405" s="1024"/>
      <c r="G405" s="1024"/>
      <c r="H405" s="1024"/>
      <c r="I405" s="1024"/>
      <c r="J405" s="1024"/>
      <c r="K405" s="1024"/>
      <c r="L405" s="1024"/>
      <c r="M405" s="1024"/>
      <c r="N405" s="1024"/>
      <c r="O405" s="1024"/>
      <c r="P405" s="1024"/>
      <c r="Q405" s="1024"/>
      <c r="R405" s="1024"/>
      <c r="S405" s="1024"/>
      <c r="T405" s="1024"/>
      <c r="U405" s="1024"/>
      <c r="V405" s="1024"/>
      <c r="W405" s="1024"/>
      <c r="X405" s="1024"/>
      <c r="Y405" s="1024"/>
      <c r="Z405" s="1024"/>
      <c r="AA405" s="1024"/>
      <c r="AB405" s="1024"/>
      <c r="AC405" s="1024"/>
      <c r="AD405" s="1024"/>
      <c r="AE405" s="1024"/>
      <c r="AF405" s="1024"/>
      <c r="AG405" s="1024"/>
      <c r="AH405" s="1024"/>
      <c r="AI405" s="1024"/>
      <c r="AJ405" s="1024"/>
      <c r="AK405" s="1024"/>
      <c r="AL405" s="1024"/>
      <c r="AM405" s="1024"/>
      <c r="AN405" s="1024"/>
      <c r="AO405" s="1024"/>
      <c r="AP405" s="1024"/>
      <c r="AQ405" s="1024"/>
      <c r="AR405" s="1024"/>
      <c r="AS405" s="1024"/>
      <c r="AT405" s="1024"/>
      <c r="AU405" s="1024"/>
      <c r="AV405" s="1024"/>
      <c r="AW405" s="1024"/>
      <c r="AX405" s="1024"/>
    </row>
    <row r="406" spans="1:50" ht="15" customHeight="1">
      <c r="A406" s="347"/>
      <c r="B406" s="507"/>
      <c r="C406" s="333" t="str">
        <f>Translate!$E$109</f>
        <v>Cost base for straight-line depreciation</v>
      </c>
      <c r="D406" s="416"/>
      <c r="E406" s="1024"/>
      <c r="F406" s="1024"/>
      <c r="G406" s="1024"/>
      <c r="H406" s="1024"/>
      <c r="I406" s="1024"/>
      <c r="J406" s="1024"/>
      <c r="K406" s="1024"/>
      <c r="L406" s="1024"/>
      <c r="M406" s="1024"/>
      <c r="N406" s="1024"/>
      <c r="O406" s="1024"/>
      <c r="P406" s="1024"/>
      <c r="Q406" s="1024"/>
      <c r="R406" s="1024"/>
      <c r="S406" s="1024"/>
      <c r="T406" s="1024"/>
      <c r="U406" s="1024"/>
      <c r="V406" s="1024"/>
      <c r="W406" s="1024"/>
      <c r="X406" s="1024"/>
      <c r="Y406" s="1024"/>
      <c r="Z406" s="1024"/>
      <c r="AA406" s="1024"/>
      <c r="AB406" s="1024"/>
      <c r="AC406" s="1024"/>
      <c r="AD406" s="1024"/>
      <c r="AE406" s="1024"/>
      <c r="AF406" s="1024"/>
      <c r="AG406" s="1024"/>
      <c r="AH406" s="1024"/>
      <c r="AI406" s="1024"/>
      <c r="AJ406" s="1024"/>
      <c r="AK406" s="1024"/>
      <c r="AL406" s="1024"/>
      <c r="AM406" s="1024"/>
      <c r="AN406" s="1024"/>
      <c r="AO406" s="1024"/>
      <c r="AP406" s="1024"/>
      <c r="AQ406" s="1024"/>
      <c r="AR406" s="1024"/>
      <c r="AS406" s="1024"/>
      <c r="AT406" s="1024"/>
      <c r="AU406" s="1024"/>
      <c r="AV406" s="1024"/>
      <c r="AW406" s="1024"/>
      <c r="AX406" s="1024"/>
    </row>
    <row r="407" spans="1:50" ht="15" customHeight="1">
      <c r="A407" s="417"/>
      <c r="B407" s="687"/>
      <c r="C407" s="374"/>
      <c r="D407" s="1100"/>
      <c r="E407" s="1099" t="str">
        <f>Translate!$E$219</f>
        <v>Undepreciated costs: opening balance BEG</v>
      </c>
      <c r="F407" s="1099"/>
      <c r="G407" s="1099" t="str">
        <f xml:space="preserve"> Translate!E$10</f>
        <v>US$ mn</v>
      </c>
      <c r="H407" s="1099"/>
      <c r="I407" s="1099"/>
      <c r="J407" s="1099"/>
      <c r="K407" s="1099">
        <f t="shared" ref="K407:AX407" si="107" xml:space="preserve"> J411</f>
        <v>0</v>
      </c>
      <c r="L407" s="1099">
        <f t="shared" ca="1" si="107"/>
        <v>0</v>
      </c>
      <c r="M407" s="1099">
        <f t="shared" ca="1" si="107"/>
        <v>0</v>
      </c>
      <c r="N407" s="1099">
        <f t="shared" ca="1" si="107"/>
        <v>0</v>
      </c>
      <c r="O407" s="1099">
        <f t="shared" ca="1" si="107"/>
        <v>0</v>
      </c>
      <c r="P407" s="1099">
        <f t="shared" ca="1" si="107"/>
        <v>324.98699094</v>
      </c>
      <c r="Q407" s="1099">
        <f t="shared" ca="1" si="107"/>
        <v>444.2277176856</v>
      </c>
      <c r="R407" s="1099">
        <f t="shared" ca="1" si="107"/>
        <v>453.23701703971199</v>
      </c>
      <c r="S407" s="1099">
        <f t="shared" ca="1" si="107"/>
        <v>462.42650238090624</v>
      </c>
      <c r="T407" s="1099">
        <f t="shared" ca="1" si="107"/>
        <v>471.79977742892436</v>
      </c>
      <c r="U407" s="1099">
        <f t="shared" ca="1" si="107"/>
        <v>156.37352703790287</v>
      </c>
      <c r="V407" s="1099">
        <f t="shared" ca="1" si="107"/>
        <v>46.884755652260935</v>
      </c>
      <c r="W407" s="1099">
        <f t="shared" ca="1" si="107"/>
        <v>47.822450765306151</v>
      </c>
      <c r="X407" s="1099">
        <f t="shared" ca="1" si="107"/>
        <v>48.778899780612271</v>
      </c>
      <c r="Y407" s="1099">
        <f t="shared" ca="1" si="107"/>
        <v>49.754477776224519</v>
      </c>
      <c r="Z407" s="1099">
        <f t="shared" ca="1" si="107"/>
        <v>50.749567331749013</v>
      </c>
      <c r="AA407" s="1099">
        <f t="shared" ca="1" si="107"/>
        <v>51.764558678383992</v>
      </c>
      <c r="AB407" s="1099">
        <f t="shared" ca="1" si="107"/>
        <v>52.79984985195167</v>
      </c>
      <c r="AC407" s="1099">
        <f t="shared" ca="1" si="107"/>
        <v>42.653915495451308</v>
      </c>
      <c r="AD407" s="1099">
        <f t="shared" ca="1" si="107"/>
        <v>32.305062451820937</v>
      </c>
      <c r="AE407" s="1099">
        <f t="shared" ca="1" si="107"/>
        <v>21.749232347317957</v>
      </c>
      <c r="AF407" s="1099">
        <f t="shared" ca="1" si="107"/>
        <v>0</v>
      </c>
      <c r="AG407" s="1099">
        <f t="shared" ca="1" si="107"/>
        <v>0</v>
      </c>
      <c r="AH407" s="1099">
        <f t="shared" ca="1" si="107"/>
        <v>0</v>
      </c>
      <c r="AI407" s="1099">
        <f t="shared" ca="1" si="107"/>
        <v>0</v>
      </c>
      <c r="AJ407" s="1099">
        <f t="shared" ca="1" si="107"/>
        <v>0</v>
      </c>
      <c r="AK407" s="1099">
        <f t="shared" ca="1" si="107"/>
        <v>0</v>
      </c>
      <c r="AL407" s="1099">
        <f t="shared" ca="1" si="107"/>
        <v>0</v>
      </c>
      <c r="AM407" s="1099">
        <f t="shared" ca="1" si="107"/>
        <v>0</v>
      </c>
      <c r="AN407" s="1099">
        <f t="shared" ca="1" si="107"/>
        <v>0</v>
      </c>
      <c r="AO407" s="1099">
        <f t="shared" ca="1" si="107"/>
        <v>0</v>
      </c>
      <c r="AP407" s="1099">
        <f t="shared" ca="1" si="107"/>
        <v>0</v>
      </c>
      <c r="AQ407" s="1099">
        <f t="shared" ca="1" si="107"/>
        <v>0</v>
      </c>
      <c r="AR407" s="1099">
        <f t="shared" ca="1" si="107"/>
        <v>0</v>
      </c>
      <c r="AS407" s="1099">
        <f t="shared" ca="1" si="107"/>
        <v>0</v>
      </c>
      <c r="AT407" s="1099">
        <f t="shared" ca="1" si="107"/>
        <v>0</v>
      </c>
      <c r="AU407" s="1099">
        <f t="shared" ca="1" si="107"/>
        <v>0</v>
      </c>
      <c r="AV407" s="1099">
        <f t="shared" ca="1" si="107"/>
        <v>0</v>
      </c>
      <c r="AW407" s="1099">
        <f t="shared" ca="1" si="107"/>
        <v>0</v>
      </c>
      <c r="AX407" s="1099">
        <f t="shared" ca="1" si="107"/>
        <v>0</v>
      </c>
    </row>
    <row r="408" spans="1:50" ht="15" customHeight="1">
      <c r="A408" s="418"/>
      <c r="B408" s="688"/>
      <c r="C408" s="376"/>
      <c r="D408" s="1102" t="str">
        <f>Translate!$E$605</f>
        <v>add</v>
      </c>
      <c r="E408" s="1024" t="str">
        <f t="shared" ref="E408:AX408" si="108" xml:space="preserve"> E$397</f>
        <v>Capitalized costs: Mining company into depreciation</v>
      </c>
      <c r="F408" s="1024">
        <f t="shared" si="108"/>
        <v>0</v>
      </c>
      <c r="G408" s="1024" t="str">
        <f t="shared" si="108"/>
        <v>US$ mn</v>
      </c>
      <c r="H408" s="1024">
        <f t="shared" si="108"/>
        <v>0</v>
      </c>
      <c r="I408" s="1024">
        <f t="shared" ca="1" si="108"/>
        <v>553.85931765696978</v>
      </c>
      <c r="J408" s="1024">
        <f t="shared" si="108"/>
        <v>0</v>
      </c>
      <c r="K408" s="1024">
        <f t="shared" ca="1" si="108"/>
        <v>0</v>
      </c>
      <c r="L408" s="1024">
        <f t="shared" ca="1" si="108"/>
        <v>0</v>
      </c>
      <c r="M408" s="1024">
        <f t="shared" ca="1" si="108"/>
        <v>0</v>
      </c>
      <c r="N408" s="1024">
        <f t="shared" ca="1" si="108"/>
        <v>0</v>
      </c>
      <c r="O408" s="1024">
        <f t="shared" ca="1" si="108"/>
        <v>324.98699094</v>
      </c>
      <c r="P408" s="1024">
        <f t="shared" ca="1" si="108"/>
        <v>119.2407267456</v>
      </c>
      <c r="Q408" s="1024">
        <f t="shared" ca="1" si="108"/>
        <v>9.0092993541120006</v>
      </c>
      <c r="R408" s="1024">
        <f t="shared" ca="1" si="108"/>
        <v>9.1894853411942403</v>
      </c>
      <c r="S408" s="1024">
        <f t="shared" ca="1" si="108"/>
        <v>9.3732750480181259</v>
      </c>
      <c r="T408" s="1024">
        <f t="shared" ca="1" si="108"/>
        <v>9.5607405489784885</v>
      </c>
      <c r="U408" s="1024">
        <f t="shared" ca="1" si="108"/>
        <v>9.7519553599580586</v>
      </c>
      <c r="V408" s="1024">
        <f t="shared" ca="1" si="108"/>
        <v>9.9469944671572197</v>
      </c>
      <c r="W408" s="1024">
        <f t="shared" ca="1" si="108"/>
        <v>10.145934356500364</v>
      </c>
      <c r="X408" s="1024">
        <f t="shared" ca="1" si="108"/>
        <v>10.348853043630371</v>
      </c>
      <c r="Y408" s="1024">
        <f t="shared" ca="1" si="108"/>
        <v>10.555830104502979</v>
      </c>
      <c r="Z408" s="1024">
        <f t="shared" ca="1" si="108"/>
        <v>10.766946706593039</v>
      </c>
      <c r="AA408" s="1024">
        <f t="shared" ca="1" si="108"/>
        <v>10.9822856407249</v>
      </c>
      <c r="AB408" s="1024">
        <f t="shared" ca="1" si="108"/>
        <v>0</v>
      </c>
      <c r="AC408" s="1024">
        <f t="shared" ca="1" si="108"/>
        <v>0</v>
      </c>
      <c r="AD408" s="1024">
        <f t="shared" ca="1" si="108"/>
        <v>0</v>
      </c>
      <c r="AE408" s="1024">
        <f t="shared" ca="1" si="108"/>
        <v>0</v>
      </c>
      <c r="AF408" s="1024">
        <f t="shared" ca="1" si="108"/>
        <v>0</v>
      </c>
      <c r="AG408" s="1024">
        <f t="shared" ca="1" si="108"/>
        <v>0</v>
      </c>
      <c r="AH408" s="1024">
        <f t="shared" ca="1" si="108"/>
        <v>0</v>
      </c>
      <c r="AI408" s="1024">
        <f t="shared" ca="1" si="108"/>
        <v>0</v>
      </c>
      <c r="AJ408" s="1024">
        <f t="shared" ca="1" si="108"/>
        <v>0</v>
      </c>
      <c r="AK408" s="1024">
        <f t="shared" ca="1" si="108"/>
        <v>0</v>
      </c>
      <c r="AL408" s="1024">
        <f t="shared" ca="1" si="108"/>
        <v>0</v>
      </c>
      <c r="AM408" s="1024">
        <f t="shared" ca="1" si="108"/>
        <v>0</v>
      </c>
      <c r="AN408" s="1024">
        <f t="shared" ca="1" si="108"/>
        <v>0</v>
      </c>
      <c r="AO408" s="1024">
        <f t="shared" ca="1" si="108"/>
        <v>0</v>
      </c>
      <c r="AP408" s="1024">
        <f t="shared" ca="1" si="108"/>
        <v>0</v>
      </c>
      <c r="AQ408" s="1024">
        <f t="shared" ca="1" si="108"/>
        <v>0</v>
      </c>
      <c r="AR408" s="1024">
        <f t="shared" ca="1" si="108"/>
        <v>0</v>
      </c>
      <c r="AS408" s="1024">
        <f t="shared" ca="1" si="108"/>
        <v>0</v>
      </c>
      <c r="AT408" s="1024">
        <f t="shared" ca="1" si="108"/>
        <v>0</v>
      </c>
      <c r="AU408" s="1024">
        <f t="shared" ca="1" si="108"/>
        <v>0</v>
      </c>
      <c r="AV408" s="1024">
        <f t="shared" ca="1" si="108"/>
        <v>0</v>
      </c>
      <c r="AW408" s="1024">
        <f t="shared" ca="1" si="108"/>
        <v>0</v>
      </c>
      <c r="AX408" s="1024">
        <f t="shared" ca="1" si="108"/>
        <v>0</v>
      </c>
    </row>
    <row r="409" spans="1:50" ht="15" customHeight="1">
      <c r="A409" s="418"/>
      <c r="B409" s="688"/>
      <c r="C409" s="376"/>
      <c r="D409" s="1102" t="str">
        <f>Translate!$E$606</f>
        <v>less</v>
      </c>
      <c r="E409" s="1068" t="str">
        <f t="shared" ref="E409:AX409" si="109" xml:space="preserve"> E$421</f>
        <v>Capitalized costs fully depreciated</v>
      </c>
      <c r="F409" s="1068">
        <f t="shared" si="109"/>
        <v>0</v>
      </c>
      <c r="G409" s="1068" t="str">
        <f t="shared" si="109"/>
        <v>US$ mn</v>
      </c>
      <c r="H409" s="1068">
        <f t="shared" si="109"/>
        <v>0</v>
      </c>
      <c r="I409" s="1068">
        <f t="shared" ca="1" si="109"/>
        <v>542.87703201624493</v>
      </c>
      <c r="J409" s="1068">
        <f t="shared" si="109"/>
        <v>0</v>
      </c>
      <c r="K409" s="1068">
        <f t="shared" ca="1" si="109"/>
        <v>0</v>
      </c>
      <c r="L409" s="1068">
        <f t="shared" ca="1" si="109"/>
        <v>0</v>
      </c>
      <c r="M409" s="1068">
        <f t="shared" ca="1" si="109"/>
        <v>0</v>
      </c>
      <c r="N409" s="1068">
        <f t="shared" ca="1" si="109"/>
        <v>0</v>
      </c>
      <c r="O409" s="1068">
        <f t="shared" ca="1" si="109"/>
        <v>0</v>
      </c>
      <c r="P409" s="1068">
        <f t="shared" ca="1" si="109"/>
        <v>0</v>
      </c>
      <c r="Q409" s="1068">
        <f t="shared" ca="1" si="109"/>
        <v>0</v>
      </c>
      <c r="R409" s="1068">
        <f t="shared" ca="1" si="109"/>
        <v>0</v>
      </c>
      <c r="S409" s="1068">
        <f t="shared" ca="1" si="109"/>
        <v>0</v>
      </c>
      <c r="T409" s="1068">
        <f t="shared" ca="1" si="109"/>
        <v>324.98699094</v>
      </c>
      <c r="U409" s="1068">
        <f t="shared" ca="1" si="109"/>
        <v>119.2407267456</v>
      </c>
      <c r="V409" s="1068">
        <f t="shared" ca="1" si="109"/>
        <v>9.0092993541120006</v>
      </c>
      <c r="W409" s="1068">
        <f t="shared" ca="1" si="109"/>
        <v>9.1894853411942403</v>
      </c>
      <c r="X409" s="1068">
        <f t="shared" ca="1" si="109"/>
        <v>9.3732750480181259</v>
      </c>
      <c r="Y409" s="1068">
        <f t="shared" ca="1" si="109"/>
        <v>9.5607405489784885</v>
      </c>
      <c r="Z409" s="1068">
        <f t="shared" ca="1" si="109"/>
        <v>9.7519553599580586</v>
      </c>
      <c r="AA409" s="1068">
        <f t="shared" ca="1" si="109"/>
        <v>9.9469944671572197</v>
      </c>
      <c r="AB409" s="1068">
        <f t="shared" ca="1" si="109"/>
        <v>10.145934356500364</v>
      </c>
      <c r="AC409" s="1068">
        <f t="shared" ca="1" si="109"/>
        <v>10.348853043630371</v>
      </c>
      <c r="AD409" s="1068">
        <f t="shared" ca="1" si="109"/>
        <v>10.555830104502979</v>
      </c>
      <c r="AE409" s="1068">
        <f t="shared" ca="1" si="109"/>
        <v>10.766946706593039</v>
      </c>
      <c r="AF409" s="1068">
        <f t="shared" ca="1" si="109"/>
        <v>0</v>
      </c>
      <c r="AG409" s="1068">
        <f t="shared" ca="1" si="109"/>
        <v>0</v>
      </c>
      <c r="AH409" s="1068">
        <f t="shared" ca="1" si="109"/>
        <v>0</v>
      </c>
      <c r="AI409" s="1068">
        <f t="shared" ca="1" si="109"/>
        <v>0</v>
      </c>
      <c r="AJ409" s="1068">
        <f t="shared" ca="1" si="109"/>
        <v>0</v>
      </c>
      <c r="AK409" s="1068">
        <f t="shared" ca="1" si="109"/>
        <v>0</v>
      </c>
      <c r="AL409" s="1068">
        <f t="shared" ca="1" si="109"/>
        <v>0</v>
      </c>
      <c r="AM409" s="1068">
        <f t="shared" ca="1" si="109"/>
        <v>0</v>
      </c>
      <c r="AN409" s="1068">
        <f t="shared" ca="1" si="109"/>
        <v>0</v>
      </c>
      <c r="AO409" s="1068">
        <f t="shared" ca="1" si="109"/>
        <v>0</v>
      </c>
      <c r="AP409" s="1068">
        <f t="shared" ca="1" si="109"/>
        <v>0</v>
      </c>
      <c r="AQ409" s="1068">
        <f t="shared" ca="1" si="109"/>
        <v>0</v>
      </c>
      <c r="AR409" s="1068">
        <f t="shared" ca="1" si="109"/>
        <v>0</v>
      </c>
      <c r="AS409" s="1068">
        <f t="shared" ca="1" si="109"/>
        <v>0</v>
      </c>
      <c r="AT409" s="1068">
        <f t="shared" ca="1" si="109"/>
        <v>0</v>
      </c>
      <c r="AU409" s="1068">
        <f t="shared" ca="1" si="109"/>
        <v>0</v>
      </c>
      <c r="AV409" s="1068">
        <f t="shared" ca="1" si="109"/>
        <v>0</v>
      </c>
      <c r="AW409" s="1068">
        <f t="shared" ca="1" si="109"/>
        <v>0</v>
      </c>
      <c r="AX409" s="1068">
        <f t="shared" ca="1" si="109"/>
        <v>0</v>
      </c>
    </row>
    <row r="410" spans="1:50" ht="15" customHeight="1">
      <c r="A410" s="418"/>
      <c r="B410" s="688"/>
      <c r="C410" s="376"/>
      <c r="D410" s="1102" t="str">
        <f>Translate!$E$606</f>
        <v>less</v>
      </c>
      <c r="E410" s="1024" t="str">
        <f>Translate!$E$220</f>
        <v>Cost base written off in final year of production</v>
      </c>
      <c r="F410" s="1024"/>
      <c r="G410" s="1024" t="str">
        <f xml:space="preserve"> Translate!E$10</f>
        <v>US$ mn</v>
      </c>
      <c r="H410" s="1024"/>
      <c r="I410" s="1024">
        <f ca="1" xml:space="preserve"> SUM(K410:AX410)</f>
        <v>10.982285640724918</v>
      </c>
      <c r="J410" s="1024"/>
      <c r="K410" s="1024">
        <f t="shared" ref="K410:AX410" ca="1" si="110" xml:space="preserve"> IF( K404 = 1, K407 + K408 - K409, 0)</f>
        <v>0</v>
      </c>
      <c r="L410" s="1024">
        <f t="shared" ca="1" si="110"/>
        <v>0</v>
      </c>
      <c r="M410" s="1024">
        <f t="shared" ca="1" si="110"/>
        <v>0</v>
      </c>
      <c r="N410" s="1024">
        <f t="shared" ca="1" si="110"/>
        <v>0</v>
      </c>
      <c r="O410" s="1024">
        <f t="shared" ca="1" si="110"/>
        <v>0</v>
      </c>
      <c r="P410" s="1024">
        <f t="shared" ca="1" si="110"/>
        <v>0</v>
      </c>
      <c r="Q410" s="1024">
        <f t="shared" ca="1" si="110"/>
        <v>0</v>
      </c>
      <c r="R410" s="1024">
        <f t="shared" ca="1" si="110"/>
        <v>0</v>
      </c>
      <c r="S410" s="1024">
        <f t="shared" ca="1" si="110"/>
        <v>0</v>
      </c>
      <c r="T410" s="1024">
        <f t="shared" ca="1" si="110"/>
        <v>0</v>
      </c>
      <c r="U410" s="1024">
        <f t="shared" ca="1" si="110"/>
        <v>0</v>
      </c>
      <c r="V410" s="1024">
        <f t="shared" ca="1" si="110"/>
        <v>0</v>
      </c>
      <c r="W410" s="1024">
        <f t="shared" ca="1" si="110"/>
        <v>0</v>
      </c>
      <c r="X410" s="1024">
        <f t="shared" ca="1" si="110"/>
        <v>0</v>
      </c>
      <c r="Y410" s="1024">
        <f t="shared" ca="1" si="110"/>
        <v>0</v>
      </c>
      <c r="Z410" s="1024">
        <f t="shared" ca="1" si="110"/>
        <v>0</v>
      </c>
      <c r="AA410" s="1024">
        <f t="shared" ca="1" si="110"/>
        <v>0</v>
      </c>
      <c r="AB410" s="1024">
        <f t="shared" ca="1" si="110"/>
        <v>0</v>
      </c>
      <c r="AC410" s="1024">
        <f t="shared" ca="1" si="110"/>
        <v>0</v>
      </c>
      <c r="AD410" s="1024">
        <f t="shared" ca="1" si="110"/>
        <v>0</v>
      </c>
      <c r="AE410" s="1024">
        <f t="shared" ca="1" si="110"/>
        <v>10.982285640724918</v>
      </c>
      <c r="AF410" s="1024">
        <f t="shared" ca="1" si="110"/>
        <v>0</v>
      </c>
      <c r="AG410" s="1024">
        <f t="shared" ca="1" si="110"/>
        <v>0</v>
      </c>
      <c r="AH410" s="1024">
        <f t="shared" ca="1" si="110"/>
        <v>0</v>
      </c>
      <c r="AI410" s="1024">
        <f t="shared" ca="1" si="110"/>
        <v>0</v>
      </c>
      <c r="AJ410" s="1024">
        <f t="shared" ca="1" si="110"/>
        <v>0</v>
      </c>
      <c r="AK410" s="1024">
        <f t="shared" ca="1" si="110"/>
        <v>0</v>
      </c>
      <c r="AL410" s="1024">
        <f t="shared" ca="1" si="110"/>
        <v>0</v>
      </c>
      <c r="AM410" s="1024">
        <f t="shared" ca="1" si="110"/>
        <v>0</v>
      </c>
      <c r="AN410" s="1024">
        <f t="shared" ca="1" si="110"/>
        <v>0</v>
      </c>
      <c r="AO410" s="1024">
        <f t="shared" ca="1" si="110"/>
        <v>0</v>
      </c>
      <c r="AP410" s="1024">
        <f t="shared" ca="1" si="110"/>
        <v>0</v>
      </c>
      <c r="AQ410" s="1024">
        <f t="shared" ca="1" si="110"/>
        <v>0</v>
      </c>
      <c r="AR410" s="1024">
        <f t="shared" ca="1" si="110"/>
        <v>0</v>
      </c>
      <c r="AS410" s="1024">
        <f t="shared" ca="1" si="110"/>
        <v>0</v>
      </c>
      <c r="AT410" s="1024">
        <f t="shared" ca="1" si="110"/>
        <v>0</v>
      </c>
      <c r="AU410" s="1024">
        <f t="shared" ca="1" si="110"/>
        <v>0</v>
      </c>
      <c r="AV410" s="1024">
        <f t="shared" ca="1" si="110"/>
        <v>0</v>
      </c>
      <c r="AW410" s="1024">
        <f t="shared" ca="1" si="110"/>
        <v>0</v>
      </c>
      <c r="AX410" s="1024">
        <f t="shared" ca="1" si="110"/>
        <v>0</v>
      </c>
    </row>
    <row r="411" spans="1:50" ht="15" customHeight="1">
      <c r="A411" s="419"/>
      <c r="B411" s="699"/>
      <c r="C411" s="420"/>
      <c r="D411" s="1126"/>
      <c r="E411" s="1106" t="str">
        <f>Translate!$E$221</f>
        <v>Cost base for depreciation END</v>
      </c>
      <c r="F411" s="1106"/>
      <c r="G411" s="1106" t="str">
        <f xml:space="preserve"> Translate!E$10</f>
        <v>US$ mn</v>
      </c>
      <c r="H411" s="1106"/>
      <c r="I411" s="1106"/>
      <c r="J411" s="1105"/>
      <c r="K411" s="1106">
        <f t="shared" ref="K411:AX411" ca="1" si="111" xml:space="preserve"> K407 + K408 - K409 - K410</f>
        <v>0</v>
      </c>
      <c r="L411" s="1106">
        <f t="shared" ca="1" si="111"/>
        <v>0</v>
      </c>
      <c r="M411" s="1106">
        <f t="shared" ca="1" si="111"/>
        <v>0</v>
      </c>
      <c r="N411" s="1106">
        <f t="shared" ca="1" si="111"/>
        <v>0</v>
      </c>
      <c r="O411" s="1106">
        <f t="shared" ca="1" si="111"/>
        <v>324.98699094</v>
      </c>
      <c r="P411" s="1106">
        <f t="shared" ca="1" si="111"/>
        <v>444.2277176856</v>
      </c>
      <c r="Q411" s="1106">
        <f t="shared" ca="1" si="111"/>
        <v>453.23701703971199</v>
      </c>
      <c r="R411" s="1106">
        <f t="shared" ca="1" si="111"/>
        <v>462.42650238090624</v>
      </c>
      <c r="S411" s="1106">
        <f t="shared" ca="1" si="111"/>
        <v>471.79977742892436</v>
      </c>
      <c r="T411" s="1106">
        <f t="shared" ca="1" si="111"/>
        <v>156.37352703790287</v>
      </c>
      <c r="U411" s="1106">
        <f t="shared" ca="1" si="111"/>
        <v>46.884755652260935</v>
      </c>
      <c r="V411" s="1106">
        <f t="shared" ca="1" si="111"/>
        <v>47.822450765306151</v>
      </c>
      <c r="W411" s="1106">
        <f t="shared" ca="1" si="111"/>
        <v>48.778899780612271</v>
      </c>
      <c r="X411" s="1106">
        <f t="shared" ca="1" si="111"/>
        <v>49.754477776224519</v>
      </c>
      <c r="Y411" s="1106">
        <f t="shared" ca="1" si="111"/>
        <v>50.749567331749013</v>
      </c>
      <c r="Z411" s="1106">
        <f t="shared" ca="1" si="111"/>
        <v>51.764558678383992</v>
      </c>
      <c r="AA411" s="1106">
        <f t="shared" ca="1" si="111"/>
        <v>52.79984985195167</v>
      </c>
      <c r="AB411" s="1106">
        <f t="shared" ca="1" si="111"/>
        <v>42.653915495451308</v>
      </c>
      <c r="AC411" s="1106">
        <f t="shared" ca="1" si="111"/>
        <v>32.305062451820937</v>
      </c>
      <c r="AD411" s="1106">
        <f t="shared" ca="1" si="111"/>
        <v>21.749232347317957</v>
      </c>
      <c r="AE411" s="1106">
        <f t="shared" ca="1" si="111"/>
        <v>0</v>
      </c>
      <c r="AF411" s="1106">
        <f t="shared" ca="1" si="111"/>
        <v>0</v>
      </c>
      <c r="AG411" s="1106">
        <f t="shared" ca="1" si="111"/>
        <v>0</v>
      </c>
      <c r="AH411" s="1106">
        <f t="shared" ca="1" si="111"/>
        <v>0</v>
      </c>
      <c r="AI411" s="1106">
        <f t="shared" ca="1" si="111"/>
        <v>0</v>
      </c>
      <c r="AJ411" s="1106">
        <f t="shared" ca="1" si="111"/>
        <v>0</v>
      </c>
      <c r="AK411" s="1106">
        <f t="shared" ca="1" si="111"/>
        <v>0</v>
      </c>
      <c r="AL411" s="1106">
        <f t="shared" ca="1" si="111"/>
        <v>0</v>
      </c>
      <c r="AM411" s="1106">
        <f t="shared" ca="1" si="111"/>
        <v>0</v>
      </c>
      <c r="AN411" s="1106">
        <f t="shared" ca="1" si="111"/>
        <v>0</v>
      </c>
      <c r="AO411" s="1106">
        <f t="shared" ca="1" si="111"/>
        <v>0</v>
      </c>
      <c r="AP411" s="1106">
        <f t="shared" ca="1" si="111"/>
        <v>0</v>
      </c>
      <c r="AQ411" s="1106">
        <f t="shared" ca="1" si="111"/>
        <v>0</v>
      </c>
      <c r="AR411" s="1106">
        <f t="shared" ca="1" si="111"/>
        <v>0</v>
      </c>
      <c r="AS411" s="1106">
        <f t="shared" ca="1" si="111"/>
        <v>0</v>
      </c>
      <c r="AT411" s="1106">
        <f t="shared" ca="1" si="111"/>
        <v>0</v>
      </c>
      <c r="AU411" s="1106">
        <f t="shared" ca="1" si="111"/>
        <v>0</v>
      </c>
      <c r="AV411" s="1106">
        <f t="shared" ca="1" si="111"/>
        <v>0</v>
      </c>
      <c r="AW411" s="1106">
        <f t="shared" ca="1" si="111"/>
        <v>0</v>
      </c>
      <c r="AX411" s="1106">
        <f t="shared" ca="1" si="111"/>
        <v>0</v>
      </c>
    </row>
    <row r="412" spans="1:50" ht="15" customHeight="1">
      <c r="A412" s="325"/>
      <c r="B412" s="671"/>
      <c r="C412" s="323"/>
      <c r="D412" s="1006"/>
      <c r="E412" s="1041"/>
      <c r="F412" s="1041"/>
      <c r="G412" s="1041"/>
      <c r="H412" s="1041"/>
      <c r="I412" s="1041"/>
      <c r="J412" s="1041"/>
      <c r="K412" s="1041"/>
      <c r="L412" s="1041"/>
      <c r="M412" s="1041"/>
      <c r="N412" s="1041"/>
      <c r="O412" s="1041"/>
      <c r="P412" s="1041"/>
      <c r="Q412" s="1041"/>
      <c r="R412" s="1041"/>
      <c r="S412" s="1041"/>
      <c r="T412" s="1041"/>
      <c r="U412" s="1041"/>
      <c r="V412" s="1041"/>
      <c r="W412" s="1041"/>
      <c r="X412" s="1041"/>
      <c r="Y412" s="1041"/>
      <c r="Z412" s="1041"/>
      <c r="AA412" s="1041"/>
      <c r="AB412" s="1041"/>
      <c r="AC412" s="1041"/>
      <c r="AD412" s="1041"/>
      <c r="AE412" s="1041"/>
      <c r="AF412" s="1041"/>
      <c r="AG412" s="1041"/>
      <c r="AH412" s="1041"/>
      <c r="AI412" s="1041"/>
      <c r="AJ412" s="1041"/>
      <c r="AK412" s="1041"/>
      <c r="AL412" s="1041"/>
      <c r="AM412" s="1041"/>
      <c r="AN412" s="1041"/>
      <c r="AO412" s="1041"/>
      <c r="AP412" s="1041"/>
      <c r="AQ412" s="1041"/>
      <c r="AR412" s="1041"/>
      <c r="AS412" s="1041"/>
      <c r="AT412" s="1041"/>
      <c r="AU412" s="1041"/>
      <c r="AV412" s="1041"/>
      <c r="AW412" s="1041"/>
      <c r="AX412" s="1041"/>
    </row>
    <row r="413" spans="1:50" ht="15" customHeight="1">
      <c r="A413" s="325"/>
      <c r="B413" s="671"/>
      <c r="C413" s="323" t="str">
        <f>Translate!$E$110</f>
        <v>Straight-line depreciation charge</v>
      </c>
      <c r="D413" s="1006"/>
      <c r="E413" s="1041"/>
      <c r="F413" s="1041"/>
      <c r="G413" s="1041"/>
      <c r="H413" s="1041"/>
      <c r="I413" s="1041"/>
      <c r="J413" s="1041"/>
      <c r="K413" s="1041"/>
      <c r="L413" s="1041"/>
      <c r="M413" s="1041"/>
      <c r="N413" s="1041"/>
      <c r="O413" s="1041"/>
      <c r="P413" s="1041"/>
      <c r="Q413" s="1041"/>
      <c r="R413" s="1041"/>
      <c r="S413" s="1041"/>
      <c r="T413" s="1041"/>
      <c r="U413" s="1041"/>
      <c r="V413" s="1041"/>
      <c r="W413" s="1041"/>
      <c r="X413" s="1041"/>
      <c r="Y413" s="1041"/>
      <c r="Z413" s="1041"/>
      <c r="AA413" s="1041"/>
      <c r="AB413" s="1041"/>
      <c r="AC413" s="1041"/>
      <c r="AD413" s="1041"/>
      <c r="AE413" s="1041"/>
      <c r="AF413" s="1041"/>
      <c r="AG413" s="1041"/>
      <c r="AH413" s="1041"/>
      <c r="AI413" s="1041"/>
      <c r="AJ413" s="1041"/>
      <c r="AK413" s="1041"/>
      <c r="AL413" s="1041"/>
      <c r="AM413" s="1041"/>
      <c r="AN413" s="1041"/>
      <c r="AO413" s="1041"/>
      <c r="AP413" s="1041"/>
      <c r="AQ413" s="1041"/>
      <c r="AR413" s="1041"/>
      <c r="AS413" s="1041"/>
      <c r="AT413" s="1041"/>
      <c r="AU413" s="1041"/>
      <c r="AV413" s="1041"/>
      <c r="AW413" s="1041"/>
      <c r="AX413" s="1041"/>
    </row>
    <row r="414" spans="1:50" ht="15" customHeight="1">
      <c r="A414" s="325"/>
      <c r="B414" s="671"/>
      <c r="C414" s="323"/>
      <c r="D414" s="1006"/>
      <c r="E414" s="383" t="str">
        <f xml:space="preserve"> FiscalModel!E$42</f>
        <v>Development costs and replacement capital depreciation</v>
      </c>
      <c r="F414" s="383">
        <f xml:space="preserve"> FiscalModel!F$42</f>
        <v>5</v>
      </c>
      <c r="G414" s="383" t="str">
        <f xml:space="preserve"> FiscalModel!G$42</f>
        <v>Years</v>
      </c>
      <c r="H414" s="1041"/>
      <c r="I414" s="1041"/>
      <c r="J414" s="1041"/>
      <c r="K414" s="1041"/>
      <c r="L414" s="1041"/>
      <c r="M414" s="1041"/>
      <c r="N414" s="1041"/>
      <c r="O414" s="1041"/>
      <c r="P414" s="1041"/>
      <c r="Q414" s="1041"/>
      <c r="R414" s="1041"/>
      <c r="S414" s="1041"/>
      <c r="T414" s="1041"/>
      <c r="U414" s="1041"/>
      <c r="V414" s="1041"/>
      <c r="W414" s="1041"/>
      <c r="X414" s="1041"/>
      <c r="Y414" s="1041"/>
      <c r="Z414" s="1041"/>
      <c r="AA414" s="1041"/>
      <c r="AB414" s="1041"/>
      <c r="AC414" s="1041"/>
      <c r="AD414" s="1041"/>
      <c r="AE414" s="1041"/>
      <c r="AF414" s="1041"/>
      <c r="AG414" s="1041"/>
      <c r="AH414" s="1041"/>
      <c r="AI414" s="1041"/>
      <c r="AJ414" s="1041"/>
      <c r="AK414" s="1041"/>
      <c r="AL414" s="1041"/>
      <c r="AM414" s="1041"/>
      <c r="AN414" s="1041"/>
      <c r="AO414" s="1041"/>
      <c r="AP414" s="1041"/>
      <c r="AQ414" s="1041"/>
      <c r="AR414" s="1041"/>
      <c r="AS414" s="1041"/>
      <c r="AT414" s="1041"/>
      <c r="AU414" s="1041"/>
      <c r="AV414" s="1041"/>
      <c r="AW414" s="1041"/>
      <c r="AX414" s="1041"/>
    </row>
    <row r="415" spans="1:50" ht="15" customHeight="1">
      <c r="A415" s="347"/>
      <c r="B415" s="507"/>
      <c r="C415" s="333"/>
      <c r="D415" s="1112"/>
      <c r="E415" s="1024" t="str">
        <f>Translate!$E$110</f>
        <v>Straight-line depreciation charge</v>
      </c>
      <c r="F415" s="1024"/>
      <c r="G415" s="1024" t="str">
        <f xml:space="preserve"> Translate!E$10</f>
        <v>US$ mn</v>
      </c>
      <c r="H415" s="1024"/>
      <c r="I415" s="1024">
        <f ca="1" xml:space="preserve"> SUM(K415:AX415)</f>
        <v>551.66286052882492</v>
      </c>
      <c r="J415" s="1024"/>
      <c r="K415" s="1024">
        <f t="shared" ref="K415:AX415" ca="1" si="112" xml:space="preserve"> IFERROR( K411 / $F414, 0)</f>
        <v>0</v>
      </c>
      <c r="L415" s="1024">
        <f t="shared" ca="1" si="112"/>
        <v>0</v>
      </c>
      <c r="M415" s="1024">
        <f t="shared" ca="1" si="112"/>
        <v>0</v>
      </c>
      <c r="N415" s="1024">
        <f t="shared" ca="1" si="112"/>
        <v>0</v>
      </c>
      <c r="O415" s="1024">
        <f t="shared" ca="1" si="112"/>
        <v>64.997398188000005</v>
      </c>
      <c r="P415" s="1024">
        <f t="shared" ca="1" si="112"/>
        <v>88.845543537119994</v>
      </c>
      <c r="Q415" s="1024">
        <f t="shared" ca="1" si="112"/>
        <v>90.647403407942392</v>
      </c>
      <c r="R415" s="1024">
        <f t="shared" ca="1" si="112"/>
        <v>92.485300476181251</v>
      </c>
      <c r="S415" s="1024">
        <f t="shared" ca="1" si="112"/>
        <v>94.359955485784866</v>
      </c>
      <c r="T415" s="1024">
        <f t="shared" ca="1" si="112"/>
        <v>31.274705407580576</v>
      </c>
      <c r="U415" s="1024">
        <f t="shared" ca="1" si="112"/>
        <v>9.3769511304521878</v>
      </c>
      <c r="V415" s="1024">
        <f t="shared" ca="1" si="112"/>
        <v>9.5644901530612305</v>
      </c>
      <c r="W415" s="1024">
        <f t="shared" ca="1" si="112"/>
        <v>9.7557799561224545</v>
      </c>
      <c r="X415" s="1024">
        <f t="shared" ca="1" si="112"/>
        <v>9.9508955552449034</v>
      </c>
      <c r="Y415" s="1024">
        <f t="shared" ca="1" si="112"/>
        <v>10.149913466349803</v>
      </c>
      <c r="Z415" s="1024">
        <f t="shared" ca="1" si="112"/>
        <v>10.352911735676798</v>
      </c>
      <c r="AA415" s="1024">
        <f t="shared" ca="1" si="112"/>
        <v>10.559969970390334</v>
      </c>
      <c r="AB415" s="1024">
        <f t="shared" ca="1" si="112"/>
        <v>8.5307830990902609</v>
      </c>
      <c r="AC415" s="1024">
        <f t="shared" ca="1" si="112"/>
        <v>6.4610124903641877</v>
      </c>
      <c r="AD415" s="1024">
        <f t="shared" ca="1" si="112"/>
        <v>4.349846469463591</v>
      </c>
      <c r="AE415" s="1024">
        <f t="shared" ca="1" si="112"/>
        <v>0</v>
      </c>
      <c r="AF415" s="1024">
        <f t="shared" ca="1" si="112"/>
        <v>0</v>
      </c>
      <c r="AG415" s="1024">
        <f t="shared" ca="1" si="112"/>
        <v>0</v>
      </c>
      <c r="AH415" s="1024">
        <f t="shared" ca="1" si="112"/>
        <v>0</v>
      </c>
      <c r="AI415" s="1024">
        <f t="shared" ca="1" si="112"/>
        <v>0</v>
      </c>
      <c r="AJ415" s="1024">
        <f t="shared" ca="1" si="112"/>
        <v>0</v>
      </c>
      <c r="AK415" s="1024">
        <f t="shared" ca="1" si="112"/>
        <v>0</v>
      </c>
      <c r="AL415" s="1024">
        <f t="shared" ca="1" si="112"/>
        <v>0</v>
      </c>
      <c r="AM415" s="1024">
        <f t="shared" ca="1" si="112"/>
        <v>0</v>
      </c>
      <c r="AN415" s="1024">
        <f t="shared" ca="1" si="112"/>
        <v>0</v>
      </c>
      <c r="AO415" s="1024">
        <f t="shared" ca="1" si="112"/>
        <v>0</v>
      </c>
      <c r="AP415" s="1024">
        <f t="shared" ca="1" si="112"/>
        <v>0</v>
      </c>
      <c r="AQ415" s="1024">
        <f t="shared" ca="1" si="112"/>
        <v>0</v>
      </c>
      <c r="AR415" s="1024">
        <f t="shared" ca="1" si="112"/>
        <v>0</v>
      </c>
      <c r="AS415" s="1024">
        <f t="shared" ca="1" si="112"/>
        <v>0</v>
      </c>
      <c r="AT415" s="1024">
        <f t="shared" ca="1" si="112"/>
        <v>0</v>
      </c>
      <c r="AU415" s="1024">
        <f t="shared" ca="1" si="112"/>
        <v>0</v>
      </c>
      <c r="AV415" s="1024">
        <f t="shared" ca="1" si="112"/>
        <v>0</v>
      </c>
      <c r="AW415" s="1024">
        <f t="shared" ca="1" si="112"/>
        <v>0</v>
      </c>
      <c r="AX415" s="1024">
        <f t="shared" ca="1" si="112"/>
        <v>0</v>
      </c>
    </row>
    <row r="416" spans="1:50" ht="15" customHeight="1">
      <c r="A416" s="347"/>
      <c r="B416" s="507"/>
      <c r="C416" s="333"/>
      <c r="D416" s="1112"/>
      <c r="E416" s="1024"/>
      <c r="F416" s="1024"/>
      <c r="G416" s="1024"/>
      <c r="H416" s="1024"/>
      <c r="I416" s="1024"/>
      <c r="J416" s="1024"/>
      <c r="K416" s="1024"/>
      <c r="L416" s="1024"/>
      <c r="M416" s="1024"/>
      <c r="N416" s="1024"/>
      <c r="O416" s="1024"/>
      <c r="P416" s="1024"/>
      <c r="Q416" s="1024"/>
      <c r="R416" s="1024"/>
      <c r="S416" s="1024"/>
      <c r="T416" s="1024"/>
      <c r="U416" s="1024"/>
      <c r="V416" s="1024"/>
      <c r="W416" s="1024"/>
      <c r="X416" s="1024"/>
      <c r="Y416" s="1024"/>
      <c r="Z416" s="1024"/>
      <c r="AA416" s="1024"/>
      <c r="AB416" s="1024"/>
      <c r="AC416" s="1024"/>
      <c r="AD416" s="1024"/>
      <c r="AE416" s="1024"/>
      <c r="AF416" s="1024"/>
      <c r="AG416" s="1024"/>
      <c r="AH416" s="1024"/>
      <c r="AI416" s="1024"/>
      <c r="AJ416" s="1024"/>
      <c r="AK416" s="1024"/>
      <c r="AL416" s="1024"/>
      <c r="AM416" s="1024"/>
      <c r="AN416" s="1024"/>
      <c r="AO416" s="1024"/>
      <c r="AP416" s="1024"/>
      <c r="AQ416" s="1024"/>
      <c r="AR416" s="1024"/>
      <c r="AS416" s="1024"/>
      <c r="AT416" s="1024"/>
      <c r="AU416" s="1024"/>
      <c r="AV416" s="1024"/>
      <c r="AW416" s="1024"/>
      <c r="AX416" s="1024"/>
    </row>
    <row r="417" spans="1:50" ht="15" customHeight="1">
      <c r="A417" s="347"/>
      <c r="B417" s="507"/>
      <c r="C417" s="333" t="str">
        <f>Translate!$E$111</f>
        <v>Determine fully depreciated costs</v>
      </c>
      <c r="D417" s="1112"/>
      <c r="E417" s="1024"/>
      <c r="F417" s="1024"/>
      <c r="G417" s="1024"/>
      <c r="H417" s="1024"/>
      <c r="I417" s="1024"/>
      <c r="J417" s="1024"/>
      <c r="K417" s="1024"/>
      <c r="L417" s="1024"/>
      <c r="M417" s="1024"/>
      <c r="N417" s="1024"/>
      <c r="O417" s="1024"/>
      <c r="P417" s="1024"/>
      <c r="Q417" s="1024"/>
      <c r="R417" s="1024"/>
      <c r="S417" s="1024"/>
      <c r="T417" s="1024"/>
      <c r="U417" s="1024"/>
      <c r="V417" s="1024"/>
      <c r="W417" s="1024"/>
      <c r="X417" s="1024"/>
      <c r="Y417" s="1024"/>
      <c r="Z417" s="1024"/>
      <c r="AA417" s="1024"/>
      <c r="AB417" s="1024"/>
      <c r="AC417" s="1024"/>
      <c r="AD417" s="1024"/>
      <c r="AE417" s="1024"/>
      <c r="AF417" s="1024"/>
      <c r="AG417" s="1024"/>
      <c r="AH417" s="1024"/>
      <c r="AI417" s="1024"/>
      <c r="AJ417" s="1024"/>
      <c r="AK417" s="1024"/>
      <c r="AL417" s="1024"/>
      <c r="AM417" s="1024"/>
      <c r="AN417" s="1024"/>
      <c r="AO417" s="1024"/>
      <c r="AP417" s="1024"/>
      <c r="AQ417" s="1024"/>
      <c r="AR417" s="1024"/>
      <c r="AS417" s="1024"/>
      <c r="AT417" s="1024"/>
      <c r="AU417" s="1024"/>
      <c r="AV417" s="1024"/>
      <c r="AW417" s="1024"/>
      <c r="AX417" s="1024"/>
    </row>
    <row r="418" spans="1:50" ht="15" customHeight="1">
      <c r="A418" s="347"/>
      <c r="B418" s="507"/>
      <c r="C418" s="333"/>
      <c r="D418" s="1112"/>
      <c r="E418" s="383" t="str">
        <f xml:space="preserve"> FiscalModel!E$42</f>
        <v>Development costs and replacement capital depreciation</v>
      </c>
      <c r="F418" s="383">
        <f xml:space="preserve"> FiscalModel!F$42</f>
        <v>5</v>
      </c>
      <c r="G418" s="383" t="str">
        <f xml:space="preserve"> FiscalModel!G$42</f>
        <v>Years</v>
      </c>
      <c r="H418" s="1024"/>
      <c r="I418" s="1024"/>
      <c r="J418" s="1024"/>
      <c r="K418" s="1024"/>
      <c r="L418" s="1024"/>
      <c r="M418" s="1024"/>
      <c r="N418" s="1024"/>
      <c r="O418" s="1024"/>
      <c r="P418" s="1024"/>
      <c r="Q418" s="1024"/>
      <c r="R418" s="1024"/>
      <c r="S418" s="1024"/>
      <c r="T418" s="1024"/>
      <c r="U418" s="1024"/>
      <c r="V418" s="1024"/>
      <c r="W418" s="1024"/>
      <c r="X418" s="1024"/>
      <c r="Y418" s="1024"/>
      <c r="Z418" s="1024"/>
      <c r="AA418" s="1024"/>
      <c r="AB418" s="1024"/>
      <c r="AC418" s="1024"/>
      <c r="AD418" s="1024"/>
      <c r="AE418" s="1024"/>
      <c r="AF418" s="1024"/>
      <c r="AG418" s="1024"/>
      <c r="AH418" s="1024"/>
      <c r="AI418" s="1024"/>
      <c r="AJ418" s="1024"/>
      <c r="AK418" s="1024"/>
      <c r="AL418" s="1024"/>
      <c r="AM418" s="1024"/>
      <c r="AN418" s="1024"/>
      <c r="AO418" s="1024"/>
      <c r="AP418" s="1024"/>
      <c r="AQ418" s="1024"/>
      <c r="AR418" s="1024"/>
      <c r="AS418" s="1024"/>
      <c r="AT418" s="1024"/>
      <c r="AU418" s="1024"/>
      <c r="AV418" s="1024"/>
      <c r="AW418" s="1024"/>
      <c r="AX418" s="1024"/>
    </row>
    <row r="419" spans="1:50" ht="15" customHeight="1">
      <c r="A419" s="347"/>
      <c r="B419" s="507"/>
      <c r="C419" s="333"/>
      <c r="D419" s="1112"/>
      <c r="E419" s="1024" t="str">
        <f t="shared" ref="E419:AX419" si="113" xml:space="preserve"> E$394</f>
        <v>Cumulative depreciation years</v>
      </c>
      <c r="F419" s="1024">
        <f t="shared" si="113"/>
        <v>0</v>
      </c>
      <c r="G419" s="1024" t="str">
        <f t="shared" si="113"/>
        <v>Years</v>
      </c>
      <c r="H419" s="1024">
        <f t="shared" si="113"/>
        <v>0</v>
      </c>
      <c r="I419" s="1024">
        <f t="shared" si="113"/>
        <v>0</v>
      </c>
      <c r="J419" s="1024">
        <f t="shared" si="113"/>
        <v>0</v>
      </c>
      <c r="K419" s="1024">
        <f t="shared" ca="1" si="113"/>
        <v>0</v>
      </c>
      <c r="L419" s="1024">
        <f t="shared" ca="1" si="113"/>
        <v>0</v>
      </c>
      <c r="M419" s="1024">
        <f t="shared" ca="1" si="113"/>
        <v>0</v>
      </c>
      <c r="N419" s="1024">
        <f t="shared" ca="1" si="113"/>
        <v>0</v>
      </c>
      <c r="O419" s="1024">
        <f t="shared" ca="1" si="113"/>
        <v>1</v>
      </c>
      <c r="P419" s="1024">
        <f t="shared" ca="1" si="113"/>
        <v>2</v>
      </c>
      <c r="Q419" s="1024">
        <f t="shared" ca="1" si="113"/>
        <v>3</v>
      </c>
      <c r="R419" s="1024">
        <f t="shared" ca="1" si="113"/>
        <v>4</v>
      </c>
      <c r="S419" s="1024">
        <f t="shared" ca="1" si="113"/>
        <v>5</v>
      </c>
      <c r="T419" s="1024">
        <f t="shared" ca="1" si="113"/>
        <v>6</v>
      </c>
      <c r="U419" s="1024">
        <f t="shared" ca="1" si="113"/>
        <v>7</v>
      </c>
      <c r="V419" s="1024">
        <f t="shared" ca="1" si="113"/>
        <v>8</v>
      </c>
      <c r="W419" s="1024">
        <f t="shared" ca="1" si="113"/>
        <v>9</v>
      </c>
      <c r="X419" s="1024">
        <f t="shared" ca="1" si="113"/>
        <v>10</v>
      </c>
      <c r="Y419" s="1024">
        <f t="shared" ca="1" si="113"/>
        <v>11</v>
      </c>
      <c r="Z419" s="1024">
        <f t="shared" ca="1" si="113"/>
        <v>12</v>
      </c>
      <c r="AA419" s="1024">
        <f t="shared" ca="1" si="113"/>
        <v>13</v>
      </c>
      <c r="AB419" s="1024">
        <f t="shared" ca="1" si="113"/>
        <v>14</v>
      </c>
      <c r="AC419" s="1024">
        <f t="shared" ca="1" si="113"/>
        <v>15</v>
      </c>
      <c r="AD419" s="1024">
        <f t="shared" ca="1" si="113"/>
        <v>16</v>
      </c>
      <c r="AE419" s="1024">
        <f t="shared" ca="1" si="113"/>
        <v>17</v>
      </c>
      <c r="AF419" s="1024">
        <f t="shared" ca="1" si="113"/>
        <v>0</v>
      </c>
      <c r="AG419" s="1024">
        <f t="shared" ca="1" si="113"/>
        <v>0</v>
      </c>
      <c r="AH419" s="1024">
        <f t="shared" ca="1" si="113"/>
        <v>0</v>
      </c>
      <c r="AI419" s="1024">
        <f t="shared" ca="1" si="113"/>
        <v>0</v>
      </c>
      <c r="AJ419" s="1024">
        <f t="shared" ca="1" si="113"/>
        <v>0</v>
      </c>
      <c r="AK419" s="1024">
        <f t="shared" ca="1" si="113"/>
        <v>0</v>
      </c>
      <c r="AL419" s="1024">
        <f t="shared" ca="1" si="113"/>
        <v>0</v>
      </c>
      <c r="AM419" s="1024">
        <f t="shared" ca="1" si="113"/>
        <v>0</v>
      </c>
      <c r="AN419" s="1024">
        <f t="shared" ca="1" si="113"/>
        <v>0</v>
      </c>
      <c r="AO419" s="1024">
        <f t="shared" ca="1" si="113"/>
        <v>0</v>
      </c>
      <c r="AP419" s="1024">
        <f t="shared" ca="1" si="113"/>
        <v>0</v>
      </c>
      <c r="AQ419" s="1024">
        <f t="shared" ca="1" si="113"/>
        <v>0</v>
      </c>
      <c r="AR419" s="1024">
        <f t="shared" ca="1" si="113"/>
        <v>0</v>
      </c>
      <c r="AS419" s="1024">
        <f t="shared" ca="1" si="113"/>
        <v>0</v>
      </c>
      <c r="AT419" s="1024">
        <f t="shared" ca="1" si="113"/>
        <v>0</v>
      </c>
      <c r="AU419" s="1024">
        <f t="shared" ca="1" si="113"/>
        <v>0</v>
      </c>
      <c r="AV419" s="1024">
        <f t="shared" ca="1" si="113"/>
        <v>0</v>
      </c>
      <c r="AW419" s="1024">
        <f t="shared" ca="1" si="113"/>
        <v>0</v>
      </c>
      <c r="AX419" s="1024">
        <f t="shared" ca="1" si="113"/>
        <v>0</v>
      </c>
    </row>
    <row r="420" spans="1:50" ht="15" customHeight="1">
      <c r="A420" s="347"/>
      <c r="B420" s="507"/>
      <c r="C420" s="333"/>
      <c r="D420" s="1112"/>
      <c r="E420" s="1024" t="str">
        <f t="shared" ref="E420:AX420" si="114" xml:space="preserve"> E$397</f>
        <v>Capitalized costs: Mining company into depreciation</v>
      </c>
      <c r="F420" s="1024">
        <f t="shared" si="114"/>
        <v>0</v>
      </c>
      <c r="G420" s="1024" t="str">
        <f t="shared" si="114"/>
        <v>US$ mn</v>
      </c>
      <c r="H420" s="1024">
        <f t="shared" si="114"/>
        <v>0</v>
      </c>
      <c r="I420" s="1024">
        <f t="shared" ca="1" si="114"/>
        <v>553.85931765696978</v>
      </c>
      <c r="J420" s="1024">
        <f t="shared" si="114"/>
        <v>0</v>
      </c>
      <c r="K420" s="1024">
        <f t="shared" ca="1" si="114"/>
        <v>0</v>
      </c>
      <c r="L420" s="1024">
        <f t="shared" ca="1" si="114"/>
        <v>0</v>
      </c>
      <c r="M420" s="1024">
        <f t="shared" ca="1" si="114"/>
        <v>0</v>
      </c>
      <c r="N420" s="1024">
        <f t="shared" ca="1" si="114"/>
        <v>0</v>
      </c>
      <c r="O420" s="1024">
        <f t="shared" ca="1" si="114"/>
        <v>324.98699094</v>
      </c>
      <c r="P420" s="1024">
        <f t="shared" ca="1" si="114"/>
        <v>119.2407267456</v>
      </c>
      <c r="Q420" s="1024">
        <f t="shared" ca="1" si="114"/>
        <v>9.0092993541120006</v>
      </c>
      <c r="R420" s="1024">
        <f t="shared" ca="1" si="114"/>
        <v>9.1894853411942403</v>
      </c>
      <c r="S420" s="1024">
        <f t="shared" ca="1" si="114"/>
        <v>9.3732750480181259</v>
      </c>
      <c r="T420" s="1024">
        <f t="shared" ca="1" si="114"/>
        <v>9.5607405489784885</v>
      </c>
      <c r="U420" s="1024">
        <f t="shared" ca="1" si="114"/>
        <v>9.7519553599580586</v>
      </c>
      <c r="V420" s="1024">
        <f t="shared" ca="1" si="114"/>
        <v>9.9469944671572197</v>
      </c>
      <c r="W420" s="1024">
        <f t="shared" ca="1" si="114"/>
        <v>10.145934356500364</v>
      </c>
      <c r="X420" s="1024">
        <f t="shared" ca="1" si="114"/>
        <v>10.348853043630371</v>
      </c>
      <c r="Y420" s="1024">
        <f t="shared" ca="1" si="114"/>
        <v>10.555830104502979</v>
      </c>
      <c r="Z420" s="1024">
        <f t="shared" ca="1" si="114"/>
        <v>10.766946706593039</v>
      </c>
      <c r="AA420" s="1024">
        <f t="shared" ca="1" si="114"/>
        <v>10.9822856407249</v>
      </c>
      <c r="AB420" s="1024">
        <f t="shared" ca="1" si="114"/>
        <v>0</v>
      </c>
      <c r="AC420" s="1024">
        <f t="shared" ca="1" si="114"/>
        <v>0</v>
      </c>
      <c r="AD420" s="1024">
        <f t="shared" ca="1" si="114"/>
        <v>0</v>
      </c>
      <c r="AE420" s="1024">
        <f t="shared" ca="1" si="114"/>
        <v>0</v>
      </c>
      <c r="AF420" s="1024">
        <f t="shared" ca="1" si="114"/>
        <v>0</v>
      </c>
      <c r="AG420" s="1024">
        <f t="shared" ca="1" si="114"/>
        <v>0</v>
      </c>
      <c r="AH420" s="1024">
        <f t="shared" ca="1" si="114"/>
        <v>0</v>
      </c>
      <c r="AI420" s="1024">
        <f t="shared" ca="1" si="114"/>
        <v>0</v>
      </c>
      <c r="AJ420" s="1024">
        <f t="shared" ca="1" si="114"/>
        <v>0</v>
      </c>
      <c r="AK420" s="1024">
        <f t="shared" ca="1" si="114"/>
        <v>0</v>
      </c>
      <c r="AL420" s="1024">
        <f t="shared" ca="1" si="114"/>
        <v>0</v>
      </c>
      <c r="AM420" s="1024">
        <f t="shared" ca="1" si="114"/>
        <v>0</v>
      </c>
      <c r="AN420" s="1024">
        <f t="shared" ca="1" si="114"/>
        <v>0</v>
      </c>
      <c r="AO420" s="1024">
        <f t="shared" ca="1" si="114"/>
        <v>0</v>
      </c>
      <c r="AP420" s="1024">
        <f t="shared" ca="1" si="114"/>
        <v>0</v>
      </c>
      <c r="AQ420" s="1024">
        <f t="shared" ca="1" si="114"/>
        <v>0</v>
      </c>
      <c r="AR420" s="1024">
        <f t="shared" ca="1" si="114"/>
        <v>0</v>
      </c>
      <c r="AS420" s="1024">
        <f t="shared" ca="1" si="114"/>
        <v>0</v>
      </c>
      <c r="AT420" s="1024">
        <f t="shared" ca="1" si="114"/>
        <v>0</v>
      </c>
      <c r="AU420" s="1024">
        <f t="shared" ca="1" si="114"/>
        <v>0</v>
      </c>
      <c r="AV420" s="1024">
        <f t="shared" ca="1" si="114"/>
        <v>0</v>
      </c>
      <c r="AW420" s="1024">
        <f t="shared" ca="1" si="114"/>
        <v>0</v>
      </c>
      <c r="AX420" s="1024">
        <f t="shared" ca="1" si="114"/>
        <v>0</v>
      </c>
    </row>
    <row r="421" spans="1:50" ht="15" customHeight="1">
      <c r="A421" s="347"/>
      <c r="B421" s="507"/>
      <c r="C421" s="333"/>
      <c r="D421" s="1112"/>
      <c r="E421" s="1024" t="str">
        <f>Translate!$E$222</f>
        <v>Capitalized costs fully depreciated</v>
      </c>
      <c r="F421" s="1024"/>
      <c r="G421" s="1024" t="str">
        <f xml:space="preserve"> Translate!E$10</f>
        <v>US$ mn</v>
      </c>
      <c r="H421" s="1024"/>
      <c r="I421" s="1024">
        <f ca="1" xml:space="preserve"> SUM(K421:AX421)</f>
        <v>542.87703201624493</v>
      </c>
      <c r="J421" s="1024"/>
      <c r="K421" s="1024">
        <f ca="1" xml:space="preserve"> SUMIFS($K$420:$AX$420, $K$419:$AX$419, K419 - $F418) * (SUM(K404:$AX404) &gt; 0)</f>
        <v>0</v>
      </c>
      <c r="L421" s="1024">
        <f ca="1" xml:space="preserve"> SUMIFS($K$420:$AX$420, $K$419:$AX$419, L419 - $F418) * (SUM(L404:$AX404) &gt; 0)</f>
        <v>0</v>
      </c>
      <c r="M421" s="1024">
        <f ca="1" xml:space="preserve"> SUMIFS($K$420:$AX$420, $K$419:$AX$419, M419 - $F418) * (SUM(M404:$AX404) &gt; 0)</f>
        <v>0</v>
      </c>
      <c r="N421" s="1024">
        <f ca="1" xml:space="preserve"> SUMIFS($K$420:$AX$420, $K$419:$AX$419, N419 - $F418) * (SUM(N404:$AX404) &gt; 0)</f>
        <v>0</v>
      </c>
      <c r="O421" s="1024">
        <f ca="1" xml:space="preserve"> SUMIFS($K$420:$AX$420, $K$419:$AX$419, O419 - $F418) * (SUM(O404:$AX404) &gt; 0)</f>
        <v>0</v>
      </c>
      <c r="P421" s="1024">
        <f ca="1" xml:space="preserve"> SUMIFS($K$420:$AX$420, $K$419:$AX$419, P419 - $F418) * (SUM(P404:$AX404) &gt; 0)</f>
        <v>0</v>
      </c>
      <c r="Q421" s="1024">
        <f ca="1" xml:space="preserve"> SUMIFS($K$420:$AX$420, $K$419:$AX$419, Q419 - $F418) * (SUM(Q404:$AX404) &gt; 0)</f>
        <v>0</v>
      </c>
      <c r="R421" s="1024">
        <f ca="1" xml:space="preserve"> SUMIFS($K$420:$AX$420, $K$419:$AX$419, R419 - $F418) * (SUM(R404:$AX404) &gt; 0)</f>
        <v>0</v>
      </c>
      <c r="S421" s="1024">
        <f ca="1" xml:space="preserve"> SUMIFS($K$420:$AX$420, $K$419:$AX$419, S419 - $F418) * (SUM(S404:$AX404) &gt; 0)</f>
        <v>0</v>
      </c>
      <c r="T421" s="1024">
        <f ca="1" xml:space="preserve"> SUMIFS($K$420:$AX$420, $K$419:$AX$419, T419 - $F418) * (SUM(T404:$AX404) &gt; 0)</f>
        <v>324.98699094</v>
      </c>
      <c r="U421" s="1024">
        <f ca="1" xml:space="preserve"> SUMIFS($K$420:$AX$420, $K$419:$AX$419, U419 - $F418) * (SUM(U404:$AX404) &gt; 0)</f>
        <v>119.2407267456</v>
      </c>
      <c r="V421" s="1024">
        <f ca="1" xml:space="preserve"> SUMIFS($K$420:$AX$420, $K$419:$AX$419, V419 - $F418) * (SUM(V404:$AX404) &gt; 0)</f>
        <v>9.0092993541120006</v>
      </c>
      <c r="W421" s="1024">
        <f ca="1" xml:space="preserve"> SUMIFS($K$420:$AX$420, $K$419:$AX$419, W419 - $F418) * (SUM(W404:$AX404) &gt; 0)</f>
        <v>9.1894853411942403</v>
      </c>
      <c r="X421" s="1024">
        <f ca="1" xml:space="preserve"> SUMIFS($K$420:$AX$420, $K$419:$AX$419, X419 - $F418) * (SUM(X404:$AX404) &gt; 0)</f>
        <v>9.3732750480181259</v>
      </c>
      <c r="Y421" s="1024">
        <f ca="1" xml:space="preserve"> SUMIFS($K$420:$AX$420, $K$419:$AX$419, Y419 - $F418) * (SUM(Y404:$AX404) &gt; 0)</f>
        <v>9.5607405489784885</v>
      </c>
      <c r="Z421" s="1024">
        <f ca="1" xml:space="preserve"> SUMIFS($K$420:$AX$420, $K$419:$AX$419, Z419 - $F418) * (SUM(Z404:$AX404) &gt; 0)</f>
        <v>9.7519553599580586</v>
      </c>
      <c r="AA421" s="1024">
        <f ca="1" xml:space="preserve"> SUMIFS($K$420:$AX$420, $K$419:$AX$419, AA419 - $F418) * (SUM(AA404:$AX404) &gt; 0)</f>
        <v>9.9469944671572197</v>
      </c>
      <c r="AB421" s="1024">
        <f ca="1" xml:space="preserve"> SUMIFS($K$420:$AX$420, $K$419:$AX$419, AB419 - $F418) * (SUM(AB404:$AX404) &gt; 0)</f>
        <v>10.145934356500364</v>
      </c>
      <c r="AC421" s="1024">
        <f ca="1" xml:space="preserve"> SUMIFS($K$420:$AX$420, $K$419:$AX$419, AC419 - $F418) * (SUM(AC404:$AX404) &gt; 0)</f>
        <v>10.348853043630371</v>
      </c>
      <c r="AD421" s="1024">
        <f ca="1" xml:space="preserve"> SUMIFS($K$420:$AX$420, $K$419:$AX$419, AD419 - $F418) * (SUM(AD404:$AX404) &gt; 0)</f>
        <v>10.555830104502979</v>
      </c>
      <c r="AE421" s="1024">
        <f ca="1" xml:space="preserve"> SUMIFS($K$420:$AX$420, $K$419:$AX$419, AE419 - $F418) * (SUM(AE404:$AX404) &gt; 0)</f>
        <v>10.766946706593039</v>
      </c>
      <c r="AF421" s="1024">
        <f ca="1" xml:space="preserve"> SUMIFS($K$420:$AX$420, $K$419:$AX$419, AF419 - $F418) * (SUM(AF404:$AX404) &gt; 0)</f>
        <v>0</v>
      </c>
      <c r="AG421" s="1024">
        <f ca="1" xml:space="preserve"> SUMIFS($K$420:$AX$420, $K$419:$AX$419, AG419 - $F418) * (SUM(AG404:$AX404) &gt; 0)</f>
        <v>0</v>
      </c>
      <c r="AH421" s="1024">
        <f ca="1" xml:space="preserve"> SUMIFS($K$420:$AX$420, $K$419:$AX$419, AH419 - $F418) * (SUM(AH404:$AX404) &gt; 0)</f>
        <v>0</v>
      </c>
      <c r="AI421" s="1024">
        <f ca="1" xml:space="preserve"> SUMIFS($K$420:$AX$420, $K$419:$AX$419, AI419 - $F418) * (SUM(AI404:$AX404) &gt; 0)</f>
        <v>0</v>
      </c>
      <c r="AJ421" s="1024">
        <f ca="1" xml:space="preserve"> SUMIFS($K$420:$AX$420, $K$419:$AX$419, AJ419 - $F418) * (SUM(AJ404:$AX404) &gt; 0)</f>
        <v>0</v>
      </c>
      <c r="AK421" s="1024">
        <f ca="1" xml:space="preserve"> SUMIFS($K$420:$AX$420, $K$419:$AX$419, AK419 - $F418) * (SUM(AK404:$AX404) &gt; 0)</f>
        <v>0</v>
      </c>
      <c r="AL421" s="1024">
        <f ca="1" xml:space="preserve"> SUMIFS($K$420:$AX$420, $K$419:$AX$419, AL419 - $F418) * (SUM(AL404:$AX404) &gt; 0)</f>
        <v>0</v>
      </c>
      <c r="AM421" s="1024">
        <f ca="1" xml:space="preserve"> SUMIFS($K$420:$AX$420, $K$419:$AX$419, AM419 - $F418) * (SUM(AM404:$AX404) &gt; 0)</f>
        <v>0</v>
      </c>
      <c r="AN421" s="1024">
        <f ca="1" xml:space="preserve"> SUMIFS($K$420:$AX$420, $K$419:$AX$419, AN419 - $F418) * (SUM(AN404:$AX404) &gt; 0)</f>
        <v>0</v>
      </c>
      <c r="AO421" s="1024">
        <f ca="1" xml:space="preserve"> SUMIFS($K$420:$AX$420, $K$419:$AX$419, AO419 - $F418) * (SUM(AO404:$AX404) &gt; 0)</f>
        <v>0</v>
      </c>
      <c r="AP421" s="1024">
        <f ca="1" xml:space="preserve"> SUMIFS($K$420:$AX$420, $K$419:$AX$419, AP419 - $F418) * (SUM(AP404:$AX404) &gt; 0)</f>
        <v>0</v>
      </c>
      <c r="AQ421" s="1024">
        <f ca="1" xml:space="preserve"> SUMIFS($K$420:$AX$420, $K$419:$AX$419, AQ419 - $F418) * (SUM(AQ404:$AX404) &gt; 0)</f>
        <v>0</v>
      </c>
      <c r="AR421" s="1024">
        <f ca="1" xml:space="preserve"> SUMIFS($K$420:$AX$420, $K$419:$AX$419, AR419 - $F418) * (SUM(AR404:$AX404) &gt; 0)</f>
        <v>0</v>
      </c>
      <c r="AS421" s="1024">
        <f ca="1" xml:space="preserve"> SUMIFS($K$420:$AX$420, $K$419:$AX$419, AS419 - $F418) * (SUM(AS404:$AX404) &gt; 0)</f>
        <v>0</v>
      </c>
      <c r="AT421" s="1024">
        <f ca="1" xml:space="preserve"> SUMIFS($K$420:$AX$420, $K$419:$AX$419, AT419 - $F418) * (SUM(AT404:$AX404) &gt; 0)</f>
        <v>0</v>
      </c>
      <c r="AU421" s="1024">
        <f ca="1" xml:space="preserve"> SUMIFS($K$420:$AX$420, $K$419:$AX$419, AU419 - $F418) * (SUM(AU404:$AX404) &gt; 0)</f>
        <v>0</v>
      </c>
      <c r="AV421" s="1024">
        <f ca="1" xml:space="preserve"> SUMIFS($K$420:$AX$420, $K$419:$AX$419, AV419 - $F418) * (SUM(AV404:$AX404) &gt; 0)</f>
        <v>0</v>
      </c>
      <c r="AW421" s="1024">
        <f ca="1" xml:space="preserve"> SUMIFS($K$420:$AX$420, $K$419:$AX$419, AW419 - $F418) * (SUM(AW404:$AX404) &gt; 0)</f>
        <v>0</v>
      </c>
      <c r="AX421" s="1024">
        <f ca="1" xml:space="preserve"> SUMIFS($K$420:$AX$420, $K$419:$AX$419, AX419 - $F418) * (SUM(AX404:$AX404) &gt; 0)</f>
        <v>0</v>
      </c>
    </row>
    <row r="422" spans="1:50" ht="15" customHeight="1">
      <c r="A422" s="347"/>
      <c r="B422" s="507"/>
      <c r="C422" s="333"/>
      <c r="D422" s="1112"/>
      <c r="E422" s="1024"/>
      <c r="F422" s="1024"/>
      <c r="G422" s="1024"/>
      <c r="H422" s="1024"/>
      <c r="I422" s="1024"/>
      <c r="J422" s="1024"/>
      <c r="K422" s="1024"/>
      <c r="L422" s="1024"/>
      <c r="M422" s="1024"/>
      <c r="N422" s="1024"/>
      <c r="O422" s="1024"/>
      <c r="P422" s="1024"/>
      <c r="Q422" s="1024"/>
      <c r="R422" s="1024"/>
      <c r="S422" s="1024"/>
      <c r="T422" s="1024"/>
      <c r="U422" s="1024"/>
      <c r="V422" s="1024"/>
      <c r="W422" s="1024"/>
      <c r="X422" s="1024"/>
      <c r="Y422" s="1024"/>
      <c r="Z422" s="1024"/>
      <c r="AA422" s="1024"/>
      <c r="AB422" s="1024"/>
      <c r="AC422" s="1024"/>
      <c r="AD422" s="1024"/>
      <c r="AE422" s="1024"/>
      <c r="AF422" s="1024"/>
      <c r="AG422" s="1024"/>
      <c r="AH422" s="1024"/>
      <c r="AI422" s="1024"/>
      <c r="AJ422" s="1024"/>
      <c r="AK422" s="1024"/>
      <c r="AL422" s="1024"/>
      <c r="AM422" s="1024"/>
      <c r="AN422" s="1024"/>
      <c r="AO422" s="1024"/>
      <c r="AP422" s="1024"/>
      <c r="AQ422" s="1024"/>
      <c r="AR422" s="1024"/>
      <c r="AS422" s="1024"/>
      <c r="AT422" s="1024"/>
      <c r="AU422" s="1024"/>
      <c r="AV422" s="1024"/>
      <c r="AW422" s="1024"/>
      <c r="AX422" s="1024"/>
    </row>
    <row r="423" spans="1:50" ht="15" customHeight="1">
      <c r="A423" s="347"/>
      <c r="B423" s="507"/>
      <c r="C423" s="333" t="str">
        <f>Translate!$E$112</f>
        <v>Balance of undepreciated assets</v>
      </c>
      <c r="D423" s="1112"/>
      <c r="E423" s="1024"/>
      <c r="F423" s="1024"/>
      <c r="G423" s="1024"/>
      <c r="H423" s="1024"/>
      <c r="I423" s="1024"/>
      <c r="J423" s="1024"/>
      <c r="K423" s="1024"/>
      <c r="L423" s="1024"/>
      <c r="M423" s="1024"/>
      <c r="N423" s="1024"/>
      <c r="O423" s="1024"/>
      <c r="P423" s="1024"/>
      <c r="Q423" s="1024"/>
      <c r="R423" s="1024"/>
      <c r="S423" s="1024"/>
      <c r="T423" s="1024"/>
      <c r="U423" s="1024"/>
      <c r="V423" s="1024"/>
      <c r="W423" s="1024"/>
      <c r="X423" s="1024"/>
      <c r="Y423" s="1024"/>
      <c r="Z423" s="1024"/>
      <c r="AA423" s="1024"/>
      <c r="AB423" s="1024"/>
      <c r="AC423" s="1024"/>
      <c r="AD423" s="1024"/>
      <c r="AE423" s="1024"/>
      <c r="AF423" s="1024"/>
      <c r="AG423" s="1024"/>
      <c r="AH423" s="1024"/>
      <c r="AI423" s="1024"/>
      <c r="AJ423" s="1024"/>
      <c r="AK423" s="1024"/>
      <c r="AL423" s="1024"/>
      <c r="AM423" s="1024"/>
      <c r="AN423" s="1024"/>
      <c r="AO423" s="1024"/>
      <c r="AP423" s="1024"/>
      <c r="AQ423" s="1024"/>
      <c r="AR423" s="1024"/>
      <c r="AS423" s="1024"/>
      <c r="AT423" s="1024"/>
      <c r="AU423" s="1024"/>
      <c r="AV423" s="1024"/>
      <c r="AW423" s="1024"/>
      <c r="AX423" s="1024"/>
    </row>
    <row r="424" spans="1:50" s="434" customFormat="1" ht="15" customHeight="1">
      <c r="A424" s="451"/>
      <c r="B424" s="507"/>
      <c r="C424" s="452"/>
      <c r="D424" s="443"/>
      <c r="E424" s="432" t="str">
        <f t="shared" ref="E424:AX424" si="115" xml:space="preserve"> E$404</f>
        <v>Remaining depreciation years</v>
      </c>
      <c r="F424" s="432">
        <f t="shared" si="115"/>
        <v>0</v>
      </c>
      <c r="G424" s="432" t="str">
        <f t="shared" si="115"/>
        <v>Years</v>
      </c>
      <c r="H424" s="432">
        <f t="shared" si="115"/>
        <v>0</v>
      </c>
      <c r="I424" s="432">
        <f t="shared" si="115"/>
        <v>0</v>
      </c>
      <c r="J424" s="432">
        <f t="shared" si="115"/>
        <v>0</v>
      </c>
      <c r="K424" s="432">
        <f t="shared" ca="1" si="115"/>
        <v>0</v>
      </c>
      <c r="L424" s="432">
        <f t="shared" ca="1" si="115"/>
        <v>0</v>
      </c>
      <c r="M424" s="432">
        <f t="shared" ca="1" si="115"/>
        <v>0</v>
      </c>
      <c r="N424" s="432">
        <f t="shared" ca="1" si="115"/>
        <v>0</v>
      </c>
      <c r="O424" s="432">
        <f t="shared" ca="1" si="115"/>
        <v>17</v>
      </c>
      <c r="P424" s="432">
        <f t="shared" ca="1" si="115"/>
        <v>16</v>
      </c>
      <c r="Q424" s="432">
        <f t="shared" ca="1" si="115"/>
        <v>15</v>
      </c>
      <c r="R424" s="432">
        <f t="shared" ca="1" si="115"/>
        <v>14</v>
      </c>
      <c r="S424" s="432">
        <f t="shared" ca="1" si="115"/>
        <v>13</v>
      </c>
      <c r="T424" s="432">
        <f t="shared" ca="1" si="115"/>
        <v>12</v>
      </c>
      <c r="U424" s="432">
        <f t="shared" ca="1" si="115"/>
        <v>11</v>
      </c>
      <c r="V424" s="432">
        <f t="shared" ca="1" si="115"/>
        <v>10</v>
      </c>
      <c r="W424" s="432">
        <f t="shared" ca="1" si="115"/>
        <v>9</v>
      </c>
      <c r="X424" s="432">
        <f t="shared" ca="1" si="115"/>
        <v>8</v>
      </c>
      <c r="Y424" s="432">
        <f t="shared" ca="1" si="115"/>
        <v>7</v>
      </c>
      <c r="Z424" s="432">
        <f t="shared" ca="1" si="115"/>
        <v>6</v>
      </c>
      <c r="AA424" s="432">
        <f t="shared" ca="1" si="115"/>
        <v>5</v>
      </c>
      <c r="AB424" s="432">
        <f t="shared" ca="1" si="115"/>
        <v>4</v>
      </c>
      <c r="AC424" s="432">
        <f t="shared" ca="1" si="115"/>
        <v>3</v>
      </c>
      <c r="AD424" s="432">
        <f t="shared" ca="1" si="115"/>
        <v>2</v>
      </c>
      <c r="AE424" s="432">
        <f t="shared" ca="1" si="115"/>
        <v>1</v>
      </c>
      <c r="AF424" s="432">
        <f t="shared" ca="1" si="115"/>
        <v>0</v>
      </c>
      <c r="AG424" s="432">
        <f t="shared" ca="1" si="115"/>
        <v>0</v>
      </c>
      <c r="AH424" s="432">
        <f t="shared" ca="1" si="115"/>
        <v>0</v>
      </c>
      <c r="AI424" s="432">
        <f t="shared" ca="1" si="115"/>
        <v>0</v>
      </c>
      <c r="AJ424" s="432">
        <f t="shared" ca="1" si="115"/>
        <v>0</v>
      </c>
      <c r="AK424" s="432">
        <f t="shared" ca="1" si="115"/>
        <v>0</v>
      </c>
      <c r="AL424" s="432">
        <f t="shared" ca="1" si="115"/>
        <v>0</v>
      </c>
      <c r="AM424" s="432">
        <f t="shared" ca="1" si="115"/>
        <v>0</v>
      </c>
      <c r="AN424" s="432">
        <f t="shared" ca="1" si="115"/>
        <v>0</v>
      </c>
      <c r="AO424" s="432">
        <f t="shared" ca="1" si="115"/>
        <v>0</v>
      </c>
      <c r="AP424" s="432">
        <f t="shared" ca="1" si="115"/>
        <v>0</v>
      </c>
      <c r="AQ424" s="432">
        <f t="shared" ca="1" si="115"/>
        <v>0</v>
      </c>
      <c r="AR424" s="432">
        <f t="shared" ca="1" si="115"/>
        <v>0</v>
      </c>
      <c r="AS424" s="432">
        <f t="shared" ca="1" si="115"/>
        <v>0</v>
      </c>
      <c r="AT424" s="432">
        <f t="shared" ca="1" si="115"/>
        <v>0</v>
      </c>
      <c r="AU424" s="432">
        <f t="shared" ca="1" si="115"/>
        <v>0</v>
      </c>
      <c r="AV424" s="432">
        <f t="shared" ca="1" si="115"/>
        <v>0</v>
      </c>
      <c r="AW424" s="432">
        <f t="shared" ca="1" si="115"/>
        <v>0</v>
      </c>
      <c r="AX424" s="432">
        <f t="shared" ca="1" si="115"/>
        <v>0</v>
      </c>
    </row>
    <row r="425" spans="1:50" ht="15" customHeight="1">
      <c r="A425" s="421"/>
      <c r="B425" s="700"/>
      <c r="C425" s="422"/>
      <c r="D425" s="1127"/>
      <c r="E425" s="1099" t="str">
        <f>Translate!$E$223</f>
        <v>Balance of capitalized costs: BEG</v>
      </c>
      <c r="F425" s="1099"/>
      <c r="G425" s="1099" t="str">
        <f xml:space="preserve"> Translate!E$10</f>
        <v>US$ mn</v>
      </c>
      <c r="H425" s="1099"/>
      <c r="I425" s="1099"/>
      <c r="J425" s="1099"/>
      <c r="K425" s="1099">
        <f t="shared" ref="K425:AX425" si="116" xml:space="preserve"> J429</f>
        <v>0</v>
      </c>
      <c r="L425" s="1099">
        <f t="shared" ca="1" si="116"/>
        <v>0</v>
      </c>
      <c r="M425" s="1099">
        <f t="shared" ca="1" si="116"/>
        <v>0</v>
      </c>
      <c r="N425" s="1099">
        <f t="shared" ca="1" si="116"/>
        <v>0</v>
      </c>
      <c r="O425" s="1099">
        <f t="shared" ca="1" si="116"/>
        <v>54.378950939999996</v>
      </c>
      <c r="P425" s="1099">
        <f t="shared" ca="1" si="116"/>
        <v>259.98959275200002</v>
      </c>
      <c r="Q425" s="1099">
        <f t="shared" ca="1" si="116"/>
        <v>290.38477596048006</v>
      </c>
      <c r="R425" s="1099">
        <f t="shared" ca="1" si="116"/>
        <v>208.74667190664965</v>
      </c>
      <c r="S425" s="1099">
        <f t="shared" ca="1" si="116"/>
        <v>125.45085677166263</v>
      </c>
      <c r="T425" s="1099">
        <f t="shared" ca="1" si="116"/>
        <v>40.464176333895892</v>
      </c>
      <c r="U425" s="1099">
        <f t="shared" ca="1" si="116"/>
        <v>18.750211475293803</v>
      </c>
      <c r="V425" s="1099">
        <f t="shared" ca="1" si="116"/>
        <v>19.125215704799675</v>
      </c>
      <c r="W425" s="1099">
        <f t="shared" ca="1" si="116"/>
        <v>19.507720018895668</v>
      </c>
      <c r="X425" s="1099">
        <f t="shared" ca="1" si="116"/>
        <v>19.897874419273577</v>
      </c>
      <c r="Y425" s="1099">
        <f t="shared" ca="1" si="116"/>
        <v>20.295831907659043</v>
      </c>
      <c r="Z425" s="1099">
        <f t="shared" ca="1" si="116"/>
        <v>20.701748545812222</v>
      </c>
      <c r="AA425" s="1099">
        <f t="shared" ca="1" si="116"/>
        <v>21.115783516728463</v>
      </c>
      <c r="AB425" s="1099">
        <f t="shared" ca="1" si="116"/>
        <v>21.538099187063033</v>
      </c>
      <c r="AC425" s="1099">
        <f t="shared" ca="1" si="116"/>
        <v>13.007316087972772</v>
      </c>
      <c r="AD425" s="1099">
        <f t="shared" ca="1" si="116"/>
        <v>6.5463035976085839</v>
      </c>
      <c r="AE425" s="1099">
        <f t="shared" ca="1" si="116"/>
        <v>2.1964571281449929</v>
      </c>
      <c r="AF425" s="1099">
        <f t="shared" ca="1" si="116"/>
        <v>0</v>
      </c>
      <c r="AG425" s="1099">
        <f t="shared" ca="1" si="116"/>
        <v>0</v>
      </c>
      <c r="AH425" s="1099">
        <f t="shared" ca="1" si="116"/>
        <v>0</v>
      </c>
      <c r="AI425" s="1099">
        <f t="shared" ca="1" si="116"/>
        <v>0</v>
      </c>
      <c r="AJ425" s="1099">
        <f t="shared" ca="1" si="116"/>
        <v>0</v>
      </c>
      <c r="AK425" s="1099">
        <f t="shared" ca="1" si="116"/>
        <v>0</v>
      </c>
      <c r="AL425" s="1099">
        <f t="shared" ca="1" si="116"/>
        <v>0</v>
      </c>
      <c r="AM425" s="1099">
        <f t="shared" ca="1" si="116"/>
        <v>0</v>
      </c>
      <c r="AN425" s="1099">
        <f t="shared" ca="1" si="116"/>
        <v>0</v>
      </c>
      <c r="AO425" s="1099">
        <f t="shared" ca="1" si="116"/>
        <v>0</v>
      </c>
      <c r="AP425" s="1099">
        <f t="shared" ca="1" si="116"/>
        <v>0</v>
      </c>
      <c r="AQ425" s="1099">
        <f t="shared" ca="1" si="116"/>
        <v>0</v>
      </c>
      <c r="AR425" s="1099">
        <f t="shared" ca="1" si="116"/>
        <v>0</v>
      </c>
      <c r="AS425" s="1099">
        <f t="shared" ca="1" si="116"/>
        <v>0</v>
      </c>
      <c r="AT425" s="1099">
        <f t="shared" ca="1" si="116"/>
        <v>0</v>
      </c>
      <c r="AU425" s="1099">
        <f t="shared" ca="1" si="116"/>
        <v>0</v>
      </c>
      <c r="AV425" s="1099">
        <f t="shared" ca="1" si="116"/>
        <v>0</v>
      </c>
      <c r="AW425" s="1099">
        <f t="shared" ca="1" si="116"/>
        <v>0</v>
      </c>
      <c r="AX425" s="1099">
        <f t="shared" ca="1" si="116"/>
        <v>0</v>
      </c>
    </row>
    <row r="426" spans="1:50" s="334" customFormat="1" ht="15" customHeight="1">
      <c r="A426" s="423"/>
      <c r="B426" s="701"/>
      <c r="C426" s="424"/>
      <c r="D426" s="1112" t="str">
        <f>Translate!$E$605</f>
        <v>add</v>
      </c>
      <c r="E426" s="1024" t="str">
        <f xml:space="preserve"> E$376</f>
        <v>Capitalized costs: Mining company</v>
      </c>
      <c r="F426" s="1024">
        <f t="shared" ref="F426:AX426" si="117" xml:space="preserve"> F$376</f>
        <v>0</v>
      </c>
      <c r="G426" s="1024" t="str">
        <f t="shared" si="117"/>
        <v>US$ mn</v>
      </c>
      <c r="H426" s="1024">
        <f t="shared" si="117"/>
        <v>0</v>
      </c>
      <c r="I426" s="1024">
        <f t="shared" ca="1" si="117"/>
        <v>553.85931765696978</v>
      </c>
      <c r="J426" s="1024">
        <f t="shared" si="117"/>
        <v>0</v>
      </c>
      <c r="K426" s="1024">
        <f t="shared" ca="1" si="117"/>
        <v>0</v>
      </c>
      <c r="L426" s="1024">
        <f t="shared" ca="1" si="117"/>
        <v>0</v>
      </c>
      <c r="M426" s="1024">
        <f t="shared" ca="1" si="117"/>
        <v>0</v>
      </c>
      <c r="N426" s="1024">
        <f t="shared" ca="1" si="117"/>
        <v>54.378950939999996</v>
      </c>
      <c r="O426" s="1024">
        <f t="shared" ca="1" si="117"/>
        <v>270.60804000000002</v>
      </c>
      <c r="P426" s="1024">
        <f t="shared" ca="1" si="117"/>
        <v>119.2407267456</v>
      </c>
      <c r="Q426" s="1024">
        <f t="shared" ca="1" si="117"/>
        <v>9.0092993541120006</v>
      </c>
      <c r="R426" s="1024">
        <f t="shared" ca="1" si="117"/>
        <v>9.1894853411942403</v>
      </c>
      <c r="S426" s="1024">
        <f t="shared" ca="1" si="117"/>
        <v>9.3732750480181259</v>
      </c>
      <c r="T426" s="1024">
        <f t="shared" ca="1" si="117"/>
        <v>9.5607405489784885</v>
      </c>
      <c r="U426" s="1024">
        <f t="shared" ca="1" si="117"/>
        <v>9.7519553599580586</v>
      </c>
      <c r="V426" s="1024">
        <f t="shared" ca="1" si="117"/>
        <v>9.9469944671572197</v>
      </c>
      <c r="W426" s="1024">
        <f t="shared" ca="1" si="117"/>
        <v>10.145934356500364</v>
      </c>
      <c r="X426" s="1024">
        <f t="shared" ca="1" si="117"/>
        <v>10.348853043630371</v>
      </c>
      <c r="Y426" s="1024">
        <f t="shared" ca="1" si="117"/>
        <v>10.555830104502979</v>
      </c>
      <c r="Z426" s="1024">
        <f t="shared" ca="1" si="117"/>
        <v>10.766946706593039</v>
      </c>
      <c r="AA426" s="1024">
        <f t="shared" ca="1" si="117"/>
        <v>10.9822856407249</v>
      </c>
      <c r="AB426" s="1024">
        <f t="shared" ca="1" si="117"/>
        <v>0</v>
      </c>
      <c r="AC426" s="1024">
        <f t="shared" ca="1" si="117"/>
        <v>0</v>
      </c>
      <c r="AD426" s="1024">
        <f t="shared" ca="1" si="117"/>
        <v>0</v>
      </c>
      <c r="AE426" s="1024">
        <f t="shared" ca="1" si="117"/>
        <v>0</v>
      </c>
      <c r="AF426" s="1024">
        <f t="shared" ca="1" si="117"/>
        <v>0</v>
      </c>
      <c r="AG426" s="1024">
        <f t="shared" ca="1" si="117"/>
        <v>0</v>
      </c>
      <c r="AH426" s="1024">
        <f t="shared" ca="1" si="117"/>
        <v>0</v>
      </c>
      <c r="AI426" s="1024">
        <f t="shared" ca="1" si="117"/>
        <v>0</v>
      </c>
      <c r="AJ426" s="1024">
        <f t="shared" ca="1" si="117"/>
        <v>0</v>
      </c>
      <c r="AK426" s="1024">
        <f t="shared" ca="1" si="117"/>
        <v>0</v>
      </c>
      <c r="AL426" s="1024">
        <f t="shared" ca="1" si="117"/>
        <v>0</v>
      </c>
      <c r="AM426" s="1024">
        <f t="shared" ca="1" si="117"/>
        <v>0</v>
      </c>
      <c r="AN426" s="1024">
        <f t="shared" ca="1" si="117"/>
        <v>0</v>
      </c>
      <c r="AO426" s="1024">
        <f t="shared" ca="1" si="117"/>
        <v>0</v>
      </c>
      <c r="AP426" s="1024">
        <f t="shared" ca="1" si="117"/>
        <v>0</v>
      </c>
      <c r="AQ426" s="1024">
        <f t="shared" ca="1" si="117"/>
        <v>0</v>
      </c>
      <c r="AR426" s="1024">
        <f t="shared" ca="1" si="117"/>
        <v>0</v>
      </c>
      <c r="AS426" s="1024">
        <f t="shared" ca="1" si="117"/>
        <v>0</v>
      </c>
      <c r="AT426" s="1024">
        <f t="shared" ca="1" si="117"/>
        <v>0</v>
      </c>
      <c r="AU426" s="1024">
        <f t="shared" ca="1" si="117"/>
        <v>0</v>
      </c>
      <c r="AV426" s="1024">
        <f t="shared" ca="1" si="117"/>
        <v>0</v>
      </c>
      <c r="AW426" s="1024">
        <f t="shared" ca="1" si="117"/>
        <v>0</v>
      </c>
      <c r="AX426" s="1024">
        <f t="shared" ca="1" si="117"/>
        <v>0</v>
      </c>
    </row>
    <row r="427" spans="1:50" ht="15" customHeight="1">
      <c r="A427" s="423"/>
      <c r="B427" s="701"/>
      <c r="C427" s="424"/>
      <c r="D427" s="1112" t="str">
        <f>Translate!$E$606</f>
        <v>less</v>
      </c>
      <c r="E427" s="1024" t="str">
        <f t="shared" ref="E427:AX427" si="118" xml:space="preserve"> E$415</f>
        <v>Straight-line depreciation charge</v>
      </c>
      <c r="F427" s="1024">
        <f t="shared" si="118"/>
        <v>0</v>
      </c>
      <c r="G427" s="1024" t="str">
        <f t="shared" si="118"/>
        <v>US$ mn</v>
      </c>
      <c r="H427" s="1024">
        <f t="shared" si="118"/>
        <v>0</v>
      </c>
      <c r="I427" s="1024">
        <f t="shared" ca="1" si="118"/>
        <v>551.66286052882492</v>
      </c>
      <c r="J427" s="1024">
        <f t="shared" si="118"/>
        <v>0</v>
      </c>
      <c r="K427" s="1024">
        <f t="shared" ca="1" si="118"/>
        <v>0</v>
      </c>
      <c r="L427" s="1024">
        <f t="shared" ca="1" si="118"/>
        <v>0</v>
      </c>
      <c r="M427" s="1024">
        <f t="shared" ca="1" si="118"/>
        <v>0</v>
      </c>
      <c r="N427" s="1024">
        <f t="shared" ca="1" si="118"/>
        <v>0</v>
      </c>
      <c r="O427" s="1024">
        <f t="shared" ca="1" si="118"/>
        <v>64.997398188000005</v>
      </c>
      <c r="P427" s="1024">
        <f t="shared" ca="1" si="118"/>
        <v>88.845543537119994</v>
      </c>
      <c r="Q427" s="1024">
        <f t="shared" ca="1" si="118"/>
        <v>90.647403407942392</v>
      </c>
      <c r="R427" s="1024">
        <f t="shared" ca="1" si="118"/>
        <v>92.485300476181251</v>
      </c>
      <c r="S427" s="1024">
        <f t="shared" ca="1" si="118"/>
        <v>94.359955485784866</v>
      </c>
      <c r="T427" s="1024">
        <f t="shared" ca="1" si="118"/>
        <v>31.274705407580576</v>
      </c>
      <c r="U427" s="1024">
        <f t="shared" ca="1" si="118"/>
        <v>9.3769511304521878</v>
      </c>
      <c r="V427" s="1024">
        <f t="shared" ca="1" si="118"/>
        <v>9.5644901530612305</v>
      </c>
      <c r="W427" s="1024">
        <f t="shared" ca="1" si="118"/>
        <v>9.7557799561224545</v>
      </c>
      <c r="X427" s="1024">
        <f t="shared" ca="1" si="118"/>
        <v>9.9508955552449034</v>
      </c>
      <c r="Y427" s="1024">
        <f t="shared" ca="1" si="118"/>
        <v>10.149913466349803</v>
      </c>
      <c r="Z427" s="1024">
        <f t="shared" ca="1" si="118"/>
        <v>10.352911735676798</v>
      </c>
      <c r="AA427" s="1024">
        <f t="shared" ca="1" si="118"/>
        <v>10.559969970390334</v>
      </c>
      <c r="AB427" s="1024">
        <f t="shared" ca="1" si="118"/>
        <v>8.5307830990902609</v>
      </c>
      <c r="AC427" s="1024">
        <f t="shared" ca="1" si="118"/>
        <v>6.4610124903641877</v>
      </c>
      <c r="AD427" s="1024">
        <f t="shared" ca="1" si="118"/>
        <v>4.349846469463591</v>
      </c>
      <c r="AE427" s="1024">
        <f t="shared" ca="1" si="118"/>
        <v>0</v>
      </c>
      <c r="AF427" s="1024">
        <f t="shared" ca="1" si="118"/>
        <v>0</v>
      </c>
      <c r="AG427" s="1024">
        <f t="shared" ca="1" si="118"/>
        <v>0</v>
      </c>
      <c r="AH427" s="1024">
        <f t="shared" ca="1" si="118"/>
        <v>0</v>
      </c>
      <c r="AI427" s="1024">
        <f t="shared" ca="1" si="118"/>
        <v>0</v>
      </c>
      <c r="AJ427" s="1024">
        <f t="shared" ca="1" si="118"/>
        <v>0</v>
      </c>
      <c r="AK427" s="1024">
        <f t="shared" ca="1" si="118"/>
        <v>0</v>
      </c>
      <c r="AL427" s="1024">
        <f t="shared" ca="1" si="118"/>
        <v>0</v>
      </c>
      <c r="AM427" s="1024">
        <f t="shared" ca="1" si="118"/>
        <v>0</v>
      </c>
      <c r="AN427" s="1024">
        <f t="shared" ca="1" si="118"/>
        <v>0</v>
      </c>
      <c r="AO427" s="1024">
        <f t="shared" ca="1" si="118"/>
        <v>0</v>
      </c>
      <c r="AP427" s="1024">
        <f t="shared" ca="1" si="118"/>
        <v>0</v>
      </c>
      <c r="AQ427" s="1024">
        <f t="shared" ca="1" si="118"/>
        <v>0</v>
      </c>
      <c r="AR427" s="1024">
        <f t="shared" ca="1" si="118"/>
        <v>0</v>
      </c>
      <c r="AS427" s="1024">
        <f t="shared" ca="1" si="118"/>
        <v>0</v>
      </c>
      <c r="AT427" s="1024">
        <f t="shared" ca="1" si="118"/>
        <v>0</v>
      </c>
      <c r="AU427" s="1024">
        <f t="shared" ca="1" si="118"/>
        <v>0</v>
      </c>
      <c r="AV427" s="1024">
        <f t="shared" ca="1" si="118"/>
        <v>0</v>
      </c>
      <c r="AW427" s="1024">
        <f t="shared" ca="1" si="118"/>
        <v>0</v>
      </c>
      <c r="AX427" s="1024">
        <f t="shared" ca="1" si="118"/>
        <v>0</v>
      </c>
    </row>
    <row r="428" spans="1:50" ht="15" customHeight="1">
      <c r="A428" s="348"/>
      <c r="B428" s="676"/>
      <c r="C428" s="342"/>
      <c r="D428" s="1112" t="str">
        <f>Translate!$E$606</f>
        <v>less</v>
      </c>
      <c r="E428" s="1044" t="str">
        <f>Translate!$E$224</f>
        <v>Final year write-off</v>
      </c>
      <c r="F428" s="1044"/>
      <c r="G428" s="1044" t="str">
        <f xml:space="preserve"> Translate!E$10</f>
        <v>US$ mn</v>
      </c>
      <c r="H428" s="1044"/>
      <c r="I428" s="1044">
        <f ca="1" xml:space="preserve"> SUM(K428:AX428)</f>
        <v>2.1964571281449929</v>
      </c>
      <c r="J428" s="1044"/>
      <c r="K428" s="1044">
        <f t="shared" ref="K428:AX428" ca="1" si="119" xml:space="preserve"> IF( K424 = 1, K425 + K426 - K427, 0)</f>
        <v>0</v>
      </c>
      <c r="L428" s="1044">
        <f t="shared" ca="1" si="119"/>
        <v>0</v>
      </c>
      <c r="M428" s="1044">
        <f t="shared" ca="1" si="119"/>
        <v>0</v>
      </c>
      <c r="N428" s="1044">
        <f t="shared" ca="1" si="119"/>
        <v>0</v>
      </c>
      <c r="O428" s="1044">
        <f t="shared" ca="1" si="119"/>
        <v>0</v>
      </c>
      <c r="P428" s="1044">
        <f t="shared" ca="1" si="119"/>
        <v>0</v>
      </c>
      <c r="Q428" s="1044">
        <f t="shared" ca="1" si="119"/>
        <v>0</v>
      </c>
      <c r="R428" s="1044">
        <f t="shared" ca="1" si="119"/>
        <v>0</v>
      </c>
      <c r="S428" s="1044">
        <f t="shared" ca="1" si="119"/>
        <v>0</v>
      </c>
      <c r="T428" s="1044">
        <f t="shared" ca="1" si="119"/>
        <v>0</v>
      </c>
      <c r="U428" s="1044">
        <f t="shared" ca="1" si="119"/>
        <v>0</v>
      </c>
      <c r="V428" s="1044">
        <f t="shared" ca="1" si="119"/>
        <v>0</v>
      </c>
      <c r="W428" s="1044">
        <f t="shared" ca="1" si="119"/>
        <v>0</v>
      </c>
      <c r="X428" s="1044">
        <f t="shared" ca="1" si="119"/>
        <v>0</v>
      </c>
      <c r="Y428" s="1044">
        <f t="shared" ca="1" si="119"/>
        <v>0</v>
      </c>
      <c r="Z428" s="1044">
        <f t="shared" ca="1" si="119"/>
        <v>0</v>
      </c>
      <c r="AA428" s="1044">
        <f t="shared" ca="1" si="119"/>
        <v>0</v>
      </c>
      <c r="AB428" s="1044">
        <f t="shared" ca="1" si="119"/>
        <v>0</v>
      </c>
      <c r="AC428" s="1044">
        <f t="shared" ca="1" si="119"/>
        <v>0</v>
      </c>
      <c r="AD428" s="1044">
        <f t="shared" ca="1" si="119"/>
        <v>0</v>
      </c>
      <c r="AE428" s="1044">
        <f t="shared" ca="1" si="119"/>
        <v>2.1964571281449929</v>
      </c>
      <c r="AF428" s="1044">
        <f t="shared" ca="1" si="119"/>
        <v>0</v>
      </c>
      <c r="AG428" s="1044">
        <f t="shared" ca="1" si="119"/>
        <v>0</v>
      </c>
      <c r="AH428" s="1044">
        <f t="shared" ca="1" si="119"/>
        <v>0</v>
      </c>
      <c r="AI428" s="1044">
        <f t="shared" ca="1" si="119"/>
        <v>0</v>
      </c>
      <c r="AJ428" s="1044">
        <f t="shared" ca="1" si="119"/>
        <v>0</v>
      </c>
      <c r="AK428" s="1044">
        <f t="shared" ca="1" si="119"/>
        <v>0</v>
      </c>
      <c r="AL428" s="1044">
        <f t="shared" ca="1" si="119"/>
        <v>0</v>
      </c>
      <c r="AM428" s="1044">
        <f t="shared" ca="1" si="119"/>
        <v>0</v>
      </c>
      <c r="AN428" s="1044">
        <f t="shared" ca="1" si="119"/>
        <v>0</v>
      </c>
      <c r="AO428" s="1044">
        <f t="shared" ca="1" si="119"/>
        <v>0</v>
      </c>
      <c r="AP428" s="1044">
        <f t="shared" ca="1" si="119"/>
        <v>0</v>
      </c>
      <c r="AQ428" s="1044">
        <f t="shared" ca="1" si="119"/>
        <v>0</v>
      </c>
      <c r="AR428" s="1044">
        <f t="shared" ca="1" si="119"/>
        <v>0</v>
      </c>
      <c r="AS428" s="1044">
        <f t="shared" ca="1" si="119"/>
        <v>0</v>
      </c>
      <c r="AT428" s="1044">
        <f t="shared" ca="1" si="119"/>
        <v>0</v>
      </c>
      <c r="AU428" s="1044">
        <f t="shared" ca="1" si="119"/>
        <v>0</v>
      </c>
      <c r="AV428" s="1044">
        <f t="shared" ca="1" si="119"/>
        <v>0</v>
      </c>
      <c r="AW428" s="1044">
        <f t="shared" ca="1" si="119"/>
        <v>0</v>
      </c>
      <c r="AX428" s="1044">
        <f t="shared" ca="1" si="119"/>
        <v>0</v>
      </c>
    </row>
    <row r="429" spans="1:50" ht="15" customHeight="1">
      <c r="A429" s="425"/>
      <c r="B429" s="702"/>
      <c r="C429" s="426"/>
      <c r="D429" s="1128"/>
      <c r="E429" s="1103" t="str">
        <f>Translate!$E$225</f>
        <v>Balance of capitalized costs: END</v>
      </c>
      <c r="F429" s="403"/>
      <c r="G429" s="1106" t="str">
        <f xml:space="preserve"> Translate!E$10</f>
        <v>US$ mn</v>
      </c>
      <c r="H429" s="403"/>
      <c r="I429" s="403"/>
      <c r="J429" s="406"/>
      <c r="K429" s="403">
        <f t="shared" ref="K429:AX429" ca="1" si="120" xml:space="preserve"> K425 + K426 - K427 - K428</f>
        <v>0</v>
      </c>
      <c r="L429" s="403">
        <f t="shared" ca="1" si="120"/>
        <v>0</v>
      </c>
      <c r="M429" s="403">
        <f t="shared" ca="1" si="120"/>
        <v>0</v>
      </c>
      <c r="N429" s="403">
        <f t="shared" ca="1" si="120"/>
        <v>54.378950939999996</v>
      </c>
      <c r="O429" s="403">
        <f t="shared" ca="1" si="120"/>
        <v>259.98959275200002</v>
      </c>
      <c r="P429" s="403">
        <f t="shared" ca="1" si="120"/>
        <v>290.38477596048006</v>
      </c>
      <c r="Q429" s="403">
        <f t="shared" ca="1" si="120"/>
        <v>208.74667190664965</v>
      </c>
      <c r="R429" s="403">
        <f t="shared" ca="1" si="120"/>
        <v>125.45085677166263</v>
      </c>
      <c r="S429" s="403">
        <f t="shared" ca="1" si="120"/>
        <v>40.464176333895892</v>
      </c>
      <c r="T429" s="403">
        <f t="shared" ca="1" si="120"/>
        <v>18.750211475293803</v>
      </c>
      <c r="U429" s="403">
        <f t="shared" ca="1" si="120"/>
        <v>19.125215704799675</v>
      </c>
      <c r="V429" s="403">
        <f t="shared" ca="1" si="120"/>
        <v>19.507720018895668</v>
      </c>
      <c r="W429" s="403">
        <f t="shared" ca="1" si="120"/>
        <v>19.897874419273577</v>
      </c>
      <c r="X429" s="403">
        <f t="shared" ca="1" si="120"/>
        <v>20.295831907659043</v>
      </c>
      <c r="Y429" s="403">
        <f t="shared" ca="1" si="120"/>
        <v>20.701748545812222</v>
      </c>
      <c r="Z429" s="403">
        <f t="shared" ca="1" si="120"/>
        <v>21.115783516728463</v>
      </c>
      <c r="AA429" s="403">
        <f t="shared" ca="1" si="120"/>
        <v>21.538099187063033</v>
      </c>
      <c r="AB429" s="403">
        <f t="shared" ca="1" si="120"/>
        <v>13.007316087972772</v>
      </c>
      <c r="AC429" s="403">
        <f t="shared" ca="1" si="120"/>
        <v>6.5463035976085839</v>
      </c>
      <c r="AD429" s="403">
        <f t="shared" ca="1" si="120"/>
        <v>2.1964571281449929</v>
      </c>
      <c r="AE429" s="403">
        <f t="shared" ca="1" si="120"/>
        <v>0</v>
      </c>
      <c r="AF429" s="403">
        <f t="shared" ca="1" si="120"/>
        <v>0</v>
      </c>
      <c r="AG429" s="403">
        <f t="shared" ca="1" si="120"/>
        <v>0</v>
      </c>
      <c r="AH429" s="403">
        <f t="shared" ca="1" si="120"/>
        <v>0</v>
      </c>
      <c r="AI429" s="403">
        <f t="shared" ca="1" si="120"/>
        <v>0</v>
      </c>
      <c r="AJ429" s="403">
        <f t="shared" ca="1" si="120"/>
        <v>0</v>
      </c>
      <c r="AK429" s="403">
        <f t="shared" ca="1" si="120"/>
        <v>0</v>
      </c>
      <c r="AL429" s="403">
        <f t="shared" ca="1" si="120"/>
        <v>0</v>
      </c>
      <c r="AM429" s="403">
        <f t="shared" ca="1" si="120"/>
        <v>0</v>
      </c>
      <c r="AN429" s="403">
        <f t="shared" ca="1" si="120"/>
        <v>0</v>
      </c>
      <c r="AO429" s="403">
        <f t="shared" ca="1" si="120"/>
        <v>0</v>
      </c>
      <c r="AP429" s="403">
        <f t="shared" ca="1" si="120"/>
        <v>0</v>
      </c>
      <c r="AQ429" s="403">
        <f t="shared" ca="1" si="120"/>
        <v>0</v>
      </c>
      <c r="AR429" s="403">
        <f t="shared" ca="1" si="120"/>
        <v>0</v>
      </c>
      <c r="AS429" s="403">
        <f t="shared" ca="1" si="120"/>
        <v>0</v>
      </c>
      <c r="AT429" s="403">
        <f t="shared" ca="1" si="120"/>
        <v>0</v>
      </c>
      <c r="AU429" s="403">
        <f t="shared" ca="1" si="120"/>
        <v>0</v>
      </c>
      <c r="AV429" s="403">
        <f t="shared" ca="1" si="120"/>
        <v>0</v>
      </c>
      <c r="AW429" s="403">
        <f t="shared" ca="1" si="120"/>
        <v>0</v>
      </c>
      <c r="AX429" s="403">
        <f t="shared" ca="1" si="120"/>
        <v>0</v>
      </c>
    </row>
    <row r="430" spans="1:50" ht="15" customHeight="1">
      <c r="A430" s="347"/>
      <c r="B430" s="507"/>
      <c r="C430" s="333"/>
      <c r="D430" s="1112"/>
      <c r="E430" s="22"/>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c r="AD430" s="22"/>
      <c r="AE430" s="22"/>
      <c r="AF430" s="22"/>
      <c r="AG430" s="22"/>
      <c r="AH430" s="22"/>
      <c r="AI430" s="22"/>
      <c r="AJ430" s="22"/>
      <c r="AK430" s="22"/>
      <c r="AL430" s="22"/>
      <c r="AM430" s="22"/>
      <c r="AN430" s="22"/>
      <c r="AO430" s="22"/>
      <c r="AP430" s="22"/>
      <c r="AQ430" s="22"/>
      <c r="AR430" s="22"/>
      <c r="AS430" s="22"/>
      <c r="AT430" s="22"/>
      <c r="AU430" s="22"/>
      <c r="AV430" s="22"/>
      <c r="AW430" s="22"/>
      <c r="AX430" s="22"/>
    </row>
    <row r="431" spans="1:50" ht="15" customHeight="1">
      <c r="A431" s="347"/>
      <c r="B431" s="507"/>
      <c r="C431" s="1024" t="str">
        <f xml:space="preserve"> Translate!E$226 &amp; ": " &amp; Translate!$E$19</f>
        <v>Tax depreciation charge mining company : Total</v>
      </c>
      <c r="D431" s="1112"/>
      <c r="E431" s="22"/>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c r="AD431" s="22"/>
      <c r="AE431" s="22"/>
      <c r="AF431" s="22"/>
      <c r="AG431" s="22"/>
      <c r="AH431" s="22"/>
      <c r="AI431" s="22"/>
      <c r="AJ431" s="22"/>
      <c r="AK431" s="22"/>
      <c r="AL431" s="22"/>
      <c r="AM431" s="22"/>
      <c r="AN431" s="22"/>
      <c r="AO431" s="22"/>
      <c r="AP431" s="22"/>
      <c r="AQ431" s="22"/>
      <c r="AR431" s="22"/>
      <c r="AS431" s="22"/>
      <c r="AT431" s="22"/>
      <c r="AU431" s="22"/>
      <c r="AV431" s="22"/>
      <c r="AW431" s="22"/>
      <c r="AX431" s="22"/>
    </row>
    <row r="432" spans="1:50" ht="15" customHeight="1">
      <c r="A432" s="347"/>
      <c r="B432" s="507"/>
      <c r="C432" s="333"/>
      <c r="D432" s="1112"/>
      <c r="E432" s="22" t="str">
        <f t="shared" ref="E432:AX432" si="121" xml:space="preserve"> E$415</f>
        <v>Straight-line depreciation charge</v>
      </c>
      <c r="F432" s="22">
        <f t="shared" si="121"/>
        <v>0</v>
      </c>
      <c r="G432" s="22" t="str">
        <f t="shared" si="121"/>
        <v>US$ mn</v>
      </c>
      <c r="H432" s="22">
        <f t="shared" si="121"/>
        <v>0</v>
      </c>
      <c r="I432" s="22">
        <f t="shared" ca="1" si="121"/>
        <v>551.66286052882492</v>
      </c>
      <c r="J432" s="22">
        <f t="shared" si="121"/>
        <v>0</v>
      </c>
      <c r="K432" s="22">
        <f t="shared" ca="1" si="121"/>
        <v>0</v>
      </c>
      <c r="L432" s="22">
        <f t="shared" ca="1" si="121"/>
        <v>0</v>
      </c>
      <c r="M432" s="22">
        <f t="shared" ca="1" si="121"/>
        <v>0</v>
      </c>
      <c r="N432" s="22">
        <f t="shared" ca="1" si="121"/>
        <v>0</v>
      </c>
      <c r="O432" s="22">
        <f t="shared" ca="1" si="121"/>
        <v>64.997398188000005</v>
      </c>
      <c r="P432" s="22">
        <f t="shared" ca="1" si="121"/>
        <v>88.845543537119994</v>
      </c>
      <c r="Q432" s="22">
        <f t="shared" ca="1" si="121"/>
        <v>90.647403407942392</v>
      </c>
      <c r="R432" s="22">
        <f t="shared" ca="1" si="121"/>
        <v>92.485300476181251</v>
      </c>
      <c r="S432" s="22">
        <f t="shared" ca="1" si="121"/>
        <v>94.359955485784866</v>
      </c>
      <c r="T432" s="22">
        <f t="shared" ca="1" si="121"/>
        <v>31.274705407580576</v>
      </c>
      <c r="U432" s="22">
        <f t="shared" ca="1" si="121"/>
        <v>9.3769511304521878</v>
      </c>
      <c r="V432" s="22">
        <f t="shared" ca="1" si="121"/>
        <v>9.5644901530612305</v>
      </c>
      <c r="W432" s="22">
        <f t="shared" ca="1" si="121"/>
        <v>9.7557799561224545</v>
      </c>
      <c r="X432" s="22">
        <f t="shared" ca="1" si="121"/>
        <v>9.9508955552449034</v>
      </c>
      <c r="Y432" s="22">
        <f t="shared" ca="1" si="121"/>
        <v>10.149913466349803</v>
      </c>
      <c r="Z432" s="22">
        <f t="shared" ca="1" si="121"/>
        <v>10.352911735676798</v>
      </c>
      <c r="AA432" s="22">
        <f t="shared" ca="1" si="121"/>
        <v>10.559969970390334</v>
      </c>
      <c r="AB432" s="22">
        <f t="shared" ca="1" si="121"/>
        <v>8.5307830990902609</v>
      </c>
      <c r="AC432" s="22">
        <f t="shared" ca="1" si="121"/>
        <v>6.4610124903641877</v>
      </c>
      <c r="AD432" s="22">
        <f t="shared" ca="1" si="121"/>
        <v>4.349846469463591</v>
      </c>
      <c r="AE432" s="22">
        <f t="shared" ca="1" si="121"/>
        <v>0</v>
      </c>
      <c r="AF432" s="22">
        <f t="shared" ca="1" si="121"/>
        <v>0</v>
      </c>
      <c r="AG432" s="22">
        <f t="shared" ca="1" si="121"/>
        <v>0</v>
      </c>
      <c r="AH432" s="22">
        <f t="shared" ca="1" si="121"/>
        <v>0</v>
      </c>
      <c r="AI432" s="22">
        <f t="shared" ca="1" si="121"/>
        <v>0</v>
      </c>
      <c r="AJ432" s="22">
        <f t="shared" ca="1" si="121"/>
        <v>0</v>
      </c>
      <c r="AK432" s="22">
        <f t="shared" ca="1" si="121"/>
        <v>0</v>
      </c>
      <c r="AL432" s="22">
        <f t="shared" ca="1" si="121"/>
        <v>0</v>
      </c>
      <c r="AM432" s="22">
        <f t="shared" ca="1" si="121"/>
        <v>0</v>
      </c>
      <c r="AN432" s="22">
        <f t="shared" ca="1" si="121"/>
        <v>0</v>
      </c>
      <c r="AO432" s="22">
        <f t="shared" ca="1" si="121"/>
        <v>0</v>
      </c>
      <c r="AP432" s="22">
        <f t="shared" ca="1" si="121"/>
        <v>0</v>
      </c>
      <c r="AQ432" s="22">
        <f t="shared" ca="1" si="121"/>
        <v>0</v>
      </c>
      <c r="AR432" s="22">
        <f t="shared" ca="1" si="121"/>
        <v>0</v>
      </c>
      <c r="AS432" s="22">
        <f t="shared" ca="1" si="121"/>
        <v>0</v>
      </c>
      <c r="AT432" s="22">
        <f t="shared" ca="1" si="121"/>
        <v>0</v>
      </c>
      <c r="AU432" s="22">
        <f t="shared" ca="1" si="121"/>
        <v>0</v>
      </c>
      <c r="AV432" s="22">
        <f t="shared" ca="1" si="121"/>
        <v>0</v>
      </c>
      <c r="AW432" s="22">
        <f t="shared" ca="1" si="121"/>
        <v>0</v>
      </c>
      <c r="AX432" s="22">
        <f t="shared" ca="1" si="121"/>
        <v>0</v>
      </c>
    </row>
    <row r="433" spans="1:50" ht="15" customHeight="1">
      <c r="A433" s="347"/>
      <c r="B433" s="507"/>
      <c r="C433" s="333"/>
      <c r="D433" s="1112"/>
      <c r="E433" s="1024" t="str">
        <f t="shared" ref="E433:AX433" si="122" xml:space="preserve"> E$428</f>
        <v>Final year write-off</v>
      </c>
      <c r="F433" s="1024">
        <f t="shared" si="122"/>
        <v>0</v>
      </c>
      <c r="G433" s="1024" t="str">
        <f t="shared" si="122"/>
        <v>US$ mn</v>
      </c>
      <c r="H433" s="1024">
        <f t="shared" si="122"/>
        <v>0</v>
      </c>
      <c r="I433" s="1024">
        <f t="shared" ca="1" si="122"/>
        <v>2.1964571281449929</v>
      </c>
      <c r="J433" s="1024">
        <f t="shared" si="122"/>
        <v>0</v>
      </c>
      <c r="K433" s="1024">
        <f t="shared" ca="1" si="122"/>
        <v>0</v>
      </c>
      <c r="L433" s="1024">
        <f t="shared" ca="1" si="122"/>
        <v>0</v>
      </c>
      <c r="M433" s="1024">
        <f t="shared" ca="1" si="122"/>
        <v>0</v>
      </c>
      <c r="N433" s="1024">
        <f t="shared" ca="1" si="122"/>
        <v>0</v>
      </c>
      <c r="O433" s="1024">
        <f t="shared" ca="1" si="122"/>
        <v>0</v>
      </c>
      <c r="P433" s="1024">
        <f t="shared" ca="1" si="122"/>
        <v>0</v>
      </c>
      <c r="Q433" s="1024">
        <f t="shared" ca="1" si="122"/>
        <v>0</v>
      </c>
      <c r="R433" s="1024">
        <f t="shared" ca="1" si="122"/>
        <v>0</v>
      </c>
      <c r="S433" s="1024">
        <f t="shared" ca="1" si="122"/>
        <v>0</v>
      </c>
      <c r="T433" s="1024">
        <f t="shared" ca="1" si="122"/>
        <v>0</v>
      </c>
      <c r="U433" s="1024">
        <f t="shared" ca="1" si="122"/>
        <v>0</v>
      </c>
      <c r="V433" s="1024">
        <f t="shared" ca="1" si="122"/>
        <v>0</v>
      </c>
      <c r="W433" s="1024">
        <f t="shared" ca="1" si="122"/>
        <v>0</v>
      </c>
      <c r="X433" s="1024">
        <f t="shared" ca="1" si="122"/>
        <v>0</v>
      </c>
      <c r="Y433" s="1024">
        <f t="shared" ca="1" si="122"/>
        <v>0</v>
      </c>
      <c r="Z433" s="1024">
        <f t="shared" ca="1" si="122"/>
        <v>0</v>
      </c>
      <c r="AA433" s="1024">
        <f t="shared" ca="1" si="122"/>
        <v>0</v>
      </c>
      <c r="AB433" s="1024">
        <f t="shared" ca="1" si="122"/>
        <v>0</v>
      </c>
      <c r="AC433" s="1024">
        <f t="shared" ca="1" si="122"/>
        <v>0</v>
      </c>
      <c r="AD433" s="1024">
        <f t="shared" ca="1" si="122"/>
        <v>0</v>
      </c>
      <c r="AE433" s="1024">
        <f t="shared" ca="1" si="122"/>
        <v>2.1964571281449929</v>
      </c>
      <c r="AF433" s="1024">
        <f t="shared" ca="1" si="122"/>
        <v>0</v>
      </c>
      <c r="AG433" s="1024">
        <f t="shared" ca="1" si="122"/>
        <v>0</v>
      </c>
      <c r="AH433" s="1024">
        <f t="shared" ca="1" si="122"/>
        <v>0</v>
      </c>
      <c r="AI433" s="1024">
        <f t="shared" ca="1" si="122"/>
        <v>0</v>
      </c>
      <c r="AJ433" s="1024">
        <f t="shared" ca="1" si="122"/>
        <v>0</v>
      </c>
      <c r="AK433" s="1024">
        <f t="shared" ca="1" si="122"/>
        <v>0</v>
      </c>
      <c r="AL433" s="1024">
        <f t="shared" ca="1" si="122"/>
        <v>0</v>
      </c>
      <c r="AM433" s="1024">
        <f t="shared" ca="1" si="122"/>
        <v>0</v>
      </c>
      <c r="AN433" s="1024">
        <f t="shared" ca="1" si="122"/>
        <v>0</v>
      </c>
      <c r="AO433" s="1024">
        <f t="shared" ca="1" si="122"/>
        <v>0</v>
      </c>
      <c r="AP433" s="1024">
        <f t="shared" ca="1" si="122"/>
        <v>0</v>
      </c>
      <c r="AQ433" s="1024">
        <f t="shared" ca="1" si="122"/>
        <v>0</v>
      </c>
      <c r="AR433" s="1024">
        <f t="shared" ca="1" si="122"/>
        <v>0</v>
      </c>
      <c r="AS433" s="1024">
        <f t="shared" ca="1" si="122"/>
        <v>0</v>
      </c>
      <c r="AT433" s="1024">
        <f t="shared" ca="1" si="122"/>
        <v>0</v>
      </c>
      <c r="AU433" s="1024">
        <f t="shared" ca="1" si="122"/>
        <v>0</v>
      </c>
      <c r="AV433" s="1024">
        <f t="shared" ca="1" si="122"/>
        <v>0</v>
      </c>
      <c r="AW433" s="1024">
        <f t="shared" ca="1" si="122"/>
        <v>0</v>
      </c>
      <c r="AX433" s="1024">
        <f t="shared" ca="1" si="122"/>
        <v>0</v>
      </c>
    </row>
    <row r="434" spans="1:50" s="556" customFormat="1" ht="15" customHeight="1">
      <c r="A434" s="569"/>
      <c r="B434" s="697"/>
      <c r="C434" s="554"/>
      <c r="D434" s="1124"/>
      <c r="E434" s="1108" t="str">
        <f>Translate!$E$226</f>
        <v xml:space="preserve">Tax depreciation charge mining company </v>
      </c>
      <c r="F434" s="1108"/>
      <c r="G434" s="1108" t="str">
        <f xml:space="preserve"> Translate!E$10</f>
        <v>US$ mn</v>
      </c>
      <c r="H434" s="1108"/>
      <c r="I434" s="1108">
        <f ca="1" xml:space="preserve"> SUM(K434:AX434)</f>
        <v>553.85931765696989</v>
      </c>
      <c r="J434" s="1108"/>
      <c r="K434" s="1108">
        <f t="shared" ref="K434:AX434" ca="1" si="123">SUM(K432:K433)</f>
        <v>0</v>
      </c>
      <c r="L434" s="1108">
        <f t="shared" ca="1" si="123"/>
        <v>0</v>
      </c>
      <c r="M434" s="1108">
        <f t="shared" ca="1" si="123"/>
        <v>0</v>
      </c>
      <c r="N434" s="1108">
        <f t="shared" ca="1" si="123"/>
        <v>0</v>
      </c>
      <c r="O434" s="1108">
        <f t="shared" ca="1" si="123"/>
        <v>64.997398188000005</v>
      </c>
      <c r="P434" s="1108">
        <f t="shared" ca="1" si="123"/>
        <v>88.845543537119994</v>
      </c>
      <c r="Q434" s="1108">
        <f t="shared" ca="1" si="123"/>
        <v>90.647403407942392</v>
      </c>
      <c r="R434" s="1108">
        <f t="shared" ca="1" si="123"/>
        <v>92.485300476181251</v>
      </c>
      <c r="S434" s="1108">
        <f t="shared" ca="1" si="123"/>
        <v>94.359955485784866</v>
      </c>
      <c r="T434" s="1108">
        <f t="shared" ca="1" si="123"/>
        <v>31.274705407580576</v>
      </c>
      <c r="U434" s="1108">
        <f t="shared" ca="1" si="123"/>
        <v>9.3769511304521878</v>
      </c>
      <c r="V434" s="1108">
        <f t="shared" ca="1" si="123"/>
        <v>9.5644901530612305</v>
      </c>
      <c r="W434" s="1108">
        <f t="shared" ca="1" si="123"/>
        <v>9.7557799561224545</v>
      </c>
      <c r="X434" s="1108">
        <f t="shared" ca="1" si="123"/>
        <v>9.9508955552449034</v>
      </c>
      <c r="Y434" s="1108">
        <f t="shared" ca="1" si="123"/>
        <v>10.149913466349803</v>
      </c>
      <c r="Z434" s="1108">
        <f t="shared" ca="1" si="123"/>
        <v>10.352911735676798</v>
      </c>
      <c r="AA434" s="1108">
        <f t="shared" ca="1" si="123"/>
        <v>10.559969970390334</v>
      </c>
      <c r="AB434" s="1108">
        <f t="shared" ca="1" si="123"/>
        <v>8.5307830990902609</v>
      </c>
      <c r="AC434" s="1108">
        <f t="shared" ca="1" si="123"/>
        <v>6.4610124903641877</v>
      </c>
      <c r="AD434" s="1108">
        <f t="shared" ca="1" si="123"/>
        <v>4.349846469463591</v>
      </c>
      <c r="AE434" s="1108">
        <f t="shared" ca="1" si="123"/>
        <v>2.1964571281449929</v>
      </c>
      <c r="AF434" s="1108">
        <f t="shared" ca="1" si="123"/>
        <v>0</v>
      </c>
      <c r="AG434" s="1108">
        <f t="shared" ca="1" si="123"/>
        <v>0</v>
      </c>
      <c r="AH434" s="1108">
        <f t="shared" ca="1" si="123"/>
        <v>0</v>
      </c>
      <c r="AI434" s="1108">
        <f t="shared" ca="1" si="123"/>
        <v>0</v>
      </c>
      <c r="AJ434" s="1108">
        <f t="shared" ca="1" si="123"/>
        <v>0</v>
      </c>
      <c r="AK434" s="1108">
        <f t="shared" ca="1" si="123"/>
        <v>0</v>
      </c>
      <c r="AL434" s="1108">
        <f t="shared" ca="1" si="123"/>
        <v>0</v>
      </c>
      <c r="AM434" s="1108">
        <f t="shared" ca="1" si="123"/>
        <v>0</v>
      </c>
      <c r="AN434" s="1108">
        <f t="shared" ca="1" si="123"/>
        <v>0</v>
      </c>
      <c r="AO434" s="1108">
        <f t="shared" ca="1" si="123"/>
        <v>0</v>
      </c>
      <c r="AP434" s="1108">
        <f t="shared" ca="1" si="123"/>
        <v>0</v>
      </c>
      <c r="AQ434" s="1108">
        <f t="shared" ca="1" si="123"/>
        <v>0</v>
      </c>
      <c r="AR434" s="1108">
        <f t="shared" ca="1" si="123"/>
        <v>0</v>
      </c>
      <c r="AS434" s="1108">
        <f t="shared" ca="1" si="123"/>
        <v>0</v>
      </c>
      <c r="AT434" s="1108">
        <f t="shared" ca="1" si="123"/>
        <v>0</v>
      </c>
      <c r="AU434" s="1108">
        <f t="shared" ca="1" si="123"/>
        <v>0</v>
      </c>
      <c r="AV434" s="1108">
        <f t="shared" ca="1" si="123"/>
        <v>0</v>
      </c>
      <c r="AW434" s="1108">
        <f t="shared" ca="1" si="123"/>
        <v>0</v>
      </c>
      <c r="AX434" s="1108">
        <f t="shared" ca="1" si="123"/>
        <v>0</v>
      </c>
    </row>
    <row r="435" spans="1:50" ht="15" customHeight="1">
      <c r="A435" s="347"/>
      <c r="B435" s="507"/>
      <c r="C435" s="333"/>
      <c r="D435" s="1112"/>
      <c r="E435" s="1024"/>
      <c r="F435" s="1024"/>
      <c r="G435" s="1024"/>
      <c r="H435" s="1024"/>
      <c r="I435" s="1024"/>
      <c r="J435" s="1024"/>
      <c r="K435" s="1024"/>
      <c r="L435" s="1024"/>
      <c r="M435" s="1024"/>
      <c r="N435" s="1024"/>
      <c r="O435" s="1024"/>
      <c r="P435" s="1024"/>
      <c r="Q435" s="1024"/>
      <c r="R435" s="1024"/>
      <c r="S435" s="1024"/>
      <c r="T435" s="1024"/>
      <c r="U435" s="1024"/>
      <c r="V435" s="1024"/>
      <c r="W435" s="1024"/>
      <c r="X435" s="1024"/>
      <c r="Y435" s="1024"/>
      <c r="Z435" s="1024"/>
      <c r="AA435" s="1024"/>
      <c r="AB435" s="1024"/>
      <c r="AC435" s="1024"/>
      <c r="AD435" s="1024"/>
      <c r="AE435" s="1024"/>
      <c r="AF435" s="1024"/>
      <c r="AG435" s="1024"/>
      <c r="AH435" s="1024"/>
      <c r="AI435" s="1024"/>
      <c r="AJ435" s="1024"/>
      <c r="AK435" s="1024"/>
      <c r="AL435" s="1024"/>
      <c r="AM435" s="1024"/>
      <c r="AN435" s="1024"/>
      <c r="AO435" s="1024"/>
      <c r="AP435" s="1024"/>
      <c r="AQ435" s="1024"/>
      <c r="AR435" s="1024"/>
      <c r="AS435" s="1024"/>
      <c r="AT435" s="1024"/>
      <c r="AU435" s="1024"/>
      <c r="AV435" s="1024"/>
      <c r="AW435" s="1024"/>
      <c r="AX435" s="1024"/>
    </row>
    <row r="436" spans="1:50" ht="15" customHeight="1">
      <c r="A436" s="347"/>
      <c r="B436" s="507"/>
      <c r="C436" s="333"/>
      <c r="D436" s="1112"/>
      <c r="E436" s="1024" t="str">
        <f>E$399</f>
        <v>Capitalized costs: Mining company: Total</v>
      </c>
      <c r="F436" s="1024">
        <f ca="1">F$399</f>
        <v>553.85931765696978</v>
      </c>
      <c r="G436" s="1024" t="str">
        <f>G$399</f>
        <v>US$ mn</v>
      </c>
      <c r="H436" s="1024"/>
      <c r="I436" s="1024"/>
      <c r="J436" s="1024"/>
      <c r="K436" s="1024"/>
      <c r="L436" s="1024"/>
      <c r="M436" s="1024"/>
      <c r="N436" s="1024"/>
      <c r="O436" s="1024"/>
      <c r="P436" s="1024"/>
      <c r="Q436" s="1024"/>
      <c r="R436" s="1024"/>
      <c r="S436" s="1024"/>
      <c r="T436" s="1024"/>
      <c r="U436" s="1024"/>
      <c r="V436" s="1024"/>
      <c r="W436" s="1024"/>
      <c r="X436" s="1024"/>
      <c r="Y436" s="1024"/>
      <c r="Z436" s="1024"/>
      <c r="AA436" s="1024"/>
      <c r="AB436" s="1024"/>
      <c r="AC436" s="1024"/>
      <c r="AD436" s="1024"/>
      <c r="AE436" s="1024"/>
      <c r="AF436" s="1024"/>
      <c r="AG436" s="1024"/>
      <c r="AH436" s="1024"/>
      <c r="AI436" s="1024"/>
      <c r="AJ436" s="1024"/>
      <c r="AK436" s="1024"/>
      <c r="AL436" s="1024"/>
      <c r="AM436" s="1024"/>
      <c r="AN436" s="1024"/>
      <c r="AO436" s="1024"/>
      <c r="AP436" s="1024"/>
      <c r="AQ436" s="1024"/>
      <c r="AR436" s="1024"/>
      <c r="AS436" s="1024"/>
      <c r="AT436" s="1024"/>
      <c r="AU436" s="1024"/>
      <c r="AV436" s="1024"/>
      <c r="AW436" s="1024"/>
      <c r="AX436" s="1024"/>
    </row>
    <row r="437" spans="1:50" ht="15" customHeight="1">
      <c r="A437" s="347"/>
      <c r="B437" s="507"/>
      <c r="C437" s="333"/>
      <c r="D437" s="1112"/>
      <c r="E437" s="1024" t="str">
        <f xml:space="preserve"> E434 &amp; ": " &amp; Translate!$E$19</f>
        <v>Tax depreciation charge mining company : Total</v>
      </c>
      <c r="F437" s="1024">
        <f ca="1" xml:space="preserve"> SUM(K434:AX434)</f>
        <v>553.85931765696989</v>
      </c>
      <c r="G437" s="1024" t="str">
        <f xml:space="preserve"> G432</f>
        <v>US$ mn</v>
      </c>
      <c r="H437" s="1024"/>
      <c r="I437" s="1024"/>
      <c r="J437" s="1024"/>
      <c r="K437" s="1024"/>
      <c r="L437" s="1024"/>
      <c r="M437" s="1024"/>
      <c r="N437" s="1024"/>
      <c r="O437" s="1024"/>
      <c r="P437" s="1024"/>
      <c r="Q437" s="1024"/>
      <c r="R437" s="1024"/>
      <c r="S437" s="1024"/>
      <c r="T437" s="1024"/>
      <c r="U437" s="1024"/>
      <c r="V437" s="1024"/>
      <c r="W437" s="1024"/>
      <c r="X437" s="1024"/>
      <c r="Y437" s="1024"/>
      <c r="Z437" s="1024"/>
      <c r="AA437" s="1024"/>
      <c r="AB437" s="1024"/>
      <c r="AC437" s="1024"/>
      <c r="AD437" s="1024"/>
      <c r="AE437" s="1024"/>
      <c r="AF437" s="1024"/>
      <c r="AG437" s="1024"/>
      <c r="AH437" s="1024"/>
      <c r="AI437" s="1024"/>
      <c r="AJ437" s="1024"/>
      <c r="AK437" s="1024"/>
      <c r="AL437" s="1024"/>
      <c r="AM437" s="1024"/>
      <c r="AN437" s="1024"/>
      <c r="AO437" s="1024"/>
      <c r="AP437" s="1024"/>
      <c r="AQ437" s="1024"/>
      <c r="AR437" s="1024"/>
      <c r="AS437" s="1024"/>
      <c r="AT437" s="1024"/>
      <c r="AU437" s="1024"/>
      <c r="AV437" s="1024"/>
      <c r="AW437" s="1024"/>
      <c r="AX437" s="1024"/>
    </row>
    <row r="438" spans="1:50" ht="15" customHeight="1">
      <c r="A438" s="347"/>
      <c r="B438" s="507"/>
      <c r="C438" s="333"/>
      <c r="D438" s="1112"/>
      <c r="E438" s="1024" t="str">
        <f xml:space="preserve"> Translate!$E$444 &amp; ": " &amp; Translate!$E$227</f>
        <v>Check: depreciation</v>
      </c>
      <c r="F438" s="414">
        <f ca="1" xml:space="preserve"> IF( ABS( F436 - F437 ) &gt; CHK_TOL, 1, 0)</f>
        <v>0</v>
      </c>
      <c r="G438" s="1024" t="str">
        <f xml:space="preserve"> Translate!E$444</f>
        <v>Check</v>
      </c>
      <c r="H438" s="1024"/>
      <c r="I438" s="1024"/>
      <c r="J438" s="1024"/>
      <c r="K438" s="1024"/>
      <c r="L438" s="1024"/>
      <c r="M438" s="1024"/>
      <c r="N438" s="1024"/>
      <c r="O438" s="1024"/>
      <c r="P438" s="1024"/>
      <c r="Q438" s="1024"/>
      <c r="R438" s="1024"/>
      <c r="S438" s="1024"/>
      <c r="T438" s="1024"/>
      <c r="U438" s="1024"/>
      <c r="V438" s="1024"/>
      <c r="W438" s="1024"/>
      <c r="X438" s="1024"/>
      <c r="Y438" s="1024"/>
      <c r="Z438" s="1024"/>
      <c r="AA438" s="1024"/>
      <c r="AB438" s="1024"/>
      <c r="AC438" s="1024"/>
      <c r="AD438" s="1024"/>
      <c r="AE438" s="1024"/>
      <c r="AF438" s="1024"/>
      <c r="AG438" s="1024"/>
      <c r="AH438" s="1024"/>
      <c r="AI438" s="1024"/>
      <c r="AJ438" s="1024"/>
      <c r="AK438" s="1024"/>
      <c r="AL438" s="1024"/>
      <c r="AM438" s="1024"/>
      <c r="AN438" s="1024"/>
      <c r="AO438" s="1024"/>
      <c r="AP438" s="1024"/>
      <c r="AQ438" s="1024"/>
      <c r="AR438" s="1024"/>
      <c r="AS438" s="1024"/>
      <c r="AT438" s="1024"/>
      <c r="AU438" s="1024"/>
      <c r="AV438" s="1024"/>
      <c r="AW438" s="1024"/>
      <c r="AX438" s="1024"/>
    </row>
    <row r="439" spans="1:50" ht="15" customHeight="1">
      <c r="A439" s="347"/>
      <c r="B439" s="507"/>
      <c r="C439" s="333"/>
      <c r="D439" s="1112"/>
      <c r="E439" s="1024"/>
      <c r="F439" s="1048"/>
      <c r="G439" s="1048"/>
      <c r="H439" s="1048"/>
      <c r="I439" s="1048"/>
      <c r="J439" s="1048"/>
      <c r="K439" s="1048"/>
      <c r="L439" s="1048"/>
      <c r="M439" s="1048"/>
      <c r="N439" s="1048"/>
      <c r="O439" s="1048"/>
      <c r="P439" s="1048"/>
      <c r="Q439" s="1048"/>
      <c r="R439" s="1048"/>
      <c r="S439" s="1048"/>
      <c r="T439" s="1048"/>
      <c r="U439" s="1048"/>
      <c r="V439" s="1048"/>
      <c r="W439" s="1048"/>
      <c r="X439" s="1048"/>
      <c r="Y439" s="1048"/>
      <c r="Z439" s="1048"/>
      <c r="AA439" s="1048"/>
      <c r="AB439" s="1048"/>
      <c r="AC439" s="1048"/>
      <c r="AD439" s="1048"/>
      <c r="AE439" s="1048"/>
      <c r="AF439" s="1048"/>
      <c r="AG439" s="1048"/>
      <c r="AH439" s="1048"/>
      <c r="AI439" s="1048"/>
      <c r="AJ439" s="1048"/>
      <c r="AK439" s="1048"/>
      <c r="AL439" s="1048"/>
      <c r="AM439" s="1048"/>
      <c r="AN439" s="1048"/>
      <c r="AO439" s="1048"/>
      <c r="AP439" s="1048"/>
      <c r="AQ439" s="1048"/>
      <c r="AR439" s="1048"/>
      <c r="AS439" s="1048"/>
      <c r="AT439" s="1048"/>
      <c r="AU439" s="1048"/>
      <c r="AV439" s="1048"/>
      <c r="AW439" s="1048"/>
      <c r="AX439" s="1048"/>
    </row>
    <row r="440" spans="1:50" ht="15" customHeight="1">
      <c r="A440" s="1049"/>
      <c r="B440" s="507"/>
      <c r="C440" s="333"/>
      <c r="D440" s="1112"/>
      <c r="E440" s="1048"/>
      <c r="F440" s="1048"/>
      <c r="G440" s="346"/>
      <c r="H440" s="346"/>
      <c r="I440" s="1112"/>
      <c r="J440" s="1059"/>
      <c r="K440" s="1048"/>
      <c r="L440" s="1048"/>
      <c r="M440" s="1048"/>
      <c r="N440" s="1048"/>
      <c r="O440" s="1048"/>
      <c r="P440" s="1048"/>
      <c r="Q440" s="1048"/>
      <c r="R440" s="1048"/>
      <c r="S440" s="1048"/>
      <c r="T440" s="1048"/>
      <c r="U440" s="1048"/>
      <c r="V440" s="1048"/>
      <c r="W440" s="1048"/>
      <c r="X440" s="1048"/>
      <c r="Y440" s="1048"/>
      <c r="Z440" s="1048"/>
      <c r="AA440" s="1048"/>
      <c r="AB440" s="1048"/>
      <c r="AC440" s="1048"/>
      <c r="AD440" s="1048"/>
      <c r="AE440" s="1048"/>
      <c r="AF440" s="1048"/>
      <c r="AG440" s="1048"/>
      <c r="AH440" s="1048"/>
      <c r="AI440" s="1048"/>
      <c r="AJ440" s="1048"/>
      <c r="AK440" s="1048"/>
      <c r="AL440" s="1048"/>
      <c r="AM440" s="1048"/>
      <c r="AN440" s="1048"/>
      <c r="AO440" s="1048"/>
      <c r="AP440" s="1048"/>
      <c r="AQ440" s="1048"/>
      <c r="AR440" s="1048"/>
      <c r="AS440" s="1048"/>
      <c r="AT440" s="1048"/>
      <c r="AU440" s="1048"/>
      <c r="AV440" s="1048"/>
      <c r="AW440" s="1048"/>
      <c r="AX440" s="1048"/>
    </row>
    <row r="441" spans="1:50" ht="15" customHeight="1">
      <c r="A441" s="351" t="str">
        <f>Translate!$E$30</f>
        <v>Corporate income tax</v>
      </c>
      <c r="B441" s="686"/>
      <c r="C441" s="352"/>
      <c r="D441" s="353"/>
      <c r="E441" s="351"/>
      <c r="F441" s="351"/>
      <c r="G441" s="351"/>
      <c r="H441" s="351"/>
      <c r="I441" s="351"/>
      <c r="J441" s="351"/>
      <c r="K441" s="351"/>
      <c r="L441" s="351"/>
      <c r="M441" s="351"/>
      <c r="N441" s="351"/>
      <c r="O441" s="351"/>
      <c r="P441" s="351"/>
      <c r="Q441" s="351"/>
      <c r="R441" s="351"/>
      <c r="S441" s="351"/>
      <c r="T441" s="351"/>
      <c r="U441" s="351"/>
      <c r="V441" s="351"/>
      <c r="W441" s="351"/>
      <c r="X441" s="351"/>
      <c r="Y441" s="351"/>
      <c r="Z441" s="351"/>
      <c r="AA441" s="351"/>
      <c r="AB441" s="351"/>
      <c r="AC441" s="351"/>
      <c r="AD441" s="351"/>
      <c r="AE441" s="351"/>
      <c r="AF441" s="351"/>
      <c r="AG441" s="351"/>
      <c r="AH441" s="351"/>
      <c r="AI441" s="351"/>
      <c r="AJ441" s="351"/>
      <c r="AK441" s="351"/>
      <c r="AL441" s="351"/>
      <c r="AM441" s="351"/>
      <c r="AN441" s="351"/>
      <c r="AO441" s="351"/>
      <c r="AP441" s="351"/>
      <c r="AQ441" s="351"/>
      <c r="AR441" s="351"/>
      <c r="AS441" s="351"/>
      <c r="AT441" s="351"/>
      <c r="AU441" s="351"/>
      <c r="AV441" s="351"/>
      <c r="AW441" s="351"/>
      <c r="AX441" s="351"/>
    </row>
    <row r="442" spans="1:50" ht="15" customHeight="1">
      <c r="A442" s="347"/>
      <c r="B442" s="507"/>
      <c r="C442" s="333"/>
      <c r="D442" s="1112"/>
      <c r="E442" s="427"/>
      <c r="F442" s="427"/>
      <c r="G442" s="346"/>
      <c r="H442" s="346"/>
      <c r="I442" s="1112"/>
      <c r="J442" s="1059"/>
      <c r="K442" s="1048"/>
      <c r="L442" s="1048"/>
      <c r="M442" s="1048"/>
      <c r="N442" s="1048"/>
      <c r="O442" s="1048"/>
      <c r="P442" s="1048"/>
      <c r="Q442" s="1048"/>
      <c r="R442" s="1048"/>
      <c r="S442" s="1048"/>
      <c r="T442" s="1048"/>
      <c r="U442" s="1048"/>
      <c r="V442" s="1048"/>
      <c r="W442" s="1048"/>
      <c r="X442" s="1048"/>
      <c r="Y442" s="1048"/>
      <c r="Z442" s="1048"/>
      <c r="AA442" s="1048"/>
      <c r="AB442" s="1048"/>
      <c r="AC442" s="1048"/>
      <c r="AD442" s="1048"/>
      <c r="AE442" s="1048"/>
      <c r="AF442" s="1048"/>
      <c r="AG442" s="1048"/>
      <c r="AH442" s="1048"/>
      <c r="AI442" s="1048"/>
      <c r="AJ442" s="1048"/>
      <c r="AK442" s="1048"/>
      <c r="AL442" s="1048"/>
      <c r="AM442" s="1048"/>
      <c r="AN442" s="1048"/>
      <c r="AO442" s="1048"/>
      <c r="AP442" s="1048"/>
      <c r="AQ442" s="1048"/>
      <c r="AR442" s="1048"/>
      <c r="AS442" s="1048"/>
      <c r="AT442" s="1048"/>
      <c r="AU442" s="1048"/>
      <c r="AV442" s="1048"/>
      <c r="AW442" s="1048"/>
      <c r="AX442" s="1048"/>
    </row>
    <row r="443" spans="1:50" ht="15" customHeight="1">
      <c r="A443" s="397"/>
      <c r="B443" s="508" t="str">
        <f>Translate!$E$77</f>
        <v>Revenues for tax</v>
      </c>
      <c r="C443" s="372"/>
      <c r="D443" s="1102"/>
      <c r="E443" s="375"/>
      <c r="F443" s="375"/>
      <c r="G443" s="22"/>
      <c r="H443" s="22"/>
      <c r="I443" s="1024"/>
      <c r="J443" s="1024"/>
      <c r="K443" s="1024"/>
      <c r="L443" s="1024"/>
      <c r="M443" s="1024"/>
      <c r="N443" s="1024"/>
      <c r="O443" s="1024"/>
      <c r="P443" s="1024"/>
      <c r="Q443" s="1024"/>
      <c r="R443" s="1024"/>
      <c r="S443" s="1024"/>
      <c r="T443" s="1024"/>
      <c r="U443" s="1024"/>
      <c r="V443" s="1024"/>
      <c r="W443" s="1024"/>
      <c r="X443" s="1024"/>
      <c r="Y443" s="1024"/>
      <c r="Z443" s="1024"/>
      <c r="AA443" s="1024"/>
      <c r="AB443" s="1024"/>
      <c r="AC443" s="1024"/>
      <c r="AD443" s="1024"/>
      <c r="AE443" s="1024"/>
      <c r="AF443" s="1024"/>
      <c r="AG443" s="1024"/>
      <c r="AH443" s="1024"/>
      <c r="AI443" s="1024"/>
      <c r="AJ443" s="1024"/>
      <c r="AK443" s="1024"/>
      <c r="AL443" s="1024"/>
      <c r="AM443" s="1024"/>
      <c r="AN443" s="1024"/>
      <c r="AO443" s="1024"/>
      <c r="AP443" s="1024"/>
      <c r="AQ443" s="1024"/>
      <c r="AR443" s="1024"/>
      <c r="AS443" s="1024"/>
      <c r="AT443" s="1024"/>
      <c r="AU443" s="1024"/>
      <c r="AV443" s="1024"/>
      <c r="AW443" s="1024"/>
      <c r="AX443" s="1024"/>
    </row>
    <row r="444" spans="1:50" ht="15" customHeight="1">
      <c r="A444" s="397"/>
      <c r="B444" s="508"/>
      <c r="C444" s="372"/>
      <c r="D444" s="1102"/>
      <c r="E444" s="366" t="str">
        <f xml:space="preserve"> ProjectCashflows!E$236</f>
        <v>Sales revenues: net, after ELT</v>
      </c>
      <c r="F444" s="366">
        <f xml:space="preserve"> ProjectCashflows!F$236</f>
        <v>0</v>
      </c>
      <c r="G444" s="366" t="str">
        <f xml:space="preserve"> ProjectCashflows!G$236</f>
        <v>US$ mn</v>
      </c>
      <c r="H444" s="366">
        <f xml:space="preserve"> ProjectCashflows!H$236</f>
        <v>0</v>
      </c>
      <c r="I444" s="366">
        <f ca="1" xml:space="preserve"> ProjectCashflows!I$236</f>
        <v>3733.2780191354932</v>
      </c>
      <c r="J444" s="366">
        <f xml:space="preserve"> ProjectCashflows!J$236</f>
        <v>0</v>
      </c>
      <c r="K444" s="366">
        <f ca="1" xml:space="preserve"> ProjectCashflows!K$236</f>
        <v>0</v>
      </c>
      <c r="L444" s="366">
        <f ca="1" xml:space="preserve"> ProjectCashflows!L$236</f>
        <v>0</v>
      </c>
      <c r="M444" s="366">
        <f ca="1" xml:space="preserve"> ProjectCashflows!M$236</f>
        <v>0</v>
      </c>
      <c r="N444" s="366">
        <f ca="1" xml:space="preserve"> ProjectCashflows!N$236</f>
        <v>0</v>
      </c>
      <c r="O444" s="366">
        <f ca="1" xml:space="preserve"> ProjectCashflows!O$236</f>
        <v>15.965874359999999</v>
      </c>
      <c r="P444" s="366">
        <f ca="1" xml:space="preserve"> ProjectCashflows!P$236</f>
        <v>122.138938854</v>
      </c>
      <c r="Q444" s="366">
        <f ca="1" xml:space="preserve"> ProjectCashflows!Q$236</f>
        <v>249.16343526216002</v>
      </c>
      <c r="R444" s="366">
        <f ca="1" xml:space="preserve"> ProjectCashflows!R$236</f>
        <v>254.14670396740317</v>
      </c>
      <c r="S444" s="366">
        <f ca="1" xml:space="preserve"> ProjectCashflows!S$236</f>
        <v>259.22963804675129</v>
      </c>
      <c r="T444" s="366">
        <f ca="1" xml:space="preserve"> ProjectCashflows!T$236</f>
        <v>264.41423080768635</v>
      </c>
      <c r="U444" s="366">
        <f ca="1" xml:space="preserve"> ProjectCashflows!U$236</f>
        <v>269.70251542384005</v>
      </c>
      <c r="V444" s="366">
        <f ca="1" xml:space="preserve"> ProjectCashflows!V$236</f>
        <v>275.09656573231683</v>
      </c>
      <c r="W444" s="366">
        <f ca="1" xml:space="preserve"> ProjectCashflows!W$236</f>
        <v>280.59849704696319</v>
      </c>
      <c r="X444" s="366">
        <f ca="1" xml:space="preserve"> ProjectCashflows!X$236</f>
        <v>286.21046698790241</v>
      </c>
      <c r="Y444" s="366">
        <f ca="1" xml:space="preserve"> ProjectCashflows!Y$236</f>
        <v>291.93467632766055</v>
      </c>
      <c r="Z444" s="366">
        <f ca="1" xml:space="preserve"> ProjectCashflows!Z$236</f>
        <v>297.77336985421374</v>
      </c>
      <c r="AA444" s="366">
        <f ca="1" xml:space="preserve"> ProjectCashflows!AA$236</f>
        <v>253.1073643760817</v>
      </c>
      <c r="AB444" s="366">
        <f ca="1" xml:space="preserve"> ProjectCashflows!AB$236</f>
        <v>206.53560933088266</v>
      </c>
      <c r="AC444" s="366">
        <f ca="1" xml:space="preserve"> ProjectCashflows!AC$236</f>
        <v>157.99974113812524</v>
      </c>
      <c r="AD444" s="366">
        <f ca="1" xml:space="preserve"> ProjectCashflows!AD$236</f>
        <v>139.6717711661027</v>
      </c>
      <c r="AE444" s="366">
        <f ca="1" xml:space="preserve"> ProjectCashflows!AE$236</f>
        <v>109.58862045340366</v>
      </c>
      <c r="AF444" s="366">
        <f ca="1" xml:space="preserve"> ProjectCashflows!AF$236</f>
        <v>0</v>
      </c>
      <c r="AG444" s="366">
        <f ca="1" xml:space="preserve"> ProjectCashflows!AG$236</f>
        <v>0</v>
      </c>
      <c r="AH444" s="366">
        <f ca="1" xml:space="preserve"> ProjectCashflows!AH$236</f>
        <v>0</v>
      </c>
      <c r="AI444" s="366">
        <f ca="1" xml:space="preserve"> ProjectCashflows!AI$236</f>
        <v>0</v>
      </c>
      <c r="AJ444" s="366">
        <f ca="1" xml:space="preserve"> ProjectCashflows!AJ$236</f>
        <v>0</v>
      </c>
      <c r="AK444" s="366">
        <f ca="1" xml:space="preserve"> ProjectCashflows!AK$236</f>
        <v>0</v>
      </c>
      <c r="AL444" s="366">
        <f ca="1" xml:space="preserve"> ProjectCashflows!AL$236</f>
        <v>0</v>
      </c>
      <c r="AM444" s="366">
        <f ca="1" xml:space="preserve"> ProjectCashflows!AM$236</f>
        <v>0</v>
      </c>
      <c r="AN444" s="366">
        <f ca="1" xml:space="preserve"> ProjectCashflows!AN$236</f>
        <v>0</v>
      </c>
      <c r="AO444" s="366">
        <f ca="1" xml:space="preserve"> ProjectCashflows!AO$236</f>
        <v>0</v>
      </c>
      <c r="AP444" s="366">
        <f ca="1" xml:space="preserve"> ProjectCashflows!AP$236</f>
        <v>0</v>
      </c>
      <c r="AQ444" s="366">
        <f ca="1" xml:space="preserve"> ProjectCashflows!AQ$236</f>
        <v>0</v>
      </c>
      <c r="AR444" s="366">
        <f ca="1" xml:space="preserve"> ProjectCashflows!AR$236</f>
        <v>0</v>
      </c>
      <c r="AS444" s="366">
        <f ca="1" xml:space="preserve"> ProjectCashflows!AS$236</f>
        <v>0</v>
      </c>
      <c r="AT444" s="366">
        <f ca="1" xml:space="preserve"> ProjectCashflows!AT$236</f>
        <v>0</v>
      </c>
      <c r="AU444" s="366">
        <f ca="1" xml:space="preserve"> ProjectCashflows!AU$236</f>
        <v>0</v>
      </c>
      <c r="AV444" s="366">
        <f ca="1" xml:space="preserve"> ProjectCashflows!AV$236</f>
        <v>0</v>
      </c>
      <c r="AW444" s="366">
        <f ca="1" xml:space="preserve"> ProjectCashflows!AW$236</f>
        <v>0</v>
      </c>
      <c r="AX444" s="366">
        <f ca="1" xml:space="preserve"> ProjectCashflows!AX$236</f>
        <v>0</v>
      </c>
    </row>
    <row r="445" spans="1:50" ht="15" customHeight="1">
      <c r="A445" s="397"/>
      <c r="B445" s="508"/>
      <c r="C445" s="372"/>
      <c r="D445" s="1102"/>
      <c r="E445" s="1024"/>
      <c r="F445" s="1024"/>
      <c r="G445" s="1024"/>
      <c r="H445" s="1024"/>
      <c r="I445" s="1024"/>
      <c r="J445" s="1024"/>
      <c r="K445" s="1024"/>
      <c r="L445" s="1024"/>
      <c r="M445" s="1024"/>
      <c r="N445" s="1024"/>
      <c r="O445" s="1024"/>
      <c r="P445" s="1024"/>
      <c r="Q445" s="1024"/>
      <c r="R445" s="1024"/>
      <c r="S445" s="1024"/>
      <c r="T445" s="1024"/>
      <c r="U445" s="1024"/>
      <c r="V445" s="1024"/>
      <c r="W445" s="1024"/>
      <c r="X445" s="1024"/>
      <c r="Y445" s="1024"/>
      <c r="Z445" s="1024"/>
      <c r="AA445" s="1024"/>
      <c r="AB445" s="1024"/>
      <c r="AC445" s="1024"/>
      <c r="AD445" s="1024"/>
      <c r="AE445" s="1024"/>
      <c r="AF445" s="1024"/>
      <c r="AG445" s="1024"/>
      <c r="AH445" s="1024"/>
      <c r="AI445" s="1024"/>
      <c r="AJ445" s="1024"/>
      <c r="AK445" s="1024"/>
      <c r="AL445" s="1024"/>
      <c r="AM445" s="1024"/>
      <c r="AN445" s="1024"/>
      <c r="AO445" s="1024"/>
      <c r="AP445" s="1024"/>
      <c r="AQ445" s="1024"/>
      <c r="AR445" s="1024"/>
      <c r="AS445" s="1024"/>
      <c r="AT445" s="1024"/>
      <c r="AU445" s="1024"/>
      <c r="AV445" s="1024"/>
      <c r="AW445" s="1024"/>
      <c r="AX445" s="1024"/>
    </row>
    <row r="446" spans="1:50" ht="15" customHeight="1">
      <c r="A446" s="397"/>
      <c r="B446" s="508" t="str">
        <f>Translate!$E$78</f>
        <v>Royalty deductibility</v>
      </c>
      <c r="C446" s="372"/>
      <c r="D446" s="1102"/>
      <c r="E446" s="1024"/>
      <c r="F446" s="1024"/>
      <c r="G446" s="1024"/>
      <c r="H446" s="1024"/>
      <c r="I446" s="1024"/>
      <c r="J446" s="1024"/>
      <c r="K446" s="1024"/>
      <c r="L446" s="1024"/>
      <c r="M446" s="1024"/>
      <c r="N446" s="1024"/>
      <c r="O446" s="1024"/>
      <c r="P446" s="1024"/>
      <c r="Q446" s="1024"/>
      <c r="R446" s="1024"/>
      <c r="S446" s="1024"/>
      <c r="T446" s="1024"/>
      <c r="U446" s="1024"/>
      <c r="V446" s="1024"/>
      <c r="W446" s="1024"/>
      <c r="X446" s="1024"/>
      <c r="Y446" s="1024"/>
      <c r="Z446" s="1024"/>
      <c r="AA446" s="1024"/>
      <c r="AB446" s="1024"/>
      <c r="AC446" s="1024"/>
      <c r="AD446" s="1024"/>
      <c r="AE446" s="1024"/>
      <c r="AF446" s="1024"/>
      <c r="AG446" s="1024"/>
      <c r="AH446" s="1024"/>
      <c r="AI446" s="1024"/>
      <c r="AJ446" s="1024"/>
      <c r="AK446" s="1024"/>
      <c r="AL446" s="1024"/>
      <c r="AM446" s="1024"/>
      <c r="AN446" s="1024"/>
      <c r="AO446" s="1024"/>
      <c r="AP446" s="1024"/>
      <c r="AQ446" s="1024"/>
      <c r="AR446" s="1024"/>
      <c r="AS446" s="1024"/>
      <c r="AT446" s="1024"/>
      <c r="AU446" s="1024"/>
      <c r="AV446" s="1024"/>
      <c r="AW446" s="1024"/>
      <c r="AX446" s="1024"/>
    </row>
    <row r="447" spans="1:50" ht="15" customHeight="1">
      <c r="A447" s="397"/>
      <c r="B447" s="508"/>
      <c r="C447" s="372"/>
      <c r="D447" s="1102"/>
      <c r="E447" s="1024" t="str">
        <f t="shared" ref="E447:AX447" si="124" xml:space="preserve"> E$174</f>
        <v>Royalty</v>
      </c>
      <c r="F447" s="1024">
        <f t="shared" si="124"/>
        <v>0</v>
      </c>
      <c r="G447" s="1024" t="str">
        <f t="shared" si="124"/>
        <v>US$ mn</v>
      </c>
      <c r="H447" s="1024">
        <f t="shared" si="124"/>
        <v>0</v>
      </c>
      <c r="I447" s="1024">
        <f t="shared" ca="1" si="124"/>
        <v>186.66390095677471</v>
      </c>
      <c r="J447" s="1024">
        <f t="shared" si="124"/>
        <v>0</v>
      </c>
      <c r="K447" s="1024">
        <f t="shared" ca="1" si="124"/>
        <v>0</v>
      </c>
      <c r="L447" s="1024">
        <f t="shared" ca="1" si="124"/>
        <v>0</v>
      </c>
      <c r="M447" s="1024">
        <f t="shared" ca="1" si="124"/>
        <v>0</v>
      </c>
      <c r="N447" s="1024">
        <f t="shared" ca="1" si="124"/>
        <v>0</v>
      </c>
      <c r="O447" s="1024">
        <f t="shared" ca="1" si="124"/>
        <v>0.79829371800000004</v>
      </c>
      <c r="P447" s="1024">
        <f t="shared" ca="1" si="124"/>
        <v>6.1069469427000005</v>
      </c>
      <c r="Q447" s="1024">
        <f t="shared" ca="1" si="124"/>
        <v>12.458171763108002</v>
      </c>
      <c r="R447" s="1024">
        <f t="shared" ca="1" si="124"/>
        <v>12.70733519837016</v>
      </c>
      <c r="S447" s="1024">
        <f t="shared" ca="1" si="124"/>
        <v>12.961481902337566</v>
      </c>
      <c r="T447" s="1024">
        <f t="shared" ca="1" si="124"/>
        <v>13.220711540384318</v>
      </c>
      <c r="U447" s="1024">
        <f t="shared" ca="1" si="124"/>
        <v>13.485125771192003</v>
      </c>
      <c r="V447" s="1024">
        <f t="shared" ca="1" si="124"/>
        <v>13.754828286615842</v>
      </c>
      <c r="W447" s="1024">
        <f t="shared" ca="1" si="124"/>
        <v>14.029924852348159</v>
      </c>
      <c r="X447" s="1024">
        <f t="shared" ca="1" si="124"/>
        <v>14.310523349395121</v>
      </c>
      <c r="Y447" s="1024">
        <f t="shared" ca="1" si="124"/>
        <v>14.596733816383029</v>
      </c>
      <c r="Z447" s="1024">
        <f t="shared" ca="1" si="124"/>
        <v>14.888668492710687</v>
      </c>
      <c r="AA447" s="1024">
        <f t="shared" ca="1" si="124"/>
        <v>12.655368218804085</v>
      </c>
      <c r="AB447" s="1024">
        <f t="shared" ca="1" si="124"/>
        <v>10.326780466544134</v>
      </c>
      <c r="AC447" s="1024">
        <f t="shared" ca="1" si="124"/>
        <v>7.8999870569062622</v>
      </c>
      <c r="AD447" s="1024">
        <f t="shared" ca="1" si="124"/>
        <v>6.9835885583051356</v>
      </c>
      <c r="AE447" s="1024">
        <f t="shared" ca="1" si="124"/>
        <v>5.4794310226701839</v>
      </c>
      <c r="AF447" s="1024">
        <f t="shared" ca="1" si="124"/>
        <v>0</v>
      </c>
      <c r="AG447" s="1024">
        <f t="shared" ca="1" si="124"/>
        <v>0</v>
      </c>
      <c r="AH447" s="1024">
        <f t="shared" ca="1" si="124"/>
        <v>0</v>
      </c>
      <c r="AI447" s="1024">
        <f t="shared" ca="1" si="124"/>
        <v>0</v>
      </c>
      <c r="AJ447" s="1024">
        <f t="shared" ca="1" si="124"/>
        <v>0</v>
      </c>
      <c r="AK447" s="1024">
        <f t="shared" ca="1" si="124"/>
        <v>0</v>
      </c>
      <c r="AL447" s="1024">
        <f t="shared" ca="1" si="124"/>
        <v>0</v>
      </c>
      <c r="AM447" s="1024">
        <f t="shared" ca="1" si="124"/>
        <v>0</v>
      </c>
      <c r="AN447" s="1024">
        <f t="shared" ca="1" si="124"/>
        <v>0</v>
      </c>
      <c r="AO447" s="1024">
        <f t="shared" ca="1" si="124"/>
        <v>0</v>
      </c>
      <c r="AP447" s="1024">
        <f t="shared" ca="1" si="124"/>
        <v>0</v>
      </c>
      <c r="AQ447" s="1024">
        <f t="shared" ca="1" si="124"/>
        <v>0</v>
      </c>
      <c r="AR447" s="1024">
        <f t="shared" ca="1" si="124"/>
        <v>0</v>
      </c>
      <c r="AS447" s="1024">
        <f t="shared" ca="1" si="124"/>
        <v>0</v>
      </c>
      <c r="AT447" s="1024">
        <f t="shared" ca="1" si="124"/>
        <v>0</v>
      </c>
      <c r="AU447" s="1024">
        <f t="shared" ca="1" si="124"/>
        <v>0</v>
      </c>
      <c r="AV447" s="1024">
        <f t="shared" ca="1" si="124"/>
        <v>0</v>
      </c>
      <c r="AW447" s="1024">
        <f t="shared" ca="1" si="124"/>
        <v>0</v>
      </c>
      <c r="AX447" s="1024">
        <f t="shared" ca="1" si="124"/>
        <v>0</v>
      </c>
    </row>
    <row r="448" spans="1:50" ht="15" customHeight="1">
      <c r="A448" s="397"/>
      <c r="B448" s="508"/>
      <c r="C448" s="372"/>
      <c r="D448" s="1102"/>
      <c r="E448" s="383" t="str">
        <f xml:space="preserve"> E$24</f>
        <v>Royalty is CIT and RRT deductible</v>
      </c>
      <c r="F448" s="530" t="str">
        <f xml:space="preserve"> F$24</f>
        <v>yes</v>
      </c>
      <c r="G448" s="383" t="str">
        <f xml:space="preserve"> G$24</f>
        <v>Option</v>
      </c>
      <c r="H448" s="1024"/>
      <c r="I448" s="1024"/>
      <c r="J448" s="1024"/>
      <c r="K448" s="1024"/>
      <c r="L448" s="1024"/>
      <c r="M448" s="1024"/>
      <c r="N448" s="1024"/>
      <c r="O448" s="1024"/>
      <c r="P448" s="1024"/>
      <c r="Q448" s="1024"/>
      <c r="R448" s="1024"/>
      <c r="S448" s="1024"/>
      <c r="T448" s="1024"/>
      <c r="U448" s="1024"/>
      <c r="V448" s="1024"/>
      <c r="W448" s="1024"/>
      <c r="X448" s="1024"/>
      <c r="Y448" s="1024"/>
      <c r="Z448" s="1024"/>
      <c r="AA448" s="1024"/>
      <c r="AB448" s="1024"/>
      <c r="AC448" s="1024"/>
      <c r="AD448" s="1024"/>
      <c r="AE448" s="1024"/>
      <c r="AF448" s="1024"/>
      <c r="AG448" s="1024"/>
      <c r="AH448" s="1024"/>
      <c r="AI448" s="1024"/>
      <c r="AJ448" s="1024"/>
      <c r="AK448" s="1024"/>
      <c r="AL448" s="1024"/>
      <c r="AM448" s="1024"/>
      <c r="AN448" s="1024"/>
      <c r="AO448" s="1024"/>
      <c r="AP448" s="1024"/>
      <c r="AQ448" s="1024"/>
      <c r="AR448" s="1024"/>
      <c r="AS448" s="1024"/>
      <c r="AT448" s="1024"/>
      <c r="AU448" s="1024"/>
      <c r="AV448" s="1024"/>
      <c r="AW448" s="1024"/>
      <c r="AX448" s="1024"/>
    </row>
    <row r="449" spans="1:50" ht="15" customHeight="1">
      <c r="A449" s="325"/>
      <c r="B449" s="643"/>
      <c r="C449" s="333"/>
      <c r="D449" s="1097"/>
      <c r="E449" s="219" t="str">
        <f>Inputs!E$81</f>
        <v>Label: yes</v>
      </c>
      <c r="F449" s="552" t="str">
        <f>Inputs!F$81</f>
        <v>yes</v>
      </c>
      <c r="G449" s="219" t="str">
        <f>Inputs!G$81</f>
        <v>Label</v>
      </c>
      <c r="H449" s="1049"/>
      <c r="I449" s="1097"/>
      <c r="J449" s="1054"/>
      <c r="K449" s="1054"/>
      <c r="L449" s="1054"/>
      <c r="M449" s="1054"/>
      <c r="N449" s="1054"/>
      <c r="O449" s="1054"/>
      <c r="P449" s="1054"/>
      <c r="Q449" s="1054"/>
      <c r="R449" s="1054"/>
      <c r="S449" s="1054"/>
      <c r="T449" s="1054"/>
      <c r="U449" s="1054"/>
      <c r="V449" s="1054"/>
      <c r="W449" s="1054"/>
      <c r="X449" s="1054"/>
      <c r="Y449" s="1054"/>
      <c r="Z449" s="1054"/>
      <c r="AA449" s="1054"/>
      <c r="AB449" s="1054"/>
      <c r="AC449" s="1054"/>
      <c r="AD449" s="1054"/>
      <c r="AE449" s="1054"/>
      <c r="AF449" s="1054"/>
      <c r="AG449" s="1054"/>
      <c r="AH449" s="1054"/>
      <c r="AI449" s="1054"/>
      <c r="AJ449" s="1054"/>
      <c r="AK449" s="1054"/>
      <c r="AL449" s="1054"/>
      <c r="AM449" s="1054"/>
      <c r="AN449" s="1054"/>
      <c r="AO449" s="1054"/>
      <c r="AP449" s="1054"/>
      <c r="AQ449" s="1054"/>
      <c r="AR449" s="1054"/>
      <c r="AS449" s="1054"/>
      <c r="AT449" s="1054"/>
      <c r="AU449" s="1054"/>
      <c r="AV449" s="1054"/>
      <c r="AW449" s="1054"/>
      <c r="AX449" s="1054"/>
    </row>
    <row r="450" spans="1:50" s="434" customFormat="1" ht="15" customHeight="1">
      <c r="A450" s="429"/>
      <c r="B450" s="508"/>
      <c r="C450" s="430"/>
      <c r="D450" s="431"/>
      <c r="E450" s="432" t="str">
        <f xml:space="preserve"> E447 &amp; " " &amp; Translate!$E$464</f>
        <v>Royalty deductible</v>
      </c>
      <c r="F450" s="433"/>
      <c r="G450" s="432" t="str">
        <f xml:space="preserve"> Translate!E$10</f>
        <v>US$ mn</v>
      </c>
      <c r="H450" s="432"/>
      <c r="I450" s="432">
        <f ca="1" xml:space="preserve"> SUM(K450:AX450)</f>
        <v>186.66390095677471</v>
      </c>
      <c r="J450" s="432"/>
      <c r="K450" s="432">
        <f ca="1" xml:space="preserve"> K447 * ( $F448 = $F449)</f>
        <v>0</v>
      </c>
      <c r="L450" s="432">
        <f t="shared" ref="L450:AX450" ca="1" si="125" xml:space="preserve"> L447 * ( $F448 = $F449)</f>
        <v>0</v>
      </c>
      <c r="M450" s="432">
        <f t="shared" ca="1" si="125"/>
        <v>0</v>
      </c>
      <c r="N450" s="432">
        <f t="shared" ca="1" si="125"/>
        <v>0</v>
      </c>
      <c r="O450" s="432">
        <f t="shared" ca="1" si="125"/>
        <v>0.79829371800000004</v>
      </c>
      <c r="P450" s="432">
        <f t="shared" ca="1" si="125"/>
        <v>6.1069469427000005</v>
      </c>
      <c r="Q450" s="432">
        <f t="shared" ca="1" si="125"/>
        <v>12.458171763108002</v>
      </c>
      <c r="R450" s="432">
        <f t="shared" ca="1" si="125"/>
        <v>12.70733519837016</v>
      </c>
      <c r="S450" s="432">
        <f t="shared" ca="1" si="125"/>
        <v>12.961481902337566</v>
      </c>
      <c r="T450" s="432">
        <f t="shared" ca="1" si="125"/>
        <v>13.220711540384318</v>
      </c>
      <c r="U450" s="432">
        <f t="shared" ca="1" si="125"/>
        <v>13.485125771192003</v>
      </c>
      <c r="V450" s="432">
        <f t="shared" ca="1" si="125"/>
        <v>13.754828286615842</v>
      </c>
      <c r="W450" s="432">
        <f t="shared" ca="1" si="125"/>
        <v>14.029924852348159</v>
      </c>
      <c r="X450" s="432">
        <f t="shared" ca="1" si="125"/>
        <v>14.310523349395121</v>
      </c>
      <c r="Y450" s="432">
        <f t="shared" ca="1" si="125"/>
        <v>14.596733816383029</v>
      </c>
      <c r="Z450" s="432">
        <f t="shared" ca="1" si="125"/>
        <v>14.888668492710687</v>
      </c>
      <c r="AA450" s="432">
        <f t="shared" ca="1" si="125"/>
        <v>12.655368218804085</v>
      </c>
      <c r="AB450" s="432">
        <f t="shared" ca="1" si="125"/>
        <v>10.326780466544134</v>
      </c>
      <c r="AC450" s="432">
        <f t="shared" ca="1" si="125"/>
        <v>7.8999870569062622</v>
      </c>
      <c r="AD450" s="432">
        <f t="shared" ca="1" si="125"/>
        <v>6.9835885583051356</v>
      </c>
      <c r="AE450" s="432">
        <f t="shared" ca="1" si="125"/>
        <v>5.4794310226701839</v>
      </c>
      <c r="AF450" s="432">
        <f t="shared" ca="1" si="125"/>
        <v>0</v>
      </c>
      <c r="AG450" s="432">
        <f t="shared" ca="1" si="125"/>
        <v>0</v>
      </c>
      <c r="AH450" s="432">
        <f t="shared" ca="1" si="125"/>
        <v>0</v>
      </c>
      <c r="AI450" s="432">
        <f t="shared" ca="1" si="125"/>
        <v>0</v>
      </c>
      <c r="AJ450" s="432">
        <f t="shared" ca="1" si="125"/>
        <v>0</v>
      </c>
      <c r="AK450" s="432">
        <f t="shared" ca="1" si="125"/>
        <v>0</v>
      </c>
      <c r="AL450" s="432">
        <f t="shared" ca="1" si="125"/>
        <v>0</v>
      </c>
      <c r="AM450" s="432">
        <f t="shared" ca="1" si="125"/>
        <v>0</v>
      </c>
      <c r="AN450" s="432">
        <f t="shared" ca="1" si="125"/>
        <v>0</v>
      </c>
      <c r="AO450" s="432">
        <f t="shared" ca="1" si="125"/>
        <v>0</v>
      </c>
      <c r="AP450" s="432">
        <f t="shared" ca="1" si="125"/>
        <v>0</v>
      </c>
      <c r="AQ450" s="432">
        <f t="shared" ca="1" si="125"/>
        <v>0</v>
      </c>
      <c r="AR450" s="432">
        <f t="shared" ca="1" si="125"/>
        <v>0</v>
      </c>
      <c r="AS450" s="432">
        <f t="shared" ca="1" si="125"/>
        <v>0</v>
      </c>
      <c r="AT450" s="432">
        <f t="shared" ca="1" si="125"/>
        <v>0</v>
      </c>
      <c r="AU450" s="432">
        <f t="shared" ca="1" si="125"/>
        <v>0</v>
      </c>
      <c r="AV450" s="432">
        <f t="shared" ca="1" si="125"/>
        <v>0</v>
      </c>
      <c r="AW450" s="432">
        <f t="shared" ca="1" si="125"/>
        <v>0</v>
      </c>
      <c r="AX450" s="432">
        <f t="shared" ca="1" si="125"/>
        <v>0</v>
      </c>
    </row>
    <row r="451" spans="1:50" ht="15" customHeight="1">
      <c r="A451" s="397"/>
      <c r="B451" s="508"/>
      <c r="C451" s="372"/>
      <c r="D451" s="1102"/>
      <c r="E451" s="383"/>
      <c r="F451" s="428"/>
      <c r="G451" s="383"/>
      <c r="H451" s="1024"/>
      <c r="I451" s="1024"/>
      <c r="J451" s="1024"/>
      <c r="K451" s="1024"/>
      <c r="L451" s="1024"/>
      <c r="M451" s="1024"/>
      <c r="N451" s="1024"/>
      <c r="O451" s="1024"/>
      <c r="P451" s="1024"/>
      <c r="Q451" s="1024"/>
      <c r="R451" s="1024"/>
      <c r="S451" s="1024"/>
      <c r="T451" s="1024"/>
      <c r="U451" s="1024"/>
      <c r="V451" s="1024"/>
      <c r="W451" s="1024"/>
      <c r="X451" s="1024"/>
      <c r="Y451" s="1024"/>
      <c r="Z451" s="1024"/>
      <c r="AA451" s="1024"/>
      <c r="AB451" s="1024"/>
      <c r="AC451" s="1024"/>
      <c r="AD451" s="1024"/>
      <c r="AE451" s="1024"/>
      <c r="AF451" s="1024"/>
      <c r="AG451" s="1024"/>
      <c r="AH451" s="1024"/>
      <c r="AI451" s="1024"/>
      <c r="AJ451" s="1024"/>
      <c r="AK451" s="1024"/>
      <c r="AL451" s="1024"/>
      <c r="AM451" s="1024"/>
      <c r="AN451" s="1024"/>
      <c r="AO451" s="1024"/>
      <c r="AP451" s="1024"/>
      <c r="AQ451" s="1024"/>
      <c r="AR451" s="1024"/>
      <c r="AS451" s="1024"/>
      <c r="AT451" s="1024"/>
      <c r="AU451" s="1024"/>
      <c r="AV451" s="1024"/>
      <c r="AW451" s="1024"/>
      <c r="AX451" s="1024"/>
    </row>
    <row r="452" spans="1:50" ht="15" customHeight="1">
      <c r="A452" s="397"/>
      <c r="B452" s="508" t="str">
        <f>Translate!$E$79</f>
        <v>Carbon tax deductibility</v>
      </c>
      <c r="C452" s="372"/>
      <c r="D452" s="1102"/>
      <c r="E452" s="1024"/>
      <c r="F452" s="1024"/>
      <c r="G452" s="1024"/>
      <c r="H452" s="1024"/>
      <c r="I452" s="1024"/>
      <c r="J452" s="1024"/>
      <c r="K452" s="1024"/>
      <c r="L452" s="1024"/>
      <c r="M452" s="1024"/>
      <c r="N452" s="1024"/>
      <c r="O452" s="1024"/>
      <c r="P452" s="1024"/>
      <c r="Q452" s="1024"/>
      <c r="R452" s="1024"/>
      <c r="S452" s="1024"/>
      <c r="T452" s="1024"/>
      <c r="U452" s="1024"/>
      <c r="V452" s="1024"/>
      <c r="W452" s="1024"/>
      <c r="X452" s="1024"/>
      <c r="Y452" s="1024"/>
      <c r="Z452" s="1024"/>
      <c r="AA452" s="1024"/>
      <c r="AB452" s="1024"/>
      <c r="AC452" s="1024"/>
      <c r="AD452" s="1024"/>
      <c r="AE452" s="1024"/>
      <c r="AF452" s="1024"/>
      <c r="AG452" s="1024"/>
      <c r="AH452" s="1024"/>
      <c r="AI452" s="1024"/>
      <c r="AJ452" s="1024"/>
      <c r="AK452" s="1024"/>
      <c r="AL452" s="1024"/>
      <c r="AM452" s="1024"/>
      <c r="AN452" s="1024"/>
      <c r="AO452" s="1024"/>
      <c r="AP452" s="1024"/>
      <c r="AQ452" s="1024"/>
      <c r="AR452" s="1024"/>
      <c r="AS452" s="1024"/>
      <c r="AT452" s="1024"/>
      <c r="AU452" s="1024"/>
      <c r="AV452" s="1024"/>
      <c r="AW452" s="1024"/>
      <c r="AX452" s="1024"/>
    </row>
    <row r="453" spans="1:50" ht="15" customHeight="1">
      <c r="A453" s="397"/>
      <c r="B453" s="508"/>
      <c r="C453" s="372"/>
      <c r="D453" s="1102"/>
      <c r="E453" s="1024" t="str">
        <f xml:space="preserve"> E$249</f>
        <v>Carbon tax</v>
      </c>
      <c r="F453" s="1024">
        <f t="shared" ref="F453:AX453" si="126" xml:space="preserve"> F$249</f>
        <v>0</v>
      </c>
      <c r="G453" s="1024" t="str">
        <f t="shared" si="126"/>
        <v>US$ mn</v>
      </c>
      <c r="H453" s="1024">
        <f t="shared" si="126"/>
        <v>0</v>
      </c>
      <c r="I453" s="1024">
        <f t="shared" ca="1" si="126"/>
        <v>0</v>
      </c>
      <c r="J453" s="1024">
        <f t="shared" si="126"/>
        <v>0</v>
      </c>
      <c r="K453" s="1024">
        <f t="shared" ca="1" si="126"/>
        <v>0</v>
      </c>
      <c r="L453" s="1024">
        <f t="shared" ca="1" si="126"/>
        <v>0</v>
      </c>
      <c r="M453" s="1024">
        <f t="shared" ca="1" si="126"/>
        <v>0</v>
      </c>
      <c r="N453" s="1024">
        <f t="shared" ca="1" si="126"/>
        <v>0</v>
      </c>
      <c r="O453" s="1024">
        <f t="shared" ca="1" si="126"/>
        <v>0</v>
      </c>
      <c r="P453" s="1024">
        <f t="shared" ca="1" si="126"/>
        <v>0</v>
      </c>
      <c r="Q453" s="1024">
        <f t="shared" ca="1" si="126"/>
        <v>0</v>
      </c>
      <c r="R453" s="1024">
        <f t="shared" ca="1" si="126"/>
        <v>0</v>
      </c>
      <c r="S453" s="1024">
        <f t="shared" ca="1" si="126"/>
        <v>0</v>
      </c>
      <c r="T453" s="1024">
        <f t="shared" ca="1" si="126"/>
        <v>0</v>
      </c>
      <c r="U453" s="1024">
        <f t="shared" ca="1" si="126"/>
        <v>0</v>
      </c>
      <c r="V453" s="1024">
        <f t="shared" ca="1" si="126"/>
        <v>0</v>
      </c>
      <c r="W453" s="1024">
        <f t="shared" ca="1" si="126"/>
        <v>0</v>
      </c>
      <c r="X453" s="1024">
        <f t="shared" ca="1" si="126"/>
        <v>0</v>
      </c>
      <c r="Y453" s="1024">
        <f t="shared" ca="1" si="126"/>
        <v>0</v>
      </c>
      <c r="Z453" s="1024">
        <f t="shared" ca="1" si="126"/>
        <v>0</v>
      </c>
      <c r="AA453" s="1024">
        <f t="shared" ca="1" si="126"/>
        <v>0</v>
      </c>
      <c r="AB453" s="1024">
        <f t="shared" ca="1" si="126"/>
        <v>0</v>
      </c>
      <c r="AC453" s="1024">
        <f t="shared" ca="1" si="126"/>
        <v>0</v>
      </c>
      <c r="AD453" s="1024">
        <f t="shared" ca="1" si="126"/>
        <v>0</v>
      </c>
      <c r="AE453" s="1024">
        <f t="shared" ca="1" si="126"/>
        <v>0</v>
      </c>
      <c r="AF453" s="1024">
        <f t="shared" ca="1" si="126"/>
        <v>0</v>
      </c>
      <c r="AG453" s="1024">
        <f t="shared" ca="1" si="126"/>
        <v>0</v>
      </c>
      <c r="AH453" s="1024">
        <f t="shared" ca="1" si="126"/>
        <v>0</v>
      </c>
      <c r="AI453" s="1024">
        <f t="shared" ca="1" si="126"/>
        <v>0</v>
      </c>
      <c r="AJ453" s="1024">
        <f t="shared" ca="1" si="126"/>
        <v>0</v>
      </c>
      <c r="AK453" s="1024">
        <f t="shared" ca="1" si="126"/>
        <v>0</v>
      </c>
      <c r="AL453" s="1024">
        <f t="shared" ca="1" si="126"/>
        <v>0</v>
      </c>
      <c r="AM453" s="1024">
        <f t="shared" ca="1" si="126"/>
        <v>0</v>
      </c>
      <c r="AN453" s="1024">
        <f t="shared" ca="1" si="126"/>
        <v>0</v>
      </c>
      <c r="AO453" s="1024">
        <f t="shared" ca="1" si="126"/>
        <v>0</v>
      </c>
      <c r="AP453" s="1024">
        <f t="shared" ca="1" si="126"/>
        <v>0</v>
      </c>
      <c r="AQ453" s="1024">
        <f t="shared" ca="1" si="126"/>
        <v>0</v>
      </c>
      <c r="AR453" s="1024">
        <f t="shared" ca="1" si="126"/>
        <v>0</v>
      </c>
      <c r="AS453" s="1024">
        <f t="shared" ca="1" si="126"/>
        <v>0</v>
      </c>
      <c r="AT453" s="1024">
        <f t="shared" ca="1" si="126"/>
        <v>0</v>
      </c>
      <c r="AU453" s="1024">
        <f t="shared" ca="1" si="126"/>
        <v>0</v>
      </c>
      <c r="AV453" s="1024">
        <f t="shared" ca="1" si="126"/>
        <v>0</v>
      </c>
      <c r="AW453" s="1024">
        <f t="shared" ca="1" si="126"/>
        <v>0</v>
      </c>
      <c r="AX453" s="1024">
        <f t="shared" ca="1" si="126"/>
        <v>0</v>
      </c>
    </row>
    <row r="454" spans="1:50" ht="15" customHeight="1">
      <c r="A454" s="397"/>
      <c r="B454" s="508"/>
      <c r="C454" s="372"/>
      <c r="D454" s="1102"/>
      <c r="E454" s="383" t="str">
        <f xml:space="preserve"> E$34</f>
        <v>Carbon tax is CIT and RRT deductible</v>
      </c>
      <c r="F454" s="413" t="str">
        <f xml:space="preserve"> F$34</f>
        <v>yes</v>
      </c>
      <c r="G454" s="383" t="str">
        <f xml:space="preserve"> G$34</f>
        <v>Option</v>
      </c>
      <c r="H454" s="1024"/>
      <c r="I454" s="1024"/>
      <c r="J454" s="1024"/>
      <c r="K454" s="1024"/>
      <c r="L454" s="1024"/>
      <c r="M454" s="1024"/>
      <c r="N454" s="1024"/>
      <c r="O454" s="1024"/>
      <c r="P454" s="1024"/>
      <c r="Q454" s="1024"/>
      <c r="R454" s="1024"/>
      <c r="S454" s="1024"/>
      <c r="T454" s="1024"/>
      <c r="U454" s="1024"/>
      <c r="V454" s="1024"/>
      <c r="W454" s="1024"/>
      <c r="X454" s="1024"/>
      <c r="Y454" s="1024"/>
      <c r="Z454" s="1024"/>
      <c r="AA454" s="1024"/>
      <c r="AB454" s="1024"/>
      <c r="AC454" s="1024"/>
      <c r="AD454" s="1024"/>
      <c r="AE454" s="1024"/>
      <c r="AF454" s="1024"/>
      <c r="AG454" s="1024"/>
      <c r="AH454" s="1024"/>
      <c r="AI454" s="1024"/>
      <c r="AJ454" s="1024"/>
      <c r="AK454" s="1024"/>
      <c r="AL454" s="1024"/>
      <c r="AM454" s="1024"/>
      <c r="AN454" s="1024"/>
      <c r="AO454" s="1024"/>
      <c r="AP454" s="1024"/>
      <c r="AQ454" s="1024"/>
      <c r="AR454" s="1024"/>
      <c r="AS454" s="1024"/>
      <c r="AT454" s="1024"/>
      <c r="AU454" s="1024"/>
      <c r="AV454" s="1024"/>
      <c r="AW454" s="1024"/>
      <c r="AX454" s="1024"/>
    </row>
    <row r="455" spans="1:50" s="434" customFormat="1" ht="15" customHeight="1">
      <c r="A455" s="429"/>
      <c r="B455" s="508"/>
      <c r="C455" s="430"/>
      <c r="D455" s="431"/>
      <c r="E455" s="432" t="str">
        <f xml:space="preserve"> E453 &amp; " " &amp; Translate!$E$464</f>
        <v>Carbon tax deductible</v>
      </c>
      <c r="F455" s="433"/>
      <c r="G455" s="432" t="str">
        <f xml:space="preserve"> Translate!E$10</f>
        <v>US$ mn</v>
      </c>
      <c r="H455" s="432"/>
      <c r="I455" s="432">
        <f ca="1" xml:space="preserve"> SUM(K455:AX455)</f>
        <v>0</v>
      </c>
      <c r="J455" s="432"/>
      <c r="K455" s="432">
        <f ca="1" xml:space="preserve"> K453 * ( $F454 = $F449)</f>
        <v>0</v>
      </c>
      <c r="L455" s="432">
        <f t="shared" ref="L455:AX455" ca="1" si="127" xml:space="preserve"> L453 * ( $F454 = $F449)</f>
        <v>0</v>
      </c>
      <c r="M455" s="432">
        <f t="shared" ca="1" si="127"/>
        <v>0</v>
      </c>
      <c r="N455" s="432">
        <f t="shared" ca="1" si="127"/>
        <v>0</v>
      </c>
      <c r="O455" s="432">
        <f t="shared" ca="1" si="127"/>
        <v>0</v>
      </c>
      <c r="P455" s="432">
        <f t="shared" ca="1" si="127"/>
        <v>0</v>
      </c>
      <c r="Q455" s="432">
        <f t="shared" ca="1" si="127"/>
        <v>0</v>
      </c>
      <c r="R455" s="432">
        <f t="shared" ca="1" si="127"/>
        <v>0</v>
      </c>
      <c r="S455" s="432">
        <f t="shared" ca="1" si="127"/>
        <v>0</v>
      </c>
      <c r="T455" s="432">
        <f t="shared" ca="1" si="127"/>
        <v>0</v>
      </c>
      <c r="U455" s="432">
        <f t="shared" ca="1" si="127"/>
        <v>0</v>
      </c>
      <c r="V455" s="432">
        <f t="shared" ca="1" si="127"/>
        <v>0</v>
      </c>
      <c r="W455" s="432">
        <f t="shared" ca="1" si="127"/>
        <v>0</v>
      </c>
      <c r="X455" s="432">
        <f t="shared" ca="1" si="127"/>
        <v>0</v>
      </c>
      <c r="Y455" s="432">
        <f t="shared" ca="1" si="127"/>
        <v>0</v>
      </c>
      <c r="Z455" s="432">
        <f t="shared" ca="1" si="127"/>
        <v>0</v>
      </c>
      <c r="AA455" s="432">
        <f t="shared" ca="1" si="127"/>
        <v>0</v>
      </c>
      <c r="AB455" s="432">
        <f t="shared" ca="1" si="127"/>
        <v>0</v>
      </c>
      <c r="AC455" s="432">
        <f t="shared" ca="1" si="127"/>
        <v>0</v>
      </c>
      <c r="AD455" s="432">
        <f t="shared" ca="1" si="127"/>
        <v>0</v>
      </c>
      <c r="AE455" s="432">
        <f t="shared" ca="1" si="127"/>
        <v>0</v>
      </c>
      <c r="AF455" s="432">
        <f t="shared" ca="1" si="127"/>
        <v>0</v>
      </c>
      <c r="AG455" s="432">
        <f t="shared" ca="1" si="127"/>
        <v>0</v>
      </c>
      <c r="AH455" s="432">
        <f t="shared" ca="1" si="127"/>
        <v>0</v>
      </c>
      <c r="AI455" s="432">
        <f t="shared" ca="1" si="127"/>
        <v>0</v>
      </c>
      <c r="AJ455" s="432">
        <f t="shared" ca="1" si="127"/>
        <v>0</v>
      </c>
      <c r="AK455" s="432">
        <f t="shared" ca="1" si="127"/>
        <v>0</v>
      </c>
      <c r="AL455" s="432">
        <f t="shared" ca="1" si="127"/>
        <v>0</v>
      </c>
      <c r="AM455" s="432">
        <f t="shared" ca="1" si="127"/>
        <v>0</v>
      </c>
      <c r="AN455" s="432">
        <f t="shared" ca="1" si="127"/>
        <v>0</v>
      </c>
      <c r="AO455" s="432">
        <f t="shared" ca="1" si="127"/>
        <v>0</v>
      </c>
      <c r="AP455" s="432">
        <f t="shared" ca="1" si="127"/>
        <v>0</v>
      </c>
      <c r="AQ455" s="432">
        <f t="shared" ca="1" si="127"/>
        <v>0</v>
      </c>
      <c r="AR455" s="432">
        <f t="shared" ca="1" si="127"/>
        <v>0</v>
      </c>
      <c r="AS455" s="432">
        <f t="shared" ca="1" si="127"/>
        <v>0</v>
      </c>
      <c r="AT455" s="432">
        <f t="shared" ca="1" si="127"/>
        <v>0</v>
      </c>
      <c r="AU455" s="432">
        <f t="shared" ca="1" si="127"/>
        <v>0</v>
      </c>
      <c r="AV455" s="432">
        <f t="shared" ca="1" si="127"/>
        <v>0</v>
      </c>
      <c r="AW455" s="432">
        <f t="shared" ca="1" si="127"/>
        <v>0</v>
      </c>
      <c r="AX455" s="432">
        <f t="shared" ca="1" si="127"/>
        <v>0</v>
      </c>
    </row>
    <row r="456" spans="1:50" ht="15" customHeight="1">
      <c r="A456" s="397"/>
      <c r="B456" s="508"/>
      <c r="C456" s="372"/>
      <c r="D456" s="1102"/>
      <c r="E456" s="383"/>
      <c r="F456" s="428"/>
      <c r="G456" s="383"/>
      <c r="H456" s="1024"/>
      <c r="I456" s="1024"/>
      <c r="J456" s="1024"/>
      <c r="K456" s="1024"/>
      <c r="L456" s="1024"/>
      <c r="M456" s="1024"/>
      <c r="N456" s="1024"/>
      <c r="O456" s="1024"/>
      <c r="P456" s="1024"/>
      <c r="Q456" s="1024"/>
      <c r="R456" s="1024"/>
      <c r="S456" s="1024"/>
      <c r="T456" s="1024"/>
      <c r="U456" s="1024"/>
      <c r="V456" s="1024"/>
      <c r="W456" s="1024"/>
      <c r="X456" s="1024"/>
      <c r="Y456" s="1024"/>
      <c r="Z456" s="1024"/>
      <c r="AA456" s="1024"/>
      <c r="AB456" s="1024"/>
      <c r="AC456" s="1024"/>
      <c r="AD456" s="1024"/>
      <c r="AE456" s="1024"/>
      <c r="AF456" s="1024"/>
      <c r="AG456" s="1024"/>
      <c r="AH456" s="1024"/>
      <c r="AI456" s="1024"/>
      <c r="AJ456" s="1024"/>
      <c r="AK456" s="1024"/>
      <c r="AL456" s="1024"/>
      <c r="AM456" s="1024"/>
      <c r="AN456" s="1024"/>
      <c r="AO456" s="1024"/>
      <c r="AP456" s="1024"/>
      <c r="AQ456" s="1024"/>
      <c r="AR456" s="1024"/>
      <c r="AS456" s="1024"/>
      <c r="AT456" s="1024"/>
      <c r="AU456" s="1024"/>
      <c r="AV456" s="1024"/>
      <c r="AW456" s="1024"/>
      <c r="AX456" s="1024"/>
    </row>
    <row r="457" spans="1:50" ht="15" customHeight="1">
      <c r="A457" s="397"/>
      <c r="B457" s="508" t="str">
        <f>Translate!$E$80</f>
        <v>Deductions</v>
      </c>
      <c r="D457" s="435"/>
      <c r="E457" s="1024"/>
      <c r="F457" s="1024"/>
      <c r="G457" s="1024"/>
      <c r="H457" s="1024"/>
      <c r="I457" s="1024"/>
      <c r="J457" s="1024"/>
      <c r="K457" s="1024"/>
      <c r="L457" s="1024"/>
      <c r="M457" s="1024"/>
      <c r="N457" s="1024"/>
      <c r="O457" s="1024"/>
      <c r="P457" s="1024"/>
      <c r="Q457" s="1024"/>
      <c r="R457" s="1024"/>
      <c r="S457" s="1024"/>
      <c r="T457" s="1024"/>
      <c r="U457" s="1024"/>
      <c r="V457" s="1024"/>
      <c r="W457" s="1024"/>
      <c r="X457" s="1024"/>
      <c r="Y457" s="1024"/>
      <c r="Z457" s="1024"/>
      <c r="AA457" s="1024"/>
      <c r="AB457" s="1024"/>
      <c r="AC457" s="1024"/>
      <c r="AD457" s="1024"/>
      <c r="AE457" s="1024"/>
      <c r="AF457" s="1024"/>
      <c r="AG457" s="1024"/>
      <c r="AH457" s="1024"/>
      <c r="AI457" s="1024"/>
      <c r="AJ457" s="1024"/>
      <c r="AK457" s="1024"/>
      <c r="AL457" s="1024"/>
      <c r="AM457" s="1024"/>
      <c r="AN457" s="1024"/>
      <c r="AO457" s="1024"/>
      <c r="AP457" s="1024"/>
      <c r="AQ457" s="1024"/>
      <c r="AR457" s="1024"/>
      <c r="AS457" s="1024"/>
      <c r="AT457" s="1024"/>
      <c r="AU457" s="1024"/>
      <c r="AV457" s="1024"/>
      <c r="AW457" s="1024"/>
      <c r="AX457" s="1024"/>
    </row>
    <row r="458" spans="1:50" ht="15" customHeight="1">
      <c r="A458" s="397"/>
      <c r="B458" s="508"/>
      <c r="C458" s="372"/>
      <c r="D458" s="1102"/>
      <c r="E458" s="1024" t="str">
        <f t="shared" ref="E458:AX458" si="128" xml:space="preserve"> E$361</f>
        <v>Exploration costs, after ELT deducted immediately</v>
      </c>
      <c r="F458" s="1024">
        <f t="shared" si="128"/>
        <v>0</v>
      </c>
      <c r="G458" s="1024" t="str">
        <f t="shared" si="128"/>
        <v>US$ mn</v>
      </c>
      <c r="H458" s="1024">
        <f t="shared" si="128"/>
        <v>0</v>
      </c>
      <c r="I458" s="1024">
        <f t="shared" ca="1" si="128"/>
        <v>30.603999999999999</v>
      </c>
      <c r="J458" s="1024">
        <f t="shared" si="128"/>
        <v>0</v>
      </c>
      <c r="K458" s="1024">
        <f t="shared" ca="1" si="128"/>
        <v>10</v>
      </c>
      <c r="L458" s="1024">
        <f t="shared" ca="1" si="128"/>
        <v>10.199999999999999</v>
      </c>
      <c r="M458" s="1024">
        <f t="shared" ca="1" si="128"/>
        <v>10.404</v>
      </c>
      <c r="N458" s="1024">
        <f t="shared" ca="1" si="128"/>
        <v>0</v>
      </c>
      <c r="O458" s="1024">
        <f t="shared" ca="1" si="128"/>
        <v>0</v>
      </c>
      <c r="P458" s="1024">
        <f t="shared" ca="1" si="128"/>
        <v>0</v>
      </c>
      <c r="Q458" s="1024">
        <f t="shared" ca="1" si="128"/>
        <v>0</v>
      </c>
      <c r="R458" s="1024">
        <f t="shared" ca="1" si="128"/>
        <v>0</v>
      </c>
      <c r="S458" s="1024">
        <f t="shared" ca="1" si="128"/>
        <v>0</v>
      </c>
      <c r="T458" s="1024">
        <f t="shared" ca="1" si="128"/>
        <v>0</v>
      </c>
      <c r="U458" s="1024">
        <f t="shared" ca="1" si="128"/>
        <v>0</v>
      </c>
      <c r="V458" s="1024">
        <f t="shared" ca="1" si="128"/>
        <v>0</v>
      </c>
      <c r="W458" s="1024">
        <f t="shared" ca="1" si="128"/>
        <v>0</v>
      </c>
      <c r="X458" s="1024">
        <f t="shared" ca="1" si="128"/>
        <v>0</v>
      </c>
      <c r="Y458" s="1024">
        <f t="shared" ca="1" si="128"/>
        <v>0</v>
      </c>
      <c r="Z458" s="1024">
        <f t="shared" ca="1" si="128"/>
        <v>0</v>
      </c>
      <c r="AA458" s="1024">
        <f t="shared" ca="1" si="128"/>
        <v>0</v>
      </c>
      <c r="AB458" s="1024">
        <f t="shared" ca="1" si="128"/>
        <v>0</v>
      </c>
      <c r="AC458" s="1024">
        <f t="shared" ca="1" si="128"/>
        <v>0</v>
      </c>
      <c r="AD458" s="1024">
        <f t="shared" ca="1" si="128"/>
        <v>0</v>
      </c>
      <c r="AE458" s="1024">
        <f t="shared" ca="1" si="128"/>
        <v>0</v>
      </c>
      <c r="AF458" s="1024">
        <f t="shared" ca="1" si="128"/>
        <v>0</v>
      </c>
      <c r="AG458" s="1024">
        <f t="shared" ca="1" si="128"/>
        <v>0</v>
      </c>
      <c r="AH458" s="1024">
        <f t="shared" ca="1" si="128"/>
        <v>0</v>
      </c>
      <c r="AI458" s="1024">
        <f t="shared" ca="1" si="128"/>
        <v>0</v>
      </c>
      <c r="AJ458" s="1024">
        <f t="shared" ca="1" si="128"/>
        <v>0</v>
      </c>
      <c r="AK458" s="1024">
        <f t="shared" ca="1" si="128"/>
        <v>0</v>
      </c>
      <c r="AL458" s="1024">
        <f t="shared" ca="1" si="128"/>
        <v>0</v>
      </c>
      <c r="AM458" s="1024">
        <f t="shared" ca="1" si="128"/>
        <v>0</v>
      </c>
      <c r="AN458" s="1024">
        <f t="shared" ca="1" si="128"/>
        <v>0</v>
      </c>
      <c r="AO458" s="1024">
        <f t="shared" ca="1" si="128"/>
        <v>0</v>
      </c>
      <c r="AP458" s="1024">
        <f t="shared" ca="1" si="128"/>
        <v>0</v>
      </c>
      <c r="AQ458" s="1024">
        <f t="shared" ca="1" si="128"/>
        <v>0</v>
      </c>
      <c r="AR458" s="1024">
        <f t="shared" ca="1" si="128"/>
        <v>0</v>
      </c>
      <c r="AS458" s="1024">
        <f t="shared" ca="1" si="128"/>
        <v>0</v>
      </c>
      <c r="AT458" s="1024">
        <f t="shared" ca="1" si="128"/>
        <v>0</v>
      </c>
      <c r="AU458" s="1024">
        <f t="shared" ca="1" si="128"/>
        <v>0</v>
      </c>
      <c r="AV458" s="1024">
        <f t="shared" ca="1" si="128"/>
        <v>0</v>
      </c>
      <c r="AW458" s="1024">
        <f t="shared" ca="1" si="128"/>
        <v>0</v>
      </c>
      <c r="AX458" s="1024">
        <f t="shared" ca="1" si="128"/>
        <v>0</v>
      </c>
    </row>
    <row r="459" spans="1:50" ht="15" customHeight="1">
      <c r="A459" s="397"/>
      <c r="B459" s="508"/>
      <c r="C459" s="372"/>
      <c r="D459" s="1102"/>
      <c r="E459" s="1024" t="str">
        <f t="shared" ref="E459:AX459" si="129" xml:space="preserve"> E$434</f>
        <v xml:space="preserve">Tax depreciation charge mining company </v>
      </c>
      <c r="F459" s="1024">
        <f t="shared" si="129"/>
        <v>0</v>
      </c>
      <c r="G459" s="1024" t="str">
        <f t="shared" si="129"/>
        <v>US$ mn</v>
      </c>
      <c r="H459" s="1024">
        <f t="shared" si="129"/>
        <v>0</v>
      </c>
      <c r="I459" s="1024">
        <f t="shared" ca="1" si="129"/>
        <v>553.85931765696989</v>
      </c>
      <c r="J459" s="1024">
        <f t="shared" si="129"/>
        <v>0</v>
      </c>
      <c r="K459" s="1024">
        <f t="shared" ca="1" si="129"/>
        <v>0</v>
      </c>
      <c r="L459" s="1024">
        <f t="shared" ca="1" si="129"/>
        <v>0</v>
      </c>
      <c r="M459" s="1024">
        <f t="shared" ca="1" si="129"/>
        <v>0</v>
      </c>
      <c r="N459" s="1024">
        <f t="shared" ca="1" si="129"/>
        <v>0</v>
      </c>
      <c r="O459" s="1024">
        <f t="shared" ca="1" si="129"/>
        <v>64.997398188000005</v>
      </c>
      <c r="P459" s="1024">
        <f t="shared" ca="1" si="129"/>
        <v>88.845543537119994</v>
      </c>
      <c r="Q459" s="1024">
        <f t="shared" ca="1" si="129"/>
        <v>90.647403407942392</v>
      </c>
      <c r="R459" s="1024">
        <f t="shared" ca="1" si="129"/>
        <v>92.485300476181251</v>
      </c>
      <c r="S459" s="1024">
        <f t="shared" ca="1" si="129"/>
        <v>94.359955485784866</v>
      </c>
      <c r="T459" s="1024">
        <f t="shared" ca="1" si="129"/>
        <v>31.274705407580576</v>
      </c>
      <c r="U459" s="1024">
        <f t="shared" ca="1" si="129"/>
        <v>9.3769511304521878</v>
      </c>
      <c r="V459" s="1024">
        <f t="shared" ca="1" si="129"/>
        <v>9.5644901530612305</v>
      </c>
      <c r="W459" s="1024">
        <f t="shared" ca="1" si="129"/>
        <v>9.7557799561224545</v>
      </c>
      <c r="X459" s="1024">
        <f t="shared" ca="1" si="129"/>
        <v>9.9508955552449034</v>
      </c>
      <c r="Y459" s="1024">
        <f t="shared" ca="1" si="129"/>
        <v>10.149913466349803</v>
      </c>
      <c r="Z459" s="1024">
        <f t="shared" ca="1" si="129"/>
        <v>10.352911735676798</v>
      </c>
      <c r="AA459" s="1024">
        <f t="shared" ca="1" si="129"/>
        <v>10.559969970390334</v>
      </c>
      <c r="AB459" s="1024">
        <f t="shared" ca="1" si="129"/>
        <v>8.5307830990902609</v>
      </c>
      <c r="AC459" s="1024">
        <f t="shared" ca="1" si="129"/>
        <v>6.4610124903641877</v>
      </c>
      <c r="AD459" s="1024">
        <f t="shared" ca="1" si="129"/>
        <v>4.349846469463591</v>
      </c>
      <c r="AE459" s="1024">
        <f t="shared" ca="1" si="129"/>
        <v>2.1964571281449929</v>
      </c>
      <c r="AF459" s="1024">
        <f t="shared" ca="1" si="129"/>
        <v>0</v>
      </c>
      <c r="AG459" s="1024">
        <f t="shared" ca="1" si="129"/>
        <v>0</v>
      </c>
      <c r="AH459" s="1024">
        <f t="shared" ca="1" si="129"/>
        <v>0</v>
      </c>
      <c r="AI459" s="1024">
        <f t="shared" ca="1" si="129"/>
        <v>0</v>
      </c>
      <c r="AJ459" s="1024">
        <f t="shared" ca="1" si="129"/>
        <v>0</v>
      </c>
      <c r="AK459" s="1024">
        <f t="shared" ca="1" si="129"/>
        <v>0</v>
      </c>
      <c r="AL459" s="1024">
        <f t="shared" ca="1" si="129"/>
        <v>0</v>
      </c>
      <c r="AM459" s="1024">
        <f t="shared" ca="1" si="129"/>
        <v>0</v>
      </c>
      <c r="AN459" s="1024">
        <f t="shared" ca="1" si="129"/>
        <v>0</v>
      </c>
      <c r="AO459" s="1024">
        <f t="shared" ca="1" si="129"/>
        <v>0</v>
      </c>
      <c r="AP459" s="1024">
        <f t="shared" ca="1" si="129"/>
        <v>0</v>
      </c>
      <c r="AQ459" s="1024">
        <f t="shared" ca="1" si="129"/>
        <v>0</v>
      </c>
      <c r="AR459" s="1024">
        <f t="shared" ca="1" si="129"/>
        <v>0</v>
      </c>
      <c r="AS459" s="1024">
        <f t="shared" ca="1" si="129"/>
        <v>0</v>
      </c>
      <c r="AT459" s="1024">
        <f t="shared" ca="1" si="129"/>
        <v>0</v>
      </c>
      <c r="AU459" s="1024">
        <f t="shared" ca="1" si="129"/>
        <v>0</v>
      </c>
      <c r="AV459" s="1024">
        <f t="shared" ca="1" si="129"/>
        <v>0</v>
      </c>
      <c r="AW459" s="1024">
        <f t="shared" ca="1" si="129"/>
        <v>0</v>
      </c>
      <c r="AX459" s="1024">
        <f t="shared" ca="1" si="129"/>
        <v>0</v>
      </c>
    </row>
    <row r="460" spans="1:50" ht="15" customHeight="1">
      <c r="A460" s="397"/>
      <c r="B460" s="508"/>
      <c r="C460" s="372"/>
      <c r="D460" s="1102"/>
      <c r="E460" s="366" t="str">
        <f xml:space="preserve"> ProjectCashflows!E$241</f>
        <v>Operating costs, after ELT</v>
      </c>
      <c r="F460" s="366">
        <f xml:space="preserve"> ProjectCashflows!F$241</f>
        <v>0</v>
      </c>
      <c r="G460" s="366" t="str">
        <f xml:space="preserve"> ProjectCashflows!G$241</f>
        <v>US$ mn</v>
      </c>
      <c r="H460" s="366">
        <f xml:space="preserve"> ProjectCashflows!H$241</f>
        <v>0</v>
      </c>
      <c r="I460" s="366">
        <f ca="1" xml:space="preserve"> ProjectCashflows!I$241</f>
        <v>1138.9661753294727</v>
      </c>
      <c r="J460" s="366">
        <f xml:space="preserve"> ProjectCashflows!J$241</f>
        <v>0</v>
      </c>
      <c r="K460" s="366">
        <f ca="1" xml:space="preserve"> ProjectCashflows!K$241</f>
        <v>0</v>
      </c>
      <c r="L460" s="366">
        <f ca="1" xml:space="preserve"> ProjectCashflows!L$241</f>
        <v>0</v>
      </c>
      <c r="M460" s="366">
        <f ca="1" xml:space="preserve"> ProjectCashflows!M$241</f>
        <v>0</v>
      </c>
      <c r="N460" s="366">
        <f ca="1" xml:space="preserve"> ProjectCashflows!N$241</f>
        <v>0</v>
      </c>
      <c r="O460" s="366">
        <f ca="1" xml:space="preserve"> ProjectCashflows!O$241</f>
        <v>4.8709447199999998</v>
      </c>
      <c r="P460" s="366">
        <f ca="1" xml:space="preserve"> ProjectCashflows!P$241</f>
        <v>37.262727108</v>
      </c>
      <c r="Q460" s="366">
        <f ca="1" xml:space="preserve"> ProjectCashflows!Q$241</f>
        <v>76.01596330032001</v>
      </c>
      <c r="R460" s="366">
        <f ca="1" xml:space="preserve"> ProjectCashflows!R$241</f>
        <v>77.536282566326406</v>
      </c>
      <c r="S460" s="366">
        <f ca="1" xml:space="preserve"> ProjectCashflows!S$241</f>
        <v>79.087008217652937</v>
      </c>
      <c r="T460" s="366">
        <f ca="1" xml:space="preserve"> ProjectCashflows!T$241</f>
        <v>80.668748382006001</v>
      </c>
      <c r="U460" s="366">
        <f ca="1" xml:space="preserve"> ProjectCashflows!U$241</f>
        <v>82.282123349646113</v>
      </c>
      <c r="V460" s="366">
        <f ca="1" xml:space="preserve"> ProjectCashflows!V$241</f>
        <v>83.927765816639038</v>
      </c>
      <c r="W460" s="366">
        <f ca="1" xml:space="preserve"> ProjectCashflows!W$241</f>
        <v>85.606321132971814</v>
      </c>
      <c r="X460" s="366">
        <f ca="1" xml:space="preserve"> ProjectCashflows!X$241</f>
        <v>87.318447555631252</v>
      </c>
      <c r="Y460" s="366">
        <f ca="1" xml:space="preserve"> ProjectCashflows!Y$241</f>
        <v>89.064816506743881</v>
      </c>
      <c r="Z460" s="366">
        <f ca="1" xml:space="preserve"> ProjectCashflows!Z$241</f>
        <v>90.846112836878774</v>
      </c>
      <c r="AA460" s="366">
        <f ca="1" xml:space="preserve"> ProjectCashflows!AA$241</f>
        <v>77.219195911346958</v>
      </c>
      <c r="AB460" s="366">
        <f ca="1" xml:space="preserve"> ProjectCashflows!AB$241</f>
        <v>63.010863863659118</v>
      </c>
      <c r="AC460" s="366">
        <f ca="1" xml:space="preserve"> ProjectCashflows!AC$241</f>
        <v>48.203310855699229</v>
      </c>
      <c r="AD460" s="366">
        <f ca="1" xml:space="preserve"> ProjectCashflows!AD$241</f>
        <v>42.611726796438113</v>
      </c>
      <c r="AE460" s="366">
        <f ca="1" xml:space="preserve"> ProjectCashflows!AE$241</f>
        <v>33.433816409512986</v>
      </c>
      <c r="AF460" s="366">
        <f ca="1" xml:space="preserve"> ProjectCashflows!AF$241</f>
        <v>0</v>
      </c>
      <c r="AG460" s="366">
        <f ca="1" xml:space="preserve"> ProjectCashflows!AG$241</f>
        <v>0</v>
      </c>
      <c r="AH460" s="366">
        <f ca="1" xml:space="preserve"> ProjectCashflows!AH$241</f>
        <v>0</v>
      </c>
      <c r="AI460" s="366">
        <f ca="1" xml:space="preserve"> ProjectCashflows!AI$241</f>
        <v>0</v>
      </c>
      <c r="AJ460" s="366">
        <f ca="1" xml:space="preserve"> ProjectCashflows!AJ$241</f>
        <v>0</v>
      </c>
      <c r="AK460" s="366">
        <f ca="1" xml:space="preserve"> ProjectCashflows!AK$241</f>
        <v>0</v>
      </c>
      <c r="AL460" s="366">
        <f ca="1" xml:space="preserve"> ProjectCashflows!AL$241</f>
        <v>0</v>
      </c>
      <c r="AM460" s="366">
        <f ca="1" xml:space="preserve"> ProjectCashflows!AM$241</f>
        <v>0</v>
      </c>
      <c r="AN460" s="366">
        <f ca="1" xml:space="preserve"> ProjectCashflows!AN$241</f>
        <v>0</v>
      </c>
      <c r="AO460" s="366">
        <f ca="1" xml:space="preserve"> ProjectCashflows!AO$241</f>
        <v>0</v>
      </c>
      <c r="AP460" s="366">
        <f ca="1" xml:space="preserve"> ProjectCashflows!AP$241</f>
        <v>0</v>
      </c>
      <c r="AQ460" s="366">
        <f ca="1" xml:space="preserve"> ProjectCashflows!AQ$241</f>
        <v>0</v>
      </c>
      <c r="AR460" s="366">
        <f ca="1" xml:space="preserve"> ProjectCashflows!AR$241</f>
        <v>0</v>
      </c>
      <c r="AS460" s="366">
        <f ca="1" xml:space="preserve"> ProjectCashflows!AS$241</f>
        <v>0</v>
      </c>
      <c r="AT460" s="366">
        <f ca="1" xml:space="preserve"> ProjectCashflows!AT$241</f>
        <v>0</v>
      </c>
      <c r="AU460" s="366">
        <f ca="1" xml:space="preserve"> ProjectCashflows!AU$241</f>
        <v>0</v>
      </c>
      <c r="AV460" s="366">
        <f ca="1" xml:space="preserve"> ProjectCashflows!AV$241</f>
        <v>0</v>
      </c>
      <c r="AW460" s="366">
        <f ca="1" xml:space="preserve"> ProjectCashflows!AW$241</f>
        <v>0</v>
      </c>
      <c r="AX460" s="366">
        <f ca="1" xml:space="preserve"> ProjectCashflows!AX$241</f>
        <v>0</v>
      </c>
    </row>
    <row r="461" spans="1:50" ht="15" customHeight="1">
      <c r="A461" s="397"/>
      <c r="B461" s="508"/>
      <c r="C461" s="372"/>
      <c r="D461" s="1102"/>
      <c r="E461" s="1024" t="str">
        <f t="shared" ref="E461:AX461" si="130" xml:space="preserve"> E$121</f>
        <v>Net decommissioning cashflows including fund</v>
      </c>
      <c r="F461" s="1024">
        <f t="shared" si="130"/>
        <v>0</v>
      </c>
      <c r="G461" s="1024" t="str">
        <f t="shared" si="130"/>
        <v>US$ mn</v>
      </c>
      <c r="H461" s="1024">
        <f t="shared" si="130"/>
        <v>0</v>
      </c>
      <c r="I461" s="1024">
        <f t="shared" ca="1" si="130"/>
        <v>28.254397005016219</v>
      </c>
      <c r="J461" s="1024">
        <f t="shared" si="130"/>
        <v>0</v>
      </c>
      <c r="K461" s="1024">
        <f t="shared" ca="1" si="130"/>
        <v>0</v>
      </c>
      <c r="L461" s="1024">
        <f t="shared" ca="1" si="130"/>
        <v>0</v>
      </c>
      <c r="M461" s="1024">
        <f t="shared" ca="1" si="130"/>
        <v>0</v>
      </c>
      <c r="N461" s="1024">
        <f t="shared" ca="1" si="130"/>
        <v>0</v>
      </c>
      <c r="O461" s="1024">
        <f t="shared" ca="1" si="130"/>
        <v>0</v>
      </c>
      <c r="P461" s="1024">
        <f t="shared" ca="1" si="130"/>
        <v>0</v>
      </c>
      <c r="Q461" s="1024">
        <f t="shared" ca="1" si="130"/>
        <v>0</v>
      </c>
      <c r="R461" s="1024">
        <f t="shared" ca="1" si="130"/>
        <v>0</v>
      </c>
      <c r="S461" s="1024">
        <f t="shared" ca="1" si="130"/>
        <v>0</v>
      </c>
      <c r="T461" s="1024">
        <f t="shared" ca="1" si="130"/>
        <v>0</v>
      </c>
      <c r="U461" s="1024">
        <f t="shared" ca="1" si="130"/>
        <v>0</v>
      </c>
      <c r="V461" s="1024">
        <f t="shared" ca="1" si="130"/>
        <v>0</v>
      </c>
      <c r="W461" s="1024">
        <f t="shared" ca="1" si="130"/>
        <v>0</v>
      </c>
      <c r="X461" s="1024">
        <f t="shared" ca="1" si="130"/>
        <v>3.5317996256270274</v>
      </c>
      <c r="Y461" s="1024">
        <f t="shared" ca="1" si="130"/>
        <v>3.5317996256270274</v>
      </c>
      <c r="Z461" s="1024">
        <f t="shared" ca="1" si="130"/>
        <v>3.5317996256270274</v>
      </c>
      <c r="AA461" s="1024">
        <f t="shared" ca="1" si="130"/>
        <v>3.5317996256270274</v>
      </c>
      <c r="AB461" s="1024">
        <f t="shared" ca="1" si="130"/>
        <v>3.5317996256270274</v>
      </c>
      <c r="AC461" s="1024">
        <f t="shared" ca="1" si="130"/>
        <v>3.5317996256270274</v>
      </c>
      <c r="AD461" s="1024">
        <f t="shared" ca="1" si="130"/>
        <v>3.5317996256270274</v>
      </c>
      <c r="AE461" s="1024">
        <f t="shared" ca="1" si="130"/>
        <v>3.5317996256270274</v>
      </c>
      <c r="AF461" s="1024">
        <f t="shared" ca="1" si="130"/>
        <v>0</v>
      </c>
      <c r="AG461" s="1024">
        <f t="shared" ca="1" si="130"/>
        <v>0</v>
      </c>
      <c r="AH461" s="1024">
        <f t="shared" ca="1" si="130"/>
        <v>0</v>
      </c>
      <c r="AI461" s="1024">
        <f t="shared" ca="1" si="130"/>
        <v>0</v>
      </c>
      <c r="AJ461" s="1024">
        <f t="shared" ca="1" si="130"/>
        <v>0</v>
      </c>
      <c r="AK461" s="1024">
        <f t="shared" ca="1" si="130"/>
        <v>0</v>
      </c>
      <c r="AL461" s="1024">
        <f t="shared" ca="1" si="130"/>
        <v>0</v>
      </c>
      <c r="AM461" s="1024">
        <f t="shared" ca="1" si="130"/>
        <v>0</v>
      </c>
      <c r="AN461" s="1024">
        <f t="shared" ca="1" si="130"/>
        <v>0</v>
      </c>
      <c r="AO461" s="1024">
        <f t="shared" ca="1" si="130"/>
        <v>0</v>
      </c>
      <c r="AP461" s="1024">
        <f t="shared" ca="1" si="130"/>
        <v>0</v>
      </c>
      <c r="AQ461" s="1024">
        <f t="shared" ca="1" si="130"/>
        <v>0</v>
      </c>
      <c r="AR461" s="1024">
        <f t="shared" ca="1" si="130"/>
        <v>0</v>
      </c>
      <c r="AS461" s="1024">
        <f t="shared" ca="1" si="130"/>
        <v>0</v>
      </c>
      <c r="AT461" s="1024">
        <f t="shared" ca="1" si="130"/>
        <v>0</v>
      </c>
      <c r="AU461" s="1024">
        <f t="shared" ca="1" si="130"/>
        <v>0</v>
      </c>
      <c r="AV461" s="1024">
        <f t="shared" ca="1" si="130"/>
        <v>0</v>
      </c>
      <c r="AW461" s="1024">
        <f t="shared" ca="1" si="130"/>
        <v>0</v>
      </c>
      <c r="AX461" s="1024">
        <f t="shared" ca="1" si="130"/>
        <v>0</v>
      </c>
    </row>
    <row r="462" spans="1:50" ht="15" customHeight="1">
      <c r="A462" s="397"/>
      <c r="B462" s="508"/>
      <c r="C462" s="372"/>
      <c r="D462" s="1102"/>
      <c r="E462" s="1036" t="str">
        <f t="shared" ref="E462:AX462" si="131" xml:space="preserve"> E$342</f>
        <v>Interest expensed to P&amp;L: Mining company</v>
      </c>
      <c r="F462" s="1036">
        <f t="shared" si="131"/>
        <v>0</v>
      </c>
      <c r="G462" s="1036" t="str">
        <f t="shared" si="131"/>
        <v>US$ mn</v>
      </c>
      <c r="H462" s="1036">
        <f t="shared" si="131"/>
        <v>0</v>
      </c>
      <c r="I462" s="1036">
        <f t="shared" ca="1" si="131"/>
        <v>100.23959742332414</v>
      </c>
      <c r="J462" s="1036">
        <f t="shared" si="131"/>
        <v>0</v>
      </c>
      <c r="K462" s="1036">
        <f t="shared" ca="1" si="131"/>
        <v>0</v>
      </c>
      <c r="L462" s="1036">
        <f t="shared" ca="1" si="131"/>
        <v>0</v>
      </c>
      <c r="M462" s="1036">
        <f t="shared" ca="1" si="131"/>
        <v>0</v>
      </c>
      <c r="N462" s="1036">
        <f t="shared" ca="1" si="131"/>
        <v>0</v>
      </c>
      <c r="O462" s="1036">
        <f t="shared" ca="1" si="131"/>
        <v>9.4553287907400208</v>
      </c>
      <c r="P462" s="1036">
        <f t="shared" ca="1" si="131"/>
        <v>19.594907724834592</v>
      </c>
      <c r="Q462" s="1036">
        <f t="shared" ca="1" si="131"/>
        <v>23.729786969249851</v>
      </c>
      <c r="R462" s="1036">
        <f t="shared" ca="1" si="131"/>
        <v>18.983829575399881</v>
      </c>
      <c r="S462" s="1036">
        <f t="shared" ca="1" si="131"/>
        <v>14.237872181549911</v>
      </c>
      <c r="T462" s="1036">
        <f t="shared" ca="1" si="131"/>
        <v>9.4919147876999403</v>
      </c>
      <c r="U462" s="1036">
        <f t="shared" ca="1" si="131"/>
        <v>4.7459573938499702</v>
      </c>
      <c r="V462" s="1036">
        <f t="shared" ca="1" si="131"/>
        <v>0</v>
      </c>
      <c r="W462" s="1036">
        <f t="shared" ca="1" si="131"/>
        <v>0</v>
      </c>
      <c r="X462" s="1036">
        <f t="shared" ca="1" si="131"/>
        <v>0</v>
      </c>
      <c r="Y462" s="1036">
        <f t="shared" ca="1" si="131"/>
        <v>0</v>
      </c>
      <c r="Z462" s="1036">
        <f t="shared" ca="1" si="131"/>
        <v>0</v>
      </c>
      <c r="AA462" s="1036">
        <f t="shared" ca="1" si="131"/>
        <v>0</v>
      </c>
      <c r="AB462" s="1036">
        <f t="shared" ca="1" si="131"/>
        <v>0</v>
      </c>
      <c r="AC462" s="1036">
        <f t="shared" ca="1" si="131"/>
        <v>0</v>
      </c>
      <c r="AD462" s="1036">
        <f t="shared" ca="1" si="131"/>
        <v>0</v>
      </c>
      <c r="AE462" s="1036">
        <f t="shared" ca="1" si="131"/>
        <v>0</v>
      </c>
      <c r="AF462" s="1036">
        <f t="shared" ca="1" si="131"/>
        <v>0</v>
      </c>
      <c r="AG462" s="1036">
        <f t="shared" ca="1" si="131"/>
        <v>0</v>
      </c>
      <c r="AH462" s="1036">
        <f t="shared" ca="1" si="131"/>
        <v>0</v>
      </c>
      <c r="AI462" s="1036">
        <f t="shared" ca="1" si="131"/>
        <v>0</v>
      </c>
      <c r="AJ462" s="1036">
        <f t="shared" ca="1" si="131"/>
        <v>0</v>
      </c>
      <c r="AK462" s="1036">
        <f t="shared" ca="1" si="131"/>
        <v>0</v>
      </c>
      <c r="AL462" s="1036">
        <f t="shared" ca="1" si="131"/>
        <v>0</v>
      </c>
      <c r="AM462" s="1036">
        <f t="shared" ca="1" si="131"/>
        <v>0</v>
      </c>
      <c r="AN462" s="1036">
        <f t="shared" ca="1" si="131"/>
        <v>0</v>
      </c>
      <c r="AO462" s="1036">
        <f t="shared" ca="1" si="131"/>
        <v>0</v>
      </c>
      <c r="AP462" s="1036">
        <f t="shared" ca="1" si="131"/>
        <v>0</v>
      </c>
      <c r="AQ462" s="1036">
        <f t="shared" ca="1" si="131"/>
        <v>0</v>
      </c>
      <c r="AR462" s="1036">
        <f t="shared" ca="1" si="131"/>
        <v>0</v>
      </c>
      <c r="AS462" s="1036">
        <f t="shared" ca="1" si="131"/>
        <v>0</v>
      </c>
      <c r="AT462" s="1036">
        <f t="shared" ca="1" si="131"/>
        <v>0</v>
      </c>
      <c r="AU462" s="1036">
        <f t="shared" ca="1" si="131"/>
        <v>0</v>
      </c>
      <c r="AV462" s="1036">
        <f t="shared" ca="1" si="131"/>
        <v>0</v>
      </c>
      <c r="AW462" s="1036">
        <f t="shared" ca="1" si="131"/>
        <v>0</v>
      </c>
      <c r="AX462" s="1036">
        <f t="shared" ca="1" si="131"/>
        <v>0</v>
      </c>
    </row>
    <row r="463" spans="1:50" ht="15" customHeight="1">
      <c r="A463" s="397"/>
      <c r="B463" s="508"/>
      <c r="D463" s="435"/>
      <c r="E463" s="1024" t="str">
        <f t="shared" ref="E463:AX463" si="132" xml:space="preserve"> E$450</f>
        <v>Royalty deductible</v>
      </c>
      <c r="F463" s="1024">
        <f t="shared" si="132"/>
        <v>0</v>
      </c>
      <c r="G463" s="1024" t="str">
        <f t="shared" si="132"/>
        <v>US$ mn</v>
      </c>
      <c r="H463" s="1024">
        <f t="shared" si="132"/>
        <v>0</v>
      </c>
      <c r="I463" s="1024">
        <f t="shared" ca="1" si="132"/>
        <v>186.66390095677471</v>
      </c>
      <c r="J463" s="1024">
        <f t="shared" si="132"/>
        <v>0</v>
      </c>
      <c r="K463" s="1024">
        <f t="shared" ca="1" si="132"/>
        <v>0</v>
      </c>
      <c r="L463" s="1024">
        <f t="shared" ca="1" si="132"/>
        <v>0</v>
      </c>
      <c r="M463" s="1024">
        <f t="shared" ca="1" si="132"/>
        <v>0</v>
      </c>
      <c r="N463" s="1024">
        <f t="shared" ca="1" si="132"/>
        <v>0</v>
      </c>
      <c r="O463" s="1024">
        <f t="shared" ca="1" si="132"/>
        <v>0.79829371800000004</v>
      </c>
      <c r="P463" s="1024">
        <f t="shared" ca="1" si="132"/>
        <v>6.1069469427000005</v>
      </c>
      <c r="Q463" s="1024">
        <f t="shared" ca="1" si="132"/>
        <v>12.458171763108002</v>
      </c>
      <c r="R463" s="1024">
        <f t="shared" ca="1" si="132"/>
        <v>12.70733519837016</v>
      </c>
      <c r="S463" s="1024">
        <f t="shared" ca="1" si="132"/>
        <v>12.961481902337566</v>
      </c>
      <c r="T463" s="1024">
        <f t="shared" ca="1" si="132"/>
        <v>13.220711540384318</v>
      </c>
      <c r="U463" s="1024">
        <f t="shared" ca="1" si="132"/>
        <v>13.485125771192003</v>
      </c>
      <c r="V463" s="1024">
        <f t="shared" ca="1" si="132"/>
        <v>13.754828286615842</v>
      </c>
      <c r="W463" s="1024">
        <f t="shared" ca="1" si="132"/>
        <v>14.029924852348159</v>
      </c>
      <c r="X463" s="1024">
        <f t="shared" ca="1" si="132"/>
        <v>14.310523349395121</v>
      </c>
      <c r="Y463" s="1024">
        <f t="shared" ca="1" si="132"/>
        <v>14.596733816383029</v>
      </c>
      <c r="Z463" s="1024">
        <f t="shared" ca="1" si="132"/>
        <v>14.888668492710687</v>
      </c>
      <c r="AA463" s="1024">
        <f t="shared" ca="1" si="132"/>
        <v>12.655368218804085</v>
      </c>
      <c r="AB463" s="1024">
        <f t="shared" ca="1" si="132"/>
        <v>10.326780466544134</v>
      </c>
      <c r="AC463" s="1024">
        <f t="shared" ca="1" si="132"/>
        <v>7.8999870569062622</v>
      </c>
      <c r="AD463" s="1024">
        <f t="shared" ca="1" si="132"/>
        <v>6.9835885583051356</v>
      </c>
      <c r="AE463" s="1024">
        <f t="shared" ca="1" si="132"/>
        <v>5.4794310226701839</v>
      </c>
      <c r="AF463" s="1024">
        <f t="shared" ca="1" si="132"/>
        <v>0</v>
      </c>
      <c r="AG463" s="1024">
        <f t="shared" ca="1" si="132"/>
        <v>0</v>
      </c>
      <c r="AH463" s="1024">
        <f t="shared" ca="1" si="132"/>
        <v>0</v>
      </c>
      <c r="AI463" s="1024">
        <f t="shared" ca="1" si="132"/>
        <v>0</v>
      </c>
      <c r="AJ463" s="1024">
        <f t="shared" ca="1" si="132"/>
        <v>0</v>
      </c>
      <c r="AK463" s="1024">
        <f t="shared" ca="1" si="132"/>
        <v>0</v>
      </c>
      <c r="AL463" s="1024">
        <f t="shared" ca="1" si="132"/>
        <v>0</v>
      </c>
      <c r="AM463" s="1024">
        <f t="shared" ca="1" si="132"/>
        <v>0</v>
      </c>
      <c r="AN463" s="1024">
        <f t="shared" ca="1" si="132"/>
        <v>0</v>
      </c>
      <c r="AO463" s="1024">
        <f t="shared" ca="1" si="132"/>
        <v>0</v>
      </c>
      <c r="AP463" s="1024">
        <f t="shared" ca="1" si="132"/>
        <v>0</v>
      </c>
      <c r="AQ463" s="1024">
        <f t="shared" ca="1" si="132"/>
        <v>0</v>
      </c>
      <c r="AR463" s="1024">
        <f t="shared" ca="1" si="132"/>
        <v>0</v>
      </c>
      <c r="AS463" s="1024">
        <f t="shared" ca="1" si="132"/>
        <v>0</v>
      </c>
      <c r="AT463" s="1024">
        <f t="shared" ca="1" si="132"/>
        <v>0</v>
      </c>
      <c r="AU463" s="1024">
        <f t="shared" ca="1" si="132"/>
        <v>0</v>
      </c>
      <c r="AV463" s="1024">
        <f t="shared" ca="1" si="132"/>
        <v>0</v>
      </c>
      <c r="AW463" s="1024">
        <f t="shared" ca="1" si="132"/>
        <v>0</v>
      </c>
      <c r="AX463" s="1024">
        <f t="shared" ca="1" si="132"/>
        <v>0</v>
      </c>
    </row>
    <row r="464" spans="1:50" ht="15" customHeight="1">
      <c r="A464" s="397"/>
      <c r="B464" s="508"/>
      <c r="D464" s="435"/>
      <c r="E464" s="1024" t="str">
        <f xml:space="preserve"> E$455</f>
        <v>Carbon tax deductible</v>
      </c>
      <c r="F464" s="1024">
        <f t="shared" ref="F464:AX464" si="133" xml:space="preserve"> F$455</f>
        <v>0</v>
      </c>
      <c r="G464" s="1024" t="str">
        <f t="shared" si="133"/>
        <v>US$ mn</v>
      </c>
      <c r="H464" s="1024">
        <f t="shared" si="133"/>
        <v>0</v>
      </c>
      <c r="I464" s="1024">
        <f t="shared" ca="1" si="133"/>
        <v>0</v>
      </c>
      <c r="J464" s="1024">
        <f t="shared" si="133"/>
        <v>0</v>
      </c>
      <c r="K464" s="1024">
        <f t="shared" ca="1" si="133"/>
        <v>0</v>
      </c>
      <c r="L464" s="1024">
        <f t="shared" ca="1" si="133"/>
        <v>0</v>
      </c>
      <c r="M464" s="1024">
        <f t="shared" ca="1" si="133"/>
        <v>0</v>
      </c>
      <c r="N464" s="1024">
        <f t="shared" ca="1" si="133"/>
        <v>0</v>
      </c>
      <c r="O464" s="1024">
        <f t="shared" ca="1" si="133"/>
        <v>0</v>
      </c>
      <c r="P464" s="1024">
        <f t="shared" ca="1" si="133"/>
        <v>0</v>
      </c>
      <c r="Q464" s="1024">
        <f t="shared" ca="1" si="133"/>
        <v>0</v>
      </c>
      <c r="R464" s="1024">
        <f t="shared" ca="1" si="133"/>
        <v>0</v>
      </c>
      <c r="S464" s="1024">
        <f t="shared" ca="1" si="133"/>
        <v>0</v>
      </c>
      <c r="T464" s="1024">
        <f t="shared" ca="1" si="133"/>
        <v>0</v>
      </c>
      <c r="U464" s="1024">
        <f t="shared" ca="1" si="133"/>
        <v>0</v>
      </c>
      <c r="V464" s="1024">
        <f t="shared" ca="1" si="133"/>
        <v>0</v>
      </c>
      <c r="W464" s="1024">
        <f t="shared" ca="1" si="133"/>
        <v>0</v>
      </c>
      <c r="X464" s="1024">
        <f t="shared" ca="1" si="133"/>
        <v>0</v>
      </c>
      <c r="Y464" s="1024">
        <f t="shared" ca="1" si="133"/>
        <v>0</v>
      </c>
      <c r="Z464" s="1024">
        <f t="shared" ca="1" si="133"/>
        <v>0</v>
      </c>
      <c r="AA464" s="1024">
        <f t="shared" ca="1" si="133"/>
        <v>0</v>
      </c>
      <c r="AB464" s="1024">
        <f t="shared" ca="1" si="133"/>
        <v>0</v>
      </c>
      <c r="AC464" s="1024">
        <f t="shared" ca="1" si="133"/>
        <v>0</v>
      </c>
      <c r="AD464" s="1024">
        <f t="shared" ca="1" si="133"/>
        <v>0</v>
      </c>
      <c r="AE464" s="1024">
        <f t="shared" ca="1" si="133"/>
        <v>0</v>
      </c>
      <c r="AF464" s="1024">
        <f t="shared" ca="1" si="133"/>
        <v>0</v>
      </c>
      <c r="AG464" s="1024">
        <f t="shared" ca="1" si="133"/>
        <v>0</v>
      </c>
      <c r="AH464" s="1024">
        <f t="shared" ca="1" si="133"/>
        <v>0</v>
      </c>
      <c r="AI464" s="1024">
        <f t="shared" ca="1" si="133"/>
        <v>0</v>
      </c>
      <c r="AJ464" s="1024">
        <f t="shared" ca="1" si="133"/>
        <v>0</v>
      </c>
      <c r="AK464" s="1024">
        <f t="shared" ca="1" si="133"/>
        <v>0</v>
      </c>
      <c r="AL464" s="1024">
        <f t="shared" ca="1" si="133"/>
        <v>0</v>
      </c>
      <c r="AM464" s="1024">
        <f t="shared" ca="1" si="133"/>
        <v>0</v>
      </c>
      <c r="AN464" s="1024">
        <f t="shared" ca="1" si="133"/>
        <v>0</v>
      </c>
      <c r="AO464" s="1024">
        <f t="shared" ca="1" si="133"/>
        <v>0</v>
      </c>
      <c r="AP464" s="1024">
        <f t="shared" ca="1" si="133"/>
        <v>0</v>
      </c>
      <c r="AQ464" s="1024">
        <f t="shared" ca="1" si="133"/>
        <v>0</v>
      </c>
      <c r="AR464" s="1024">
        <f t="shared" ca="1" si="133"/>
        <v>0</v>
      </c>
      <c r="AS464" s="1024">
        <f t="shared" ca="1" si="133"/>
        <v>0</v>
      </c>
      <c r="AT464" s="1024">
        <f t="shared" ca="1" si="133"/>
        <v>0</v>
      </c>
      <c r="AU464" s="1024">
        <f t="shared" ca="1" si="133"/>
        <v>0</v>
      </c>
      <c r="AV464" s="1024">
        <f t="shared" ca="1" si="133"/>
        <v>0</v>
      </c>
      <c r="AW464" s="1024">
        <f t="shared" ca="1" si="133"/>
        <v>0</v>
      </c>
      <c r="AX464" s="1024">
        <f t="shared" ca="1" si="133"/>
        <v>0</v>
      </c>
    </row>
    <row r="465" spans="1:50" s="589" customFormat="1" ht="15" customHeight="1">
      <c r="A465" s="586"/>
      <c r="B465" s="703"/>
      <c r="C465" s="587"/>
      <c r="D465" s="588"/>
      <c r="E465" s="1129" t="str">
        <f>E$530</f>
        <v>RRT: Mining company deductible for CIT prior period</v>
      </c>
      <c r="F465" s="1129">
        <f t="shared" ref="F465:AX465" si="134">F$530</f>
        <v>0</v>
      </c>
      <c r="G465" s="1129" t="str">
        <f t="shared" si="134"/>
        <v>US$ mn</v>
      </c>
      <c r="H465" s="1129" t="str">
        <f t="shared" si="134"/>
        <v>prior period to avoid circularity</v>
      </c>
      <c r="I465" s="1129">
        <f t="shared" ca="1" si="134"/>
        <v>0</v>
      </c>
      <c r="J465" s="1129">
        <f t="shared" si="134"/>
        <v>0</v>
      </c>
      <c r="K465" s="1129">
        <f t="shared" si="134"/>
        <v>0</v>
      </c>
      <c r="L465" s="1129">
        <f t="shared" ca="1" si="134"/>
        <v>0</v>
      </c>
      <c r="M465" s="1129">
        <f t="shared" ca="1" si="134"/>
        <v>0</v>
      </c>
      <c r="N465" s="1129">
        <f t="shared" ca="1" si="134"/>
        <v>0</v>
      </c>
      <c r="O465" s="1129">
        <f t="shared" ca="1" si="134"/>
        <v>0</v>
      </c>
      <c r="P465" s="1129">
        <f t="shared" ca="1" si="134"/>
        <v>0</v>
      </c>
      <c r="Q465" s="1129">
        <f t="shared" ca="1" si="134"/>
        <v>0</v>
      </c>
      <c r="R465" s="1129">
        <f t="shared" ca="1" si="134"/>
        <v>0</v>
      </c>
      <c r="S465" s="1129">
        <f t="shared" ca="1" si="134"/>
        <v>0</v>
      </c>
      <c r="T465" s="1129">
        <f t="shared" ca="1" si="134"/>
        <v>0</v>
      </c>
      <c r="U465" s="1129">
        <f t="shared" ca="1" si="134"/>
        <v>0</v>
      </c>
      <c r="V465" s="1129">
        <f t="shared" ca="1" si="134"/>
        <v>0</v>
      </c>
      <c r="W465" s="1129">
        <f t="shared" ca="1" si="134"/>
        <v>0</v>
      </c>
      <c r="X465" s="1129">
        <f t="shared" ca="1" si="134"/>
        <v>0</v>
      </c>
      <c r="Y465" s="1129">
        <f t="shared" ca="1" si="134"/>
        <v>0</v>
      </c>
      <c r="Z465" s="1129">
        <f t="shared" ca="1" si="134"/>
        <v>0</v>
      </c>
      <c r="AA465" s="1129">
        <f t="shared" ca="1" si="134"/>
        <v>0</v>
      </c>
      <c r="AB465" s="1129">
        <f t="shared" ca="1" si="134"/>
        <v>0</v>
      </c>
      <c r="AC465" s="1129">
        <f t="shared" ca="1" si="134"/>
        <v>0</v>
      </c>
      <c r="AD465" s="1129">
        <f t="shared" ca="1" si="134"/>
        <v>0</v>
      </c>
      <c r="AE465" s="1129">
        <f t="shared" ca="1" si="134"/>
        <v>0</v>
      </c>
      <c r="AF465" s="1129">
        <f t="shared" ca="1" si="134"/>
        <v>0</v>
      </c>
      <c r="AG465" s="1129">
        <f t="shared" ca="1" si="134"/>
        <v>0</v>
      </c>
      <c r="AH465" s="1129">
        <f t="shared" ca="1" si="134"/>
        <v>0</v>
      </c>
      <c r="AI465" s="1129">
        <f t="shared" ca="1" si="134"/>
        <v>0</v>
      </c>
      <c r="AJ465" s="1129">
        <f t="shared" ca="1" si="134"/>
        <v>0</v>
      </c>
      <c r="AK465" s="1129">
        <f t="shared" ca="1" si="134"/>
        <v>0</v>
      </c>
      <c r="AL465" s="1129">
        <f t="shared" ca="1" si="134"/>
        <v>0</v>
      </c>
      <c r="AM465" s="1129">
        <f t="shared" ca="1" si="134"/>
        <v>0</v>
      </c>
      <c r="AN465" s="1129">
        <f t="shared" ca="1" si="134"/>
        <v>0</v>
      </c>
      <c r="AO465" s="1129">
        <f t="shared" ca="1" si="134"/>
        <v>0</v>
      </c>
      <c r="AP465" s="1129">
        <f t="shared" ca="1" si="134"/>
        <v>0</v>
      </c>
      <c r="AQ465" s="1129">
        <f t="shared" ca="1" si="134"/>
        <v>0</v>
      </c>
      <c r="AR465" s="1129">
        <f t="shared" ca="1" si="134"/>
        <v>0</v>
      </c>
      <c r="AS465" s="1129">
        <f t="shared" ca="1" si="134"/>
        <v>0</v>
      </c>
      <c r="AT465" s="1129">
        <f t="shared" ca="1" si="134"/>
        <v>0</v>
      </c>
      <c r="AU465" s="1129">
        <f t="shared" ca="1" si="134"/>
        <v>0</v>
      </c>
      <c r="AV465" s="1129">
        <f t="shared" ca="1" si="134"/>
        <v>0</v>
      </c>
      <c r="AW465" s="1129">
        <f t="shared" ca="1" si="134"/>
        <v>0</v>
      </c>
      <c r="AX465" s="1129">
        <f t="shared" ca="1" si="134"/>
        <v>0</v>
      </c>
    </row>
    <row r="466" spans="1:50" s="556" customFormat="1" ht="15" customHeight="1">
      <c r="A466" s="582"/>
      <c r="B466" s="696"/>
      <c r="C466" s="583"/>
      <c r="D466" s="1130"/>
      <c r="E466" s="1108" t="str">
        <f>Translate!$E$80</f>
        <v>Deductions</v>
      </c>
      <c r="F466" s="1108"/>
      <c r="G466" s="1108" t="str">
        <f xml:space="preserve"> Translate!E$10</f>
        <v>US$ mn</v>
      </c>
      <c r="H466" s="1108"/>
      <c r="I466" s="1108">
        <f ca="1" xml:space="preserve"> SUM(K466:AX466)</f>
        <v>2038.5873883715578</v>
      </c>
      <c r="J466" s="1108"/>
      <c r="K466" s="1108">
        <f ca="1" xml:space="preserve"> SUM(K458:K465)</f>
        <v>10</v>
      </c>
      <c r="L466" s="1108">
        <f t="shared" ref="L466:AX466" ca="1" si="135" xml:space="preserve"> SUM(L458:L465)</f>
        <v>10.199999999999999</v>
      </c>
      <c r="M466" s="1108">
        <f t="shared" ca="1" si="135"/>
        <v>10.404</v>
      </c>
      <c r="N466" s="1108">
        <f t="shared" ca="1" si="135"/>
        <v>0</v>
      </c>
      <c r="O466" s="1108">
        <f t="shared" ca="1" si="135"/>
        <v>80.121965416740025</v>
      </c>
      <c r="P466" s="1108">
        <f t="shared" ca="1" si="135"/>
        <v>151.81012531265461</v>
      </c>
      <c r="Q466" s="1108">
        <f t="shared" ca="1" si="135"/>
        <v>202.85132544062026</v>
      </c>
      <c r="R466" s="1108">
        <f t="shared" ca="1" si="135"/>
        <v>201.71274781627767</v>
      </c>
      <c r="S466" s="1108">
        <f t="shared" ca="1" si="135"/>
        <v>200.64631778732527</v>
      </c>
      <c r="T466" s="1108">
        <f t="shared" ca="1" si="135"/>
        <v>134.65608011767085</v>
      </c>
      <c r="U466" s="1108">
        <f t="shared" ca="1" si="135"/>
        <v>109.89015764514028</v>
      </c>
      <c r="V466" s="1108">
        <f t="shared" ca="1" si="135"/>
        <v>107.24708425631611</v>
      </c>
      <c r="W466" s="1108">
        <f t="shared" ca="1" si="135"/>
        <v>109.39202594144243</v>
      </c>
      <c r="X466" s="1108">
        <f t="shared" ca="1" si="135"/>
        <v>115.11166608589831</v>
      </c>
      <c r="Y466" s="1108">
        <f t="shared" ca="1" si="135"/>
        <v>117.34326341510373</v>
      </c>
      <c r="Z466" s="1108">
        <f t="shared" ca="1" si="135"/>
        <v>119.6194926908933</v>
      </c>
      <c r="AA466" s="1108">
        <f t="shared" ca="1" si="135"/>
        <v>103.96633372616841</v>
      </c>
      <c r="AB466" s="1108">
        <f t="shared" ca="1" si="135"/>
        <v>85.400227054920549</v>
      </c>
      <c r="AC466" s="1108">
        <f t="shared" ca="1" si="135"/>
        <v>66.096110028596712</v>
      </c>
      <c r="AD466" s="1108">
        <f t="shared" ca="1" si="135"/>
        <v>57.476961449833873</v>
      </c>
      <c r="AE466" s="1108">
        <f t="shared" ca="1" si="135"/>
        <v>44.641504185955192</v>
      </c>
      <c r="AF466" s="1108">
        <f t="shared" ca="1" si="135"/>
        <v>0</v>
      </c>
      <c r="AG466" s="1108">
        <f t="shared" ca="1" si="135"/>
        <v>0</v>
      </c>
      <c r="AH466" s="1108">
        <f t="shared" ca="1" si="135"/>
        <v>0</v>
      </c>
      <c r="AI466" s="1108">
        <f t="shared" ca="1" si="135"/>
        <v>0</v>
      </c>
      <c r="AJ466" s="1108">
        <f t="shared" ca="1" si="135"/>
        <v>0</v>
      </c>
      <c r="AK466" s="1108">
        <f t="shared" ca="1" si="135"/>
        <v>0</v>
      </c>
      <c r="AL466" s="1108">
        <f t="shared" ca="1" si="135"/>
        <v>0</v>
      </c>
      <c r="AM466" s="1108">
        <f t="shared" ca="1" si="135"/>
        <v>0</v>
      </c>
      <c r="AN466" s="1108">
        <f t="shared" ca="1" si="135"/>
        <v>0</v>
      </c>
      <c r="AO466" s="1108">
        <f t="shared" ca="1" si="135"/>
        <v>0</v>
      </c>
      <c r="AP466" s="1108">
        <f t="shared" ca="1" si="135"/>
        <v>0</v>
      </c>
      <c r="AQ466" s="1108">
        <f t="shared" ca="1" si="135"/>
        <v>0</v>
      </c>
      <c r="AR466" s="1108">
        <f t="shared" ca="1" si="135"/>
        <v>0</v>
      </c>
      <c r="AS466" s="1108">
        <f t="shared" ca="1" si="135"/>
        <v>0</v>
      </c>
      <c r="AT466" s="1108">
        <f t="shared" ca="1" si="135"/>
        <v>0</v>
      </c>
      <c r="AU466" s="1108">
        <f t="shared" ca="1" si="135"/>
        <v>0</v>
      </c>
      <c r="AV466" s="1108">
        <f t="shared" ca="1" si="135"/>
        <v>0</v>
      </c>
      <c r="AW466" s="1108">
        <f t="shared" ca="1" si="135"/>
        <v>0</v>
      </c>
      <c r="AX466" s="1108">
        <f t="shared" ca="1" si="135"/>
        <v>0</v>
      </c>
    </row>
    <row r="467" spans="1:50" ht="15" customHeight="1">
      <c r="A467" s="397"/>
      <c r="B467" s="508"/>
      <c r="C467" s="372"/>
      <c r="D467" s="1102"/>
      <c r="E467" s="1036"/>
      <c r="F467" s="1036"/>
      <c r="G467" s="1036"/>
      <c r="H467" s="1036"/>
      <c r="I467" s="1036"/>
      <c r="J467" s="1036"/>
      <c r="K467" s="1036"/>
      <c r="L467" s="1036"/>
      <c r="M467" s="1036"/>
      <c r="N467" s="1036"/>
      <c r="O467" s="1036"/>
      <c r="P467" s="1036"/>
      <c r="Q467" s="1036"/>
      <c r="R467" s="1036"/>
      <c r="S467" s="1036"/>
      <c r="T467" s="1036"/>
      <c r="U467" s="1036"/>
      <c r="V467" s="1036"/>
      <c r="W467" s="1036"/>
      <c r="X467" s="1036"/>
      <c r="Y467" s="1036"/>
      <c r="Z467" s="1036"/>
      <c r="AA467" s="1036"/>
      <c r="AB467" s="1036"/>
      <c r="AC467" s="1036"/>
      <c r="AD467" s="1036"/>
      <c r="AE467" s="1036"/>
      <c r="AF467" s="1036"/>
      <c r="AG467" s="1036"/>
      <c r="AH467" s="1036"/>
      <c r="AI467" s="1036"/>
      <c r="AJ467" s="1036"/>
      <c r="AK467" s="1036"/>
      <c r="AL467" s="1036"/>
      <c r="AM467" s="1036"/>
      <c r="AN467" s="1036"/>
      <c r="AO467" s="1036"/>
      <c r="AP467" s="1036"/>
      <c r="AQ467" s="1036"/>
      <c r="AR467" s="1036"/>
      <c r="AS467" s="1036"/>
      <c r="AT467" s="1036"/>
      <c r="AU467" s="1036"/>
      <c r="AV467" s="1036"/>
      <c r="AW467" s="1036"/>
      <c r="AX467" s="1036"/>
    </row>
    <row r="468" spans="1:50" ht="15" customHeight="1">
      <c r="A468" s="397"/>
      <c r="B468" s="508" t="str">
        <f>Translate!$E$81</f>
        <v>Taxable income</v>
      </c>
      <c r="C468" s="372"/>
      <c r="D468" s="1102"/>
      <c r="E468" s="1036"/>
      <c r="F468" s="1036"/>
      <c r="G468" s="1036"/>
      <c r="H468" s="1036"/>
      <c r="I468" s="1036"/>
      <c r="J468" s="1036"/>
      <c r="K468" s="1036"/>
      <c r="L468" s="1036"/>
      <c r="M468" s="1036"/>
      <c r="N468" s="1036"/>
      <c r="O468" s="1036"/>
      <c r="P468" s="1036"/>
      <c r="Q468" s="1036"/>
      <c r="R468" s="1036"/>
      <c r="S468" s="1036"/>
      <c r="T468" s="1036"/>
      <c r="U468" s="1036"/>
      <c r="V468" s="1036"/>
      <c r="W468" s="1036"/>
      <c r="X468" s="1036"/>
      <c r="Y468" s="1036"/>
      <c r="Z468" s="1036"/>
      <c r="AA468" s="1036"/>
      <c r="AB468" s="1036"/>
      <c r="AC468" s="1036"/>
      <c r="AD468" s="1036"/>
      <c r="AE468" s="1036"/>
      <c r="AF468" s="1036"/>
      <c r="AG468" s="1036"/>
      <c r="AH468" s="1036"/>
      <c r="AI468" s="1036"/>
      <c r="AJ468" s="1036"/>
      <c r="AK468" s="1036"/>
      <c r="AL468" s="1036"/>
      <c r="AM468" s="1036"/>
      <c r="AN468" s="1036"/>
      <c r="AO468" s="1036"/>
      <c r="AP468" s="1036"/>
      <c r="AQ468" s="1036"/>
      <c r="AR468" s="1036"/>
      <c r="AS468" s="1036"/>
      <c r="AT468" s="1036"/>
      <c r="AU468" s="1036"/>
      <c r="AV468" s="1036"/>
      <c r="AW468" s="1036"/>
      <c r="AX468" s="1036"/>
    </row>
    <row r="469" spans="1:50" ht="15" customHeight="1">
      <c r="A469" s="397"/>
      <c r="B469" s="508"/>
      <c r="C469" s="372"/>
      <c r="D469" s="1102"/>
      <c r="E469" s="1024" t="str">
        <f>Translate!$E$228</f>
        <v>Taxable income before prior period losses</v>
      </c>
      <c r="F469" s="1024"/>
      <c r="G469" s="22" t="str">
        <f xml:space="preserve"> Translate!E$10</f>
        <v>US$ mn</v>
      </c>
      <c r="H469" s="22"/>
      <c r="I469" s="1024">
        <f ca="1" xml:space="preserve"> SUM(K469:AX469)</f>
        <v>1694.690630763936</v>
      </c>
      <c r="J469" s="1024"/>
      <c r="K469" s="1024">
        <f t="shared" ref="K469:AX469" ca="1" si="136" xml:space="preserve"> K444 - K466</f>
        <v>-10</v>
      </c>
      <c r="L469" s="1024">
        <f t="shared" ca="1" si="136"/>
        <v>-10.199999999999999</v>
      </c>
      <c r="M469" s="1024">
        <f t="shared" ca="1" si="136"/>
        <v>-10.404</v>
      </c>
      <c r="N469" s="1024">
        <f t="shared" ca="1" si="136"/>
        <v>0</v>
      </c>
      <c r="O469" s="1024">
        <f t="shared" ca="1" si="136"/>
        <v>-64.156091056740024</v>
      </c>
      <c r="P469" s="1024">
        <f t="shared" ca="1" si="136"/>
        <v>-29.671186458654603</v>
      </c>
      <c r="Q469" s="1024">
        <f t="shared" ca="1" si="136"/>
        <v>46.312109821539764</v>
      </c>
      <c r="R469" s="1024">
        <f t="shared" ca="1" si="136"/>
        <v>52.4339561511255</v>
      </c>
      <c r="S469" s="1024">
        <f t="shared" ca="1" si="136"/>
        <v>58.583320259426017</v>
      </c>
      <c r="T469" s="1024">
        <f t="shared" ca="1" si="136"/>
        <v>129.7581506900155</v>
      </c>
      <c r="U469" s="1024">
        <f t="shared" ca="1" si="136"/>
        <v>159.81235777869978</v>
      </c>
      <c r="V469" s="1024">
        <f t="shared" ca="1" si="136"/>
        <v>167.84948147600073</v>
      </c>
      <c r="W469" s="1024">
        <f t="shared" ca="1" si="136"/>
        <v>171.20647110552076</v>
      </c>
      <c r="X469" s="1024">
        <f t="shared" ca="1" si="136"/>
        <v>171.09880090200409</v>
      </c>
      <c r="Y469" s="1024">
        <f t="shared" ca="1" si="136"/>
        <v>174.59141291255682</v>
      </c>
      <c r="Z469" s="1024">
        <f t="shared" ca="1" si="136"/>
        <v>178.15387716332043</v>
      </c>
      <c r="AA469" s="1024">
        <f t="shared" ca="1" si="136"/>
        <v>149.14103064991329</v>
      </c>
      <c r="AB469" s="1024">
        <f t="shared" ca="1" si="136"/>
        <v>121.13538227596212</v>
      </c>
      <c r="AC469" s="1024">
        <f t="shared" ca="1" si="136"/>
        <v>91.903631109528533</v>
      </c>
      <c r="AD469" s="1024">
        <f t="shared" ca="1" si="136"/>
        <v>82.194809716268821</v>
      </c>
      <c r="AE469" s="1024">
        <f t="shared" ca="1" si="136"/>
        <v>64.947116267448479</v>
      </c>
      <c r="AF469" s="1024">
        <f t="shared" ca="1" si="136"/>
        <v>0</v>
      </c>
      <c r="AG469" s="1024">
        <f t="shared" ca="1" si="136"/>
        <v>0</v>
      </c>
      <c r="AH469" s="1024">
        <f t="shared" ca="1" si="136"/>
        <v>0</v>
      </c>
      <c r="AI469" s="1024">
        <f t="shared" ca="1" si="136"/>
        <v>0</v>
      </c>
      <c r="AJ469" s="1024">
        <f t="shared" ca="1" si="136"/>
        <v>0</v>
      </c>
      <c r="AK469" s="1024">
        <f t="shared" ca="1" si="136"/>
        <v>0</v>
      </c>
      <c r="AL469" s="1024">
        <f t="shared" ca="1" si="136"/>
        <v>0</v>
      </c>
      <c r="AM469" s="1024">
        <f t="shared" ca="1" si="136"/>
        <v>0</v>
      </c>
      <c r="AN469" s="1024">
        <f t="shared" ca="1" si="136"/>
        <v>0</v>
      </c>
      <c r="AO469" s="1024">
        <f t="shared" ca="1" si="136"/>
        <v>0</v>
      </c>
      <c r="AP469" s="1024">
        <f t="shared" ca="1" si="136"/>
        <v>0</v>
      </c>
      <c r="AQ469" s="1024">
        <f t="shared" ca="1" si="136"/>
        <v>0</v>
      </c>
      <c r="AR469" s="1024">
        <f t="shared" ca="1" si="136"/>
        <v>0</v>
      </c>
      <c r="AS469" s="1024">
        <f t="shared" ca="1" si="136"/>
        <v>0</v>
      </c>
      <c r="AT469" s="1024">
        <f t="shared" ca="1" si="136"/>
        <v>0</v>
      </c>
      <c r="AU469" s="1024">
        <f t="shared" ca="1" si="136"/>
        <v>0</v>
      </c>
      <c r="AV469" s="1024">
        <f t="shared" ca="1" si="136"/>
        <v>0</v>
      </c>
      <c r="AW469" s="1024">
        <f t="shared" ca="1" si="136"/>
        <v>0</v>
      </c>
      <c r="AX469" s="1024">
        <f t="shared" ca="1" si="136"/>
        <v>0</v>
      </c>
    </row>
    <row r="470" spans="1:50" ht="15" customHeight="1">
      <c r="A470" s="397"/>
      <c r="B470" s="508"/>
      <c r="C470" s="372"/>
      <c r="D470" s="1102"/>
      <c r="E470" s="1024" t="str">
        <f>Translate!$E$229</f>
        <v>Prior period losses carried forward (unlimited carry forward)</v>
      </c>
      <c r="F470" s="1024"/>
      <c r="G470" s="22" t="str">
        <f xml:space="preserve"> Translate!E$10</f>
        <v>US$ mn</v>
      </c>
      <c r="H470" s="22" t="str">
        <f>Translate!$E$306</f>
        <v>assumes permanent carry forward</v>
      </c>
      <c r="I470" s="1024"/>
      <c r="J470" s="1024"/>
      <c r="K470" s="1024">
        <f t="shared" ref="K470:AX470" si="137">J471*(J471&lt;0)</f>
        <v>0</v>
      </c>
      <c r="L470" s="1024">
        <f t="shared" ca="1" si="137"/>
        <v>-10</v>
      </c>
      <c r="M470" s="1024">
        <f t="shared" ca="1" si="137"/>
        <v>-20.2</v>
      </c>
      <c r="N470" s="1024">
        <f t="shared" ca="1" si="137"/>
        <v>-30.603999999999999</v>
      </c>
      <c r="O470" s="1024">
        <f t="shared" ca="1" si="137"/>
        <v>-30.603999999999999</v>
      </c>
      <c r="P470" s="1024">
        <f t="shared" ca="1" si="137"/>
        <v>-94.760091056740023</v>
      </c>
      <c r="Q470" s="1024">
        <f t="shared" ca="1" si="137"/>
        <v>-124.43127751539463</v>
      </c>
      <c r="R470" s="1024">
        <f t="shared" ca="1" si="137"/>
        <v>-78.119167693854862</v>
      </c>
      <c r="S470" s="1024">
        <f t="shared" ca="1" si="137"/>
        <v>-25.685211542729363</v>
      </c>
      <c r="T470" s="1024">
        <f t="shared" ca="1" si="137"/>
        <v>0</v>
      </c>
      <c r="U470" s="1024">
        <f t="shared" ca="1" si="137"/>
        <v>0</v>
      </c>
      <c r="V470" s="1024">
        <f t="shared" ca="1" si="137"/>
        <v>0</v>
      </c>
      <c r="W470" s="1024">
        <f t="shared" ca="1" si="137"/>
        <v>0</v>
      </c>
      <c r="X470" s="1024">
        <f t="shared" ca="1" si="137"/>
        <v>0</v>
      </c>
      <c r="Y470" s="1024">
        <f t="shared" ca="1" si="137"/>
        <v>0</v>
      </c>
      <c r="Z470" s="1024">
        <f t="shared" ca="1" si="137"/>
        <v>0</v>
      </c>
      <c r="AA470" s="1024">
        <f t="shared" ca="1" si="137"/>
        <v>0</v>
      </c>
      <c r="AB470" s="1024">
        <f t="shared" ca="1" si="137"/>
        <v>0</v>
      </c>
      <c r="AC470" s="1024">
        <f t="shared" ca="1" si="137"/>
        <v>0</v>
      </c>
      <c r="AD470" s="1024">
        <f t="shared" ca="1" si="137"/>
        <v>0</v>
      </c>
      <c r="AE470" s="1024">
        <f t="shared" ca="1" si="137"/>
        <v>0</v>
      </c>
      <c r="AF470" s="1024">
        <f t="shared" ca="1" si="137"/>
        <v>0</v>
      </c>
      <c r="AG470" s="1024">
        <f t="shared" ca="1" si="137"/>
        <v>0</v>
      </c>
      <c r="AH470" s="1024">
        <f t="shared" ca="1" si="137"/>
        <v>0</v>
      </c>
      <c r="AI470" s="1024">
        <f t="shared" ca="1" si="137"/>
        <v>0</v>
      </c>
      <c r="AJ470" s="1024">
        <f t="shared" ca="1" si="137"/>
        <v>0</v>
      </c>
      <c r="AK470" s="1024">
        <f t="shared" ca="1" si="137"/>
        <v>0</v>
      </c>
      <c r="AL470" s="1024">
        <f t="shared" ca="1" si="137"/>
        <v>0</v>
      </c>
      <c r="AM470" s="1024">
        <f t="shared" ca="1" si="137"/>
        <v>0</v>
      </c>
      <c r="AN470" s="1024">
        <f t="shared" ca="1" si="137"/>
        <v>0</v>
      </c>
      <c r="AO470" s="1024">
        <f t="shared" ca="1" si="137"/>
        <v>0</v>
      </c>
      <c r="AP470" s="1024">
        <f t="shared" ca="1" si="137"/>
        <v>0</v>
      </c>
      <c r="AQ470" s="1024">
        <f t="shared" ca="1" si="137"/>
        <v>0</v>
      </c>
      <c r="AR470" s="1024">
        <f t="shared" ca="1" si="137"/>
        <v>0</v>
      </c>
      <c r="AS470" s="1024">
        <f t="shared" ca="1" si="137"/>
        <v>0</v>
      </c>
      <c r="AT470" s="1024">
        <f t="shared" ca="1" si="137"/>
        <v>0</v>
      </c>
      <c r="AU470" s="1024">
        <f t="shared" ca="1" si="137"/>
        <v>0</v>
      </c>
      <c r="AV470" s="1024">
        <f t="shared" ca="1" si="137"/>
        <v>0</v>
      </c>
      <c r="AW470" s="1024">
        <f t="shared" ca="1" si="137"/>
        <v>0</v>
      </c>
      <c r="AX470" s="1024">
        <f t="shared" ca="1" si="137"/>
        <v>0</v>
      </c>
    </row>
    <row r="471" spans="1:50" ht="15" customHeight="1">
      <c r="A471" s="397"/>
      <c r="B471" s="508"/>
      <c r="C471" s="372"/>
      <c r="D471" s="1102"/>
      <c r="E471" s="1024" t="str">
        <f>Translate!$E$230</f>
        <v>Taxable income after losses</v>
      </c>
      <c r="F471" s="1024"/>
      <c r="G471" s="22" t="str">
        <f xml:space="preserve"> Translate!E$10</f>
        <v>US$ mn</v>
      </c>
      <c r="H471" s="22"/>
      <c r="I471" s="1024"/>
      <c r="J471" s="1068"/>
      <c r="K471" s="1024">
        <f t="shared" ref="K471:AX471" ca="1" si="138" xml:space="preserve"> K469 + K470</f>
        <v>-10</v>
      </c>
      <c r="L471" s="1024">
        <f t="shared" ca="1" si="138"/>
        <v>-20.2</v>
      </c>
      <c r="M471" s="1024">
        <f t="shared" ca="1" si="138"/>
        <v>-30.603999999999999</v>
      </c>
      <c r="N471" s="1024">
        <f t="shared" ca="1" si="138"/>
        <v>-30.603999999999999</v>
      </c>
      <c r="O471" s="1024">
        <f t="shared" ca="1" si="138"/>
        <v>-94.760091056740023</v>
      </c>
      <c r="P471" s="1024">
        <f t="shared" ca="1" si="138"/>
        <v>-124.43127751539463</v>
      </c>
      <c r="Q471" s="1024">
        <f t="shared" ca="1" si="138"/>
        <v>-78.119167693854862</v>
      </c>
      <c r="R471" s="1024">
        <f t="shared" ca="1" si="138"/>
        <v>-25.685211542729363</v>
      </c>
      <c r="S471" s="1024">
        <f t="shared" ca="1" si="138"/>
        <v>32.898108716696655</v>
      </c>
      <c r="T471" s="1024">
        <f t="shared" ca="1" si="138"/>
        <v>129.7581506900155</v>
      </c>
      <c r="U471" s="1024">
        <f t="shared" ca="1" si="138"/>
        <v>159.81235777869978</v>
      </c>
      <c r="V471" s="1024">
        <f t="shared" ca="1" si="138"/>
        <v>167.84948147600073</v>
      </c>
      <c r="W471" s="1024">
        <f t="shared" ca="1" si="138"/>
        <v>171.20647110552076</v>
      </c>
      <c r="X471" s="1024">
        <f t="shared" ca="1" si="138"/>
        <v>171.09880090200409</v>
      </c>
      <c r="Y471" s="1024">
        <f t="shared" ca="1" si="138"/>
        <v>174.59141291255682</v>
      </c>
      <c r="Z471" s="1024">
        <f t="shared" ca="1" si="138"/>
        <v>178.15387716332043</v>
      </c>
      <c r="AA471" s="1024">
        <f t="shared" ca="1" si="138"/>
        <v>149.14103064991329</v>
      </c>
      <c r="AB471" s="1024">
        <f t="shared" ca="1" si="138"/>
        <v>121.13538227596212</v>
      </c>
      <c r="AC471" s="1024">
        <f t="shared" ca="1" si="138"/>
        <v>91.903631109528533</v>
      </c>
      <c r="AD471" s="1024">
        <f t="shared" ca="1" si="138"/>
        <v>82.194809716268821</v>
      </c>
      <c r="AE471" s="1024">
        <f t="shared" ca="1" si="138"/>
        <v>64.947116267448479</v>
      </c>
      <c r="AF471" s="1024">
        <f t="shared" ca="1" si="138"/>
        <v>0</v>
      </c>
      <c r="AG471" s="1024">
        <f t="shared" ca="1" si="138"/>
        <v>0</v>
      </c>
      <c r="AH471" s="1024">
        <f t="shared" ca="1" si="138"/>
        <v>0</v>
      </c>
      <c r="AI471" s="1024">
        <f t="shared" ca="1" si="138"/>
        <v>0</v>
      </c>
      <c r="AJ471" s="1024">
        <f t="shared" ca="1" si="138"/>
        <v>0</v>
      </c>
      <c r="AK471" s="1024">
        <f t="shared" ca="1" si="138"/>
        <v>0</v>
      </c>
      <c r="AL471" s="1024">
        <f t="shared" ca="1" si="138"/>
        <v>0</v>
      </c>
      <c r="AM471" s="1024">
        <f t="shared" ca="1" si="138"/>
        <v>0</v>
      </c>
      <c r="AN471" s="1024">
        <f t="shared" ca="1" si="138"/>
        <v>0</v>
      </c>
      <c r="AO471" s="1024">
        <f t="shared" ca="1" si="138"/>
        <v>0</v>
      </c>
      <c r="AP471" s="1024">
        <f t="shared" ca="1" si="138"/>
        <v>0</v>
      </c>
      <c r="AQ471" s="1024">
        <f t="shared" ca="1" si="138"/>
        <v>0</v>
      </c>
      <c r="AR471" s="1024">
        <f t="shared" ca="1" si="138"/>
        <v>0</v>
      </c>
      <c r="AS471" s="1024">
        <f t="shared" ca="1" si="138"/>
        <v>0</v>
      </c>
      <c r="AT471" s="1024">
        <f t="shared" ca="1" si="138"/>
        <v>0</v>
      </c>
      <c r="AU471" s="1024">
        <f t="shared" ca="1" si="138"/>
        <v>0</v>
      </c>
      <c r="AV471" s="1024">
        <f t="shared" ca="1" si="138"/>
        <v>0</v>
      </c>
      <c r="AW471" s="1024">
        <f t="shared" ca="1" si="138"/>
        <v>0</v>
      </c>
      <c r="AX471" s="1024">
        <f t="shared" ca="1" si="138"/>
        <v>0</v>
      </c>
    </row>
    <row r="472" spans="1:50" ht="15" customHeight="1">
      <c r="A472" s="397"/>
      <c r="B472" s="508"/>
      <c r="C472" s="372"/>
      <c r="D472" s="1102"/>
      <c r="E472" s="1024" t="str">
        <f xml:space="preserve"> E471 &amp; " POS"</f>
        <v>Taxable income after losses POS</v>
      </c>
      <c r="F472" s="1024">
        <f ca="1" xml:space="preserve"> SUMIF(K471:AX471, "&gt;0")</f>
        <v>1694.690630763936</v>
      </c>
      <c r="G472" s="22" t="str">
        <f xml:space="preserve"> Translate!E$10</f>
        <v>US$ mn</v>
      </c>
      <c r="H472" s="22"/>
      <c r="I472" s="1024"/>
      <c r="J472"/>
      <c r="K472" s="1024"/>
      <c r="L472" s="1024"/>
      <c r="M472" s="1024"/>
      <c r="N472" s="1024"/>
      <c r="O472" s="1024"/>
      <c r="P472" s="1024"/>
      <c r="Q472" s="1024"/>
      <c r="R472" s="1024"/>
      <c r="S472" s="1024"/>
      <c r="T472" s="1024"/>
      <c r="U472" s="1024"/>
      <c r="V472" s="1024"/>
      <c r="W472" s="1024"/>
      <c r="X472" s="1024"/>
      <c r="Y472" s="1024"/>
      <c r="Z472" s="1024"/>
      <c r="AA472" s="1024"/>
      <c r="AB472" s="1024"/>
      <c r="AC472" s="1024"/>
      <c r="AD472" s="1024"/>
      <c r="AE472" s="1024"/>
      <c r="AF472" s="1024"/>
      <c r="AG472" s="1024"/>
      <c r="AH472" s="1024"/>
      <c r="AI472" s="1024"/>
      <c r="AJ472" s="1024"/>
      <c r="AK472" s="1024"/>
      <c r="AL472" s="1024"/>
      <c r="AM472" s="1024"/>
      <c r="AN472" s="1024"/>
      <c r="AO472" s="1024"/>
      <c r="AP472" s="1024"/>
      <c r="AQ472" s="1024"/>
      <c r="AR472" s="1024"/>
      <c r="AS472" s="1024"/>
      <c r="AT472" s="1024"/>
      <c r="AU472" s="1024"/>
      <c r="AV472" s="1024"/>
      <c r="AW472" s="1024"/>
      <c r="AX472" s="1024"/>
    </row>
    <row r="473" spans="1:50" ht="15" customHeight="1">
      <c r="A473" s="347"/>
      <c r="B473" s="507"/>
      <c r="C473" s="333"/>
      <c r="D473" s="1112"/>
      <c r="E473" s="1024"/>
      <c r="F473" s="1059"/>
      <c r="G473" s="346"/>
      <c r="H473" s="346"/>
      <c r="I473" s="1112"/>
      <c r="J473" s="1041"/>
      <c r="K473" s="1048"/>
      <c r="L473" s="1048"/>
      <c r="M473" s="1048"/>
      <c r="N473" s="1048"/>
      <c r="O473" s="1048"/>
      <c r="P473" s="1048"/>
      <c r="Q473" s="1048"/>
      <c r="R473" s="1048"/>
      <c r="S473" s="1048"/>
      <c r="T473" s="1048"/>
      <c r="U473" s="1048"/>
      <c r="V473" s="1048"/>
      <c r="W473" s="1048"/>
      <c r="X473" s="1048"/>
      <c r="Y473" s="1048"/>
      <c r="Z473" s="1048"/>
      <c r="AA473" s="1048"/>
      <c r="AB473" s="1048"/>
      <c r="AC473" s="1048"/>
      <c r="AD473" s="1048"/>
      <c r="AE473" s="1048"/>
      <c r="AF473" s="1048"/>
      <c r="AG473" s="1048"/>
      <c r="AH473" s="1048"/>
      <c r="AI473" s="1048"/>
      <c r="AJ473" s="1048"/>
      <c r="AK473" s="1048"/>
      <c r="AL473" s="1048"/>
      <c r="AM473" s="1048"/>
      <c r="AN473" s="1048"/>
      <c r="AO473" s="1048"/>
      <c r="AP473" s="1048"/>
      <c r="AQ473" s="1048"/>
      <c r="AR473" s="1048"/>
      <c r="AS473" s="1048"/>
      <c r="AT473" s="1048"/>
      <c r="AU473" s="1048"/>
      <c r="AV473" s="1048"/>
      <c r="AW473" s="1048"/>
      <c r="AX473" s="1048"/>
    </row>
    <row r="474" spans="1:50" ht="15" customHeight="1">
      <c r="A474" s="347"/>
      <c r="B474" s="507"/>
      <c r="C474" s="333"/>
      <c r="D474" s="1112"/>
      <c r="E474" s="386" t="str">
        <f xml:space="preserve"> FiscalModel!E$39</f>
        <v>CIT rate</v>
      </c>
      <c r="F474" s="386">
        <f xml:space="preserve"> FiscalModel!F$39</f>
        <v>0.28000000000000003</v>
      </c>
      <c r="G474" s="386" t="str">
        <f xml:space="preserve"> FiscalModel!G$39</f>
        <v>%</v>
      </c>
      <c r="H474" s="346"/>
      <c r="I474" s="1112"/>
      <c r="J474" s="1041"/>
      <c r="K474" s="1048"/>
      <c r="L474" s="1048"/>
      <c r="M474" s="1048"/>
      <c r="N474" s="1048"/>
      <c r="O474" s="1048"/>
      <c r="P474" s="1048"/>
      <c r="Q474" s="1048"/>
      <c r="R474" s="1048"/>
      <c r="S474" s="1048"/>
      <c r="T474" s="1048"/>
      <c r="U474" s="1048"/>
      <c r="V474" s="1048"/>
      <c r="W474" s="1048"/>
      <c r="X474" s="1048"/>
      <c r="Y474" s="1048"/>
      <c r="Z474" s="1048"/>
      <c r="AA474" s="1048"/>
      <c r="AB474" s="1048"/>
      <c r="AC474" s="1048"/>
      <c r="AD474" s="1048"/>
      <c r="AE474" s="1048"/>
      <c r="AF474" s="1048"/>
      <c r="AG474" s="1048"/>
      <c r="AH474" s="1048"/>
      <c r="AI474" s="1048"/>
      <c r="AJ474" s="1048"/>
      <c r="AK474" s="1048"/>
      <c r="AL474" s="1048"/>
      <c r="AM474" s="1048"/>
      <c r="AN474" s="1048"/>
      <c r="AO474" s="1048"/>
      <c r="AP474" s="1048"/>
      <c r="AQ474" s="1048"/>
      <c r="AR474" s="1048"/>
      <c r="AS474" s="1048"/>
      <c r="AT474" s="1048"/>
      <c r="AU474" s="1048"/>
      <c r="AV474" s="1048"/>
      <c r="AW474" s="1048"/>
      <c r="AX474" s="1048"/>
    </row>
    <row r="475" spans="1:50" s="434" customFormat="1" ht="15" customHeight="1">
      <c r="A475" s="429"/>
      <c r="B475" s="508"/>
      <c r="C475" s="430"/>
      <c r="D475" s="432"/>
      <c r="E475" s="432" t="str">
        <f>Translate!$E$231</f>
        <v>CIT rate applicable</v>
      </c>
      <c r="F475" s="432"/>
      <c r="G475" s="432" t="s">
        <v>29</v>
      </c>
      <c r="H475" s="432"/>
      <c r="I475" s="432"/>
      <c r="J475" s="432"/>
      <c r="K475" s="438">
        <f xml:space="preserve"> $F474</f>
        <v>0.28000000000000003</v>
      </c>
      <c r="L475" s="438">
        <f t="shared" ref="L475:AX475" si="139" xml:space="preserve"> $F474</f>
        <v>0.28000000000000003</v>
      </c>
      <c r="M475" s="438">
        <f t="shared" si="139"/>
        <v>0.28000000000000003</v>
      </c>
      <c r="N475" s="438">
        <f t="shared" si="139"/>
        <v>0.28000000000000003</v>
      </c>
      <c r="O475" s="438">
        <f t="shared" si="139"/>
        <v>0.28000000000000003</v>
      </c>
      <c r="P475" s="438">
        <f t="shared" si="139"/>
        <v>0.28000000000000003</v>
      </c>
      <c r="Q475" s="438">
        <f t="shared" si="139"/>
        <v>0.28000000000000003</v>
      </c>
      <c r="R475" s="438">
        <f t="shared" si="139"/>
        <v>0.28000000000000003</v>
      </c>
      <c r="S475" s="438">
        <f t="shared" si="139"/>
        <v>0.28000000000000003</v>
      </c>
      <c r="T475" s="438">
        <f t="shared" si="139"/>
        <v>0.28000000000000003</v>
      </c>
      <c r="U475" s="438">
        <f t="shared" si="139"/>
        <v>0.28000000000000003</v>
      </c>
      <c r="V475" s="438">
        <f t="shared" si="139"/>
        <v>0.28000000000000003</v>
      </c>
      <c r="W475" s="438">
        <f t="shared" si="139"/>
        <v>0.28000000000000003</v>
      </c>
      <c r="X475" s="438">
        <f t="shared" si="139"/>
        <v>0.28000000000000003</v>
      </c>
      <c r="Y475" s="438">
        <f t="shared" si="139"/>
        <v>0.28000000000000003</v>
      </c>
      <c r="Z475" s="438">
        <f t="shared" si="139"/>
        <v>0.28000000000000003</v>
      </c>
      <c r="AA475" s="438">
        <f t="shared" si="139"/>
        <v>0.28000000000000003</v>
      </c>
      <c r="AB475" s="438">
        <f t="shared" si="139"/>
        <v>0.28000000000000003</v>
      </c>
      <c r="AC475" s="438">
        <f t="shared" si="139"/>
        <v>0.28000000000000003</v>
      </c>
      <c r="AD475" s="438">
        <f t="shared" si="139"/>
        <v>0.28000000000000003</v>
      </c>
      <c r="AE475" s="438">
        <f t="shared" si="139"/>
        <v>0.28000000000000003</v>
      </c>
      <c r="AF475" s="438">
        <f t="shared" si="139"/>
        <v>0.28000000000000003</v>
      </c>
      <c r="AG475" s="438">
        <f t="shared" si="139"/>
        <v>0.28000000000000003</v>
      </c>
      <c r="AH475" s="438">
        <f t="shared" si="139"/>
        <v>0.28000000000000003</v>
      </c>
      <c r="AI475" s="438">
        <f t="shared" si="139"/>
        <v>0.28000000000000003</v>
      </c>
      <c r="AJ475" s="438">
        <f t="shared" si="139"/>
        <v>0.28000000000000003</v>
      </c>
      <c r="AK475" s="438">
        <f t="shared" si="139"/>
        <v>0.28000000000000003</v>
      </c>
      <c r="AL475" s="438">
        <f t="shared" si="139"/>
        <v>0.28000000000000003</v>
      </c>
      <c r="AM475" s="438">
        <f t="shared" si="139"/>
        <v>0.28000000000000003</v>
      </c>
      <c r="AN475" s="438">
        <f t="shared" si="139"/>
        <v>0.28000000000000003</v>
      </c>
      <c r="AO475" s="438">
        <f t="shared" si="139"/>
        <v>0.28000000000000003</v>
      </c>
      <c r="AP475" s="438">
        <f t="shared" si="139"/>
        <v>0.28000000000000003</v>
      </c>
      <c r="AQ475" s="438">
        <f t="shared" si="139"/>
        <v>0.28000000000000003</v>
      </c>
      <c r="AR475" s="438">
        <f t="shared" si="139"/>
        <v>0.28000000000000003</v>
      </c>
      <c r="AS475" s="438">
        <f t="shared" si="139"/>
        <v>0.28000000000000003</v>
      </c>
      <c r="AT475" s="438">
        <f t="shared" si="139"/>
        <v>0.28000000000000003</v>
      </c>
      <c r="AU475" s="438">
        <f t="shared" si="139"/>
        <v>0.28000000000000003</v>
      </c>
      <c r="AV475" s="438">
        <f t="shared" si="139"/>
        <v>0.28000000000000003</v>
      </c>
      <c r="AW475" s="438">
        <f t="shared" si="139"/>
        <v>0.28000000000000003</v>
      </c>
      <c r="AX475" s="438">
        <f t="shared" si="139"/>
        <v>0.28000000000000003</v>
      </c>
    </row>
    <row r="476" spans="1:50" ht="15" customHeight="1">
      <c r="A476" s="347"/>
      <c r="B476" s="507"/>
      <c r="C476" s="333"/>
      <c r="D476" s="1112"/>
      <c r="E476" s="386"/>
      <c r="F476" s="386"/>
      <c r="G476" s="386"/>
      <c r="H476" s="346"/>
      <c r="I476" s="1112"/>
      <c r="J476" s="1041"/>
      <c r="K476" s="1048"/>
      <c r="L476" s="1048"/>
      <c r="M476" s="1048"/>
      <c r="N476" s="1048"/>
      <c r="O476" s="1048"/>
      <c r="P476" s="1048"/>
      <c r="Q476" s="1048"/>
      <c r="R476" s="1048"/>
      <c r="S476" s="1048"/>
      <c r="T476" s="1048"/>
      <c r="U476" s="1048"/>
      <c r="V476" s="1048"/>
      <c r="W476" s="1048"/>
      <c r="X476" s="1048"/>
      <c r="Y476" s="1048"/>
      <c r="Z476" s="1048"/>
      <c r="AA476" s="1048"/>
      <c r="AB476" s="1048"/>
      <c r="AC476" s="1048"/>
      <c r="AD476" s="1048"/>
      <c r="AE476" s="1048"/>
      <c r="AF476" s="1048"/>
      <c r="AG476" s="1048"/>
      <c r="AH476" s="1048"/>
      <c r="AI476" s="1048"/>
      <c r="AJ476" s="1048"/>
      <c r="AK476" s="1048"/>
      <c r="AL476" s="1048"/>
      <c r="AM476" s="1048"/>
      <c r="AN476" s="1048"/>
      <c r="AO476" s="1048"/>
      <c r="AP476" s="1048"/>
      <c r="AQ476" s="1048"/>
      <c r="AR476" s="1048"/>
      <c r="AS476" s="1048"/>
      <c r="AT476" s="1048"/>
      <c r="AU476" s="1048"/>
      <c r="AV476" s="1048"/>
      <c r="AW476" s="1048"/>
      <c r="AX476" s="1048"/>
    </row>
    <row r="477" spans="1:50" ht="15" customHeight="1">
      <c r="A477" s="397"/>
      <c r="B477" s="508"/>
      <c r="C477" s="372"/>
      <c r="D477" s="1102"/>
      <c r="E477" s="1024" t="str">
        <f>Translate!$E$31 &amp; ": " &amp; Translate!E$459</f>
        <v>CIT: Mining company</v>
      </c>
      <c r="F477" s="1024"/>
      <c r="G477" s="22" t="str">
        <f xml:space="preserve"> Translate!E$10</f>
        <v>US$ mn</v>
      </c>
      <c r="H477" s="22"/>
      <c r="I477" s="1024">
        <f ca="1" xml:space="preserve"> SUM(K477:AX477)</f>
        <v>474.51337661390221</v>
      </c>
      <c r="J477" s="1024"/>
      <c r="K477" s="1024">
        <f t="shared" ref="K477:AX477" ca="1" si="140" xml:space="preserve"> K471 * K475 * ( K471 &gt; 0 )</f>
        <v>0</v>
      </c>
      <c r="L477" s="1024">
        <f t="shared" ca="1" si="140"/>
        <v>0</v>
      </c>
      <c r="M477" s="1024">
        <f t="shared" ca="1" si="140"/>
        <v>0</v>
      </c>
      <c r="N477" s="1024">
        <f t="shared" ca="1" si="140"/>
        <v>0</v>
      </c>
      <c r="O477" s="1024">
        <f t="shared" ca="1" si="140"/>
        <v>0</v>
      </c>
      <c r="P477" s="1024">
        <f t="shared" ca="1" si="140"/>
        <v>0</v>
      </c>
      <c r="Q477" s="1024">
        <f t="shared" ca="1" si="140"/>
        <v>0</v>
      </c>
      <c r="R477" s="1024">
        <f t="shared" ca="1" si="140"/>
        <v>0</v>
      </c>
      <c r="S477" s="1024">
        <f t="shared" ca="1" si="140"/>
        <v>9.2114704406750647</v>
      </c>
      <c r="T477" s="1024">
        <f t="shared" ca="1" si="140"/>
        <v>36.332282193204342</v>
      </c>
      <c r="U477" s="1024">
        <f t="shared" ca="1" si="140"/>
        <v>44.747460178035944</v>
      </c>
      <c r="V477" s="1024">
        <f t="shared" ca="1" si="140"/>
        <v>46.997854813280213</v>
      </c>
      <c r="W477" s="1024">
        <f t="shared" ca="1" si="140"/>
        <v>47.937811909545815</v>
      </c>
      <c r="X477" s="1024">
        <f t="shared" ca="1" si="140"/>
        <v>47.907664252561148</v>
      </c>
      <c r="Y477" s="1024">
        <f t="shared" ca="1" si="140"/>
        <v>48.885595615515911</v>
      </c>
      <c r="Z477" s="1024">
        <f t="shared" ca="1" si="140"/>
        <v>49.883085605729725</v>
      </c>
      <c r="AA477" s="1024">
        <f t="shared" ca="1" si="140"/>
        <v>41.759488581975724</v>
      </c>
      <c r="AB477" s="1024">
        <f t="shared" ca="1" si="140"/>
        <v>33.917907037269394</v>
      </c>
      <c r="AC477" s="1024">
        <f t="shared" ca="1" si="140"/>
        <v>25.733016710667993</v>
      </c>
      <c r="AD477" s="1024">
        <f t="shared" ca="1" si="140"/>
        <v>23.014546720555273</v>
      </c>
      <c r="AE477" s="1024">
        <f t="shared" ca="1" si="140"/>
        <v>18.185192554885575</v>
      </c>
      <c r="AF477" s="1024">
        <f t="shared" ca="1" si="140"/>
        <v>0</v>
      </c>
      <c r="AG477" s="1024">
        <f t="shared" ca="1" si="140"/>
        <v>0</v>
      </c>
      <c r="AH477" s="1024">
        <f t="shared" ca="1" si="140"/>
        <v>0</v>
      </c>
      <c r="AI477" s="1024">
        <f t="shared" ca="1" si="140"/>
        <v>0</v>
      </c>
      <c r="AJ477" s="1024">
        <f t="shared" ca="1" si="140"/>
        <v>0</v>
      </c>
      <c r="AK477" s="1024">
        <f t="shared" ca="1" si="140"/>
        <v>0</v>
      </c>
      <c r="AL477" s="1024">
        <f t="shared" ca="1" si="140"/>
        <v>0</v>
      </c>
      <c r="AM477" s="1024">
        <f t="shared" ca="1" si="140"/>
        <v>0</v>
      </c>
      <c r="AN477" s="1024">
        <f t="shared" ca="1" si="140"/>
        <v>0</v>
      </c>
      <c r="AO477" s="1024">
        <f t="shared" ca="1" si="140"/>
        <v>0</v>
      </c>
      <c r="AP477" s="1024">
        <f t="shared" ca="1" si="140"/>
        <v>0</v>
      </c>
      <c r="AQ477" s="1024">
        <f t="shared" ca="1" si="140"/>
        <v>0</v>
      </c>
      <c r="AR477" s="1024">
        <f t="shared" ca="1" si="140"/>
        <v>0</v>
      </c>
      <c r="AS477" s="1024">
        <f t="shared" ca="1" si="140"/>
        <v>0</v>
      </c>
      <c r="AT477" s="1024">
        <f t="shared" ca="1" si="140"/>
        <v>0</v>
      </c>
      <c r="AU477" s="1024">
        <f t="shared" ca="1" si="140"/>
        <v>0</v>
      </c>
      <c r="AV477" s="1024">
        <f t="shared" ca="1" si="140"/>
        <v>0</v>
      </c>
      <c r="AW477" s="1024">
        <f t="shared" ca="1" si="140"/>
        <v>0</v>
      </c>
      <c r="AX477" s="1024">
        <f t="shared" ca="1" si="140"/>
        <v>0</v>
      </c>
    </row>
    <row r="478" spans="1:50" ht="15" customHeight="1">
      <c r="A478" s="347"/>
      <c r="D478" s="1005"/>
      <c r="E478" s="1041"/>
      <c r="F478" s="1041"/>
      <c r="G478" s="1041"/>
      <c r="H478" s="1041"/>
      <c r="I478" s="1041"/>
      <c r="J478" s="1041"/>
      <c r="K478" s="1041"/>
      <c r="L478" s="1041"/>
      <c r="M478" s="1041"/>
      <c r="N478" s="1041"/>
      <c r="O478" s="1041"/>
      <c r="P478" s="1041"/>
      <c r="Q478" s="1041"/>
      <c r="R478" s="1041"/>
      <c r="S478" s="1041"/>
      <c r="T478" s="1041"/>
      <c r="U478" s="1041"/>
      <c r="V478" s="1041"/>
      <c r="W478" s="1041"/>
      <c r="X478" s="1041"/>
      <c r="Y478" s="1041"/>
      <c r="Z478" s="1041"/>
      <c r="AA478" s="1041"/>
      <c r="AB478" s="1041"/>
      <c r="AC478" s="1041"/>
      <c r="AD478" s="1041"/>
      <c r="AE478" s="1041"/>
      <c r="AF478" s="1041"/>
      <c r="AG478" s="1041"/>
      <c r="AH478" s="1041"/>
      <c r="AI478" s="1041"/>
      <c r="AJ478" s="1041"/>
      <c r="AK478" s="1041"/>
      <c r="AL478" s="1041"/>
      <c r="AM478" s="1041"/>
      <c r="AN478" s="1041"/>
      <c r="AO478" s="1041"/>
      <c r="AP478" s="1041"/>
      <c r="AQ478" s="1041"/>
      <c r="AR478" s="1041"/>
      <c r="AS478" s="1041"/>
      <c r="AT478" s="1041"/>
      <c r="AU478" s="1041"/>
      <c r="AV478" s="1041"/>
      <c r="AW478" s="1041"/>
      <c r="AX478" s="1041"/>
    </row>
    <row r="479" spans="1:50" ht="15" customHeight="1">
      <c r="A479" s="347"/>
      <c r="D479" s="1005"/>
      <c r="E479" s="1041"/>
      <c r="F479" s="1041"/>
      <c r="G479" s="1041"/>
      <c r="H479" s="1041"/>
      <c r="I479" s="1041"/>
      <c r="J479" s="1041"/>
      <c r="K479" s="1041"/>
      <c r="L479" s="1041"/>
      <c r="M479" s="1041"/>
      <c r="N479" s="1041"/>
      <c r="O479" s="1041"/>
      <c r="P479" s="1041"/>
      <c r="Q479" s="1041"/>
      <c r="R479" s="1041"/>
      <c r="S479" s="1041"/>
      <c r="T479" s="1041"/>
      <c r="U479" s="1041"/>
      <c r="V479" s="1041"/>
      <c r="W479" s="1041"/>
      <c r="X479" s="1041"/>
      <c r="Y479" s="1041"/>
      <c r="Z479" s="1041"/>
      <c r="AA479" s="1041"/>
      <c r="AB479" s="1041"/>
      <c r="AC479" s="1041"/>
      <c r="AD479" s="1041"/>
      <c r="AE479" s="1041"/>
      <c r="AF479" s="1041"/>
      <c r="AG479" s="1041"/>
      <c r="AH479" s="1041"/>
      <c r="AI479" s="1041"/>
      <c r="AJ479" s="1041"/>
      <c r="AK479" s="1041"/>
      <c r="AL479" s="1041"/>
      <c r="AM479" s="1041"/>
      <c r="AN479" s="1041"/>
      <c r="AO479" s="1041"/>
      <c r="AP479" s="1041"/>
      <c r="AQ479" s="1041"/>
      <c r="AR479" s="1041"/>
      <c r="AS479" s="1041"/>
      <c r="AT479" s="1041"/>
      <c r="AU479" s="1041"/>
      <c r="AV479" s="1041"/>
      <c r="AW479" s="1041"/>
      <c r="AX479" s="1041"/>
    </row>
    <row r="480" spans="1:50" ht="15" customHeight="1">
      <c r="A480" s="351" t="str">
        <f>Translate!$E$44 &amp; ": " &amp; Translate!$E$32</f>
        <v xml:space="preserve">Resource rent tax: Cumulative cashflow </v>
      </c>
      <c r="B480" s="686"/>
      <c r="C480" s="352"/>
      <c r="D480" s="353"/>
      <c r="E480" s="351"/>
      <c r="F480" s="351"/>
      <c r="G480" s="351"/>
      <c r="H480" s="351"/>
      <c r="I480" s="351"/>
      <c r="J480" s="351"/>
      <c r="K480" s="351"/>
      <c r="L480" s="351"/>
      <c r="M480" s="351"/>
      <c r="N480" s="351"/>
      <c r="O480" s="351"/>
      <c r="P480" s="351"/>
      <c r="Q480" s="351"/>
      <c r="R480" s="351"/>
      <c r="S480" s="351"/>
      <c r="T480" s="351"/>
      <c r="U480" s="351"/>
      <c r="V480" s="351"/>
      <c r="W480" s="351"/>
      <c r="X480" s="351"/>
      <c r="Y480" s="351"/>
      <c r="Z480" s="351"/>
      <c r="AA480" s="351"/>
      <c r="AB480" s="351"/>
      <c r="AC480" s="351"/>
      <c r="AD480" s="351"/>
      <c r="AE480" s="351"/>
      <c r="AF480" s="351"/>
      <c r="AG480" s="351"/>
      <c r="AH480" s="351"/>
      <c r="AI480" s="351"/>
      <c r="AJ480" s="351"/>
      <c r="AK480" s="351"/>
      <c r="AL480" s="351"/>
      <c r="AM480" s="351"/>
      <c r="AN480" s="351"/>
      <c r="AO480" s="351"/>
      <c r="AP480" s="351"/>
      <c r="AQ480" s="351"/>
      <c r="AR480" s="351"/>
      <c r="AS480" s="351"/>
      <c r="AT480" s="351"/>
      <c r="AU480" s="351"/>
      <c r="AV480" s="351"/>
      <c r="AW480" s="351"/>
      <c r="AX480" s="351"/>
    </row>
    <row r="481" spans="1:50" ht="15" customHeight="1">
      <c r="A481" s="347"/>
      <c r="D481" s="1005"/>
      <c r="E481" s="1041"/>
      <c r="F481" s="1041"/>
      <c r="G481" s="1041"/>
      <c r="H481" s="1041"/>
      <c r="I481" s="1041"/>
      <c r="J481" s="1041"/>
      <c r="K481" s="1041"/>
      <c r="L481" s="1041"/>
      <c r="M481" s="1041"/>
      <c r="N481" s="1041"/>
      <c r="O481" s="1041"/>
      <c r="P481" s="1041"/>
      <c r="Q481" s="1041"/>
      <c r="R481" s="1041"/>
      <c r="S481" s="1041"/>
      <c r="T481" s="1041"/>
      <c r="U481" s="1041"/>
      <c r="V481" s="1041"/>
      <c r="W481" s="1041"/>
      <c r="X481" s="1041"/>
      <c r="Y481" s="1041"/>
      <c r="Z481" s="1041"/>
      <c r="AA481" s="1041"/>
      <c r="AB481" s="1041"/>
      <c r="AC481" s="1041"/>
      <c r="AD481" s="1041"/>
      <c r="AE481" s="1041"/>
      <c r="AF481" s="1041"/>
      <c r="AG481" s="1041"/>
      <c r="AH481" s="1041"/>
      <c r="AI481" s="1041"/>
      <c r="AJ481" s="1041"/>
      <c r="AK481" s="1041"/>
      <c r="AL481" s="1041"/>
      <c r="AM481" s="1041"/>
      <c r="AN481" s="1041"/>
      <c r="AO481" s="1041"/>
      <c r="AP481" s="1041"/>
      <c r="AQ481" s="1041"/>
      <c r="AR481" s="1041"/>
      <c r="AS481" s="1041"/>
      <c r="AT481" s="1041"/>
      <c r="AU481" s="1041"/>
      <c r="AV481" s="1041"/>
      <c r="AW481" s="1041"/>
      <c r="AX481" s="1041"/>
    </row>
    <row r="482" spans="1:50" ht="15" customHeight="1">
      <c r="A482" s="347"/>
      <c r="B482" s="508" t="str">
        <f>Translate!$E$82</f>
        <v>Determine cashflow for RRT</v>
      </c>
      <c r="D482" s="1005"/>
      <c r="E482" s="1041"/>
      <c r="F482" s="1041"/>
      <c r="G482" s="1041"/>
      <c r="H482" s="1041"/>
      <c r="I482" s="1041"/>
      <c r="J482" s="1041"/>
      <c r="K482" s="1041"/>
      <c r="L482" s="1041"/>
      <c r="M482" s="1041"/>
      <c r="N482" s="1041"/>
      <c r="O482" s="1041"/>
      <c r="P482" s="1041"/>
      <c r="Q482" s="1041"/>
      <c r="R482" s="1041"/>
      <c r="S482" s="1041"/>
      <c r="T482" s="1041"/>
      <c r="U482" s="1041"/>
      <c r="V482" s="1041"/>
      <c r="W482" s="1041"/>
      <c r="X482" s="1041"/>
      <c r="Y482" s="1041"/>
      <c r="Z482" s="1041"/>
      <c r="AA482" s="1041"/>
      <c r="AB482" s="1041"/>
      <c r="AC482" s="1041"/>
      <c r="AD482" s="1041"/>
      <c r="AE482" s="1041"/>
      <c r="AF482" s="1041"/>
      <c r="AG482" s="1041"/>
      <c r="AH482" s="1041"/>
      <c r="AI482" s="1041"/>
      <c r="AJ482" s="1041"/>
      <c r="AK482" s="1041"/>
      <c r="AL482" s="1041"/>
      <c r="AM482" s="1041"/>
      <c r="AN482" s="1041"/>
      <c r="AO482" s="1041"/>
      <c r="AP482" s="1041"/>
      <c r="AQ482" s="1041"/>
      <c r="AR482" s="1041"/>
      <c r="AS482" s="1041"/>
      <c r="AT482" s="1041"/>
      <c r="AU482" s="1041"/>
      <c r="AV482" s="1041"/>
      <c r="AW482" s="1041"/>
      <c r="AX482" s="1041"/>
    </row>
    <row r="483" spans="1:50" ht="15" customHeight="1">
      <c r="A483" s="397"/>
      <c r="B483" s="508"/>
      <c r="C483" s="372"/>
      <c r="D483" s="1102"/>
      <c r="E483" s="366" t="str">
        <f xml:space="preserve"> ProjectCashflows!E$236</f>
        <v>Sales revenues: net, after ELT</v>
      </c>
      <c r="F483" s="366">
        <f xml:space="preserve"> ProjectCashflows!F$236</f>
        <v>0</v>
      </c>
      <c r="G483" s="366" t="str">
        <f xml:space="preserve"> ProjectCashflows!G$236</f>
        <v>US$ mn</v>
      </c>
      <c r="H483" s="366">
        <f xml:space="preserve"> ProjectCashflows!H$236</f>
        <v>0</v>
      </c>
      <c r="I483" s="366">
        <f ca="1" xml:space="preserve"> ProjectCashflows!I$236</f>
        <v>3733.2780191354932</v>
      </c>
      <c r="J483" s="366">
        <f xml:space="preserve"> ProjectCashflows!J$236</f>
        <v>0</v>
      </c>
      <c r="K483" s="366">
        <f ca="1" xml:space="preserve"> ProjectCashflows!K$236</f>
        <v>0</v>
      </c>
      <c r="L483" s="366">
        <f ca="1" xml:space="preserve"> ProjectCashflows!L$236</f>
        <v>0</v>
      </c>
      <c r="M483" s="366">
        <f ca="1" xml:space="preserve"> ProjectCashflows!M$236</f>
        <v>0</v>
      </c>
      <c r="N483" s="366">
        <f ca="1" xml:space="preserve"> ProjectCashflows!N$236</f>
        <v>0</v>
      </c>
      <c r="O483" s="366">
        <f ca="1" xml:space="preserve"> ProjectCashflows!O$236</f>
        <v>15.965874359999999</v>
      </c>
      <c r="P483" s="366">
        <f ca="1" xml:space="preserve"> ProjectCashflows!P$236</f>
        <v>122.138938854</v>
      </c>
      <c r="Q483" s="366">
        <f ca="1" xml:space="preserve"> ProjectCashflows!Q$236</f>
        <v>249.16343526216002</v>
      </c>
      <c r="R483" s="366">
        <f ca="1" xml:space="preserve"> ProjectCashflows!R$236</f>
        <v>254.14670396740317</v>
      </c>
      <c r="S483" s="366">
        <f ca="1" xml:space="preserve"> ProjectCashflows!S$236</f>
        <v>259.22963804675129</v>
      </c>
      <c r="T483" s="366">
        <f ca="1" xml:space="preserve"> ProjectCashflows!T$236</f>
        <v>264.41423080768635</v>
      </c>
      <c r="U483" s="366">
        <f ca="1" xml:space="preserve"> ProjectCashflows!U$236</f>
        <v>269.70251542384005</v>
      </c>
      <c r="V483" s="366">
        <f ca="1" xml:space="preserve"> ProjectCashflows!V$236</f>
        <v>275.09656573231683</v>
      </c>
      <c r="W483" s="366">
        <f ca="1" xml:space="preserve"> ProjectCashflows!W$236</f>
        <v>280.59849704696319</v>
      </c>
      <c r="X483" s="366">
        <f ca="1" xml:space="preserve"> ProjectCashflows!X$236</f>
        <v>286.21046698790241</v>
      </c>
      <c r="Y483" s="366">
        <f ca="1" xml:space="preserve"> ProjectCashflows!Y$236</f>
        <v>291.93467632766055</v>
      </c>
      <c r="Z483" s="366">
        <f ca="1" xml:space="preserve"> ProjectCashflows!Z$236</f>
        <v>297.77336985421374</v>
      </c>
      <c r="AA483" s="366">
        <f ca="1" xml:space="preserve"> ProjectCashflows!AA$236</f>
        <v>253.1073643760817</v>
      </c>
      <c r="AB483" s="366">
        <f ca="1" xml:space="preserve"> ProjectCashflows!AB$236</f>
        <v>206.53560933088266</v>
      </c>
      <c r="AC483" s="366">
        <f ca="1" xml:space="preserve"> ProjectCashflows!AC$236</f>
        <v>157.99974113812524</v>
      </c>
      <c r="AD483" s="366">
        <f ca="1" xml:space="preserve"> ProjectCashflows!AD$236</f>
        <v>139.6717711661027</v>
      </c>
      <c r="AE483" s="366">
        <f ca="1" xml:space="preserve"> ProjectCashflows!AE$236</f>
        <v>109.58862045340366</v>
      </c>
      <c r="AF483" s="366">
        <f ca="1" xml:space="preserve"> ProjectCashflows!AF$236</f>
        <v>0</v>
      </c>
      <c r="AG483" s="366">
        <f ca="1" xml:space="preserve"> ProjectCashflows!AG$236</f>
        <v>0</v>
      </c>
      <c r="AH483" s="366">
        <f ca="1" xml:space="preserve"> ProjectCashflows!AH$236</f>
        <v>0</v>
      </c>
      <c r="AI483" s="366">
        <f ca="1" xml:space="preserve"> ProjectCashflows!AI$236</f>
        <v>0</v>
      </c>
      <c r="AJ483" s="366">
        <f ca="1" xml:space="preserve"> ProjectCashflows!AJ$236</f>
        <v>0</v>
      </c>
      <c r="AK483" s="366">
        <f ca="1" xml:space="preserve"> ProjectCashflows!AK$236</f>
        <v>0</v>
      </c>
      <c r="AL483" s="366">
        <f ca="1" xml:space="preserve"> ProjectCashflows!AL$236</f>
        <v>0</v>
      </c>
      <c r="AM483" s="366">
        <f ca="1" xml:space="preserve"> ProjectCashflows!AM$236</f>
        <v>0</v>
      </c>
      <c r="AN483" s="366">
        <f ca="1" xml:space="preserve"> ProjectCashflows!AN$236</f>
        <v>0</v>
      </c>
      <c r="AO483" s="366">
        <f ca="1" xml:space="preserve"> ProjectCashflows!AO$236</f>
        <v>0</v>
      </c>
      <c r="AP483" s="366">
        <f ca="1" xml:space="preserve"> ProjectCashflows!AP$236</f>
        <v>0</v>
      </c>
      <c r="AQ483" s="366">
        <f ca="1" xml:space="preserve"> ProjectCashflows!AQ$236</f>
        <v>0</v>
      </c>
      <c r="AR483" s="366">
        <f ca="1" xml:space="preserve"> ProjectCashflows!AR$236</f>
        <v>0</v>
      </c>
      <c r="AS483" s="366">
        <f ca="1" xml:space="preserve"> ProjectCashflows!AS$236</f>
        <v>0</v>
      </c>
      <c r="AT483" s="366">
        <f ca="1" xml:space="preserve"> ProjectCashflows!AT$236</f>
        <v>0</v>
      </c>
      <c r="AU483" s="366">
        <f ca="1" xml:space="preserve"> ProjectCashflows!AU$236</f>
        <v>0</v>
      </c>
      <c r="AV483" s="366">
        <f ca="1" xml:space="preserve"> ProjectCashflows!AV$236</f>
        <v>0</v>
      </c>
      <c r="AW483" s="366">
        <f ca="1" xml:space="preserve"> ProjectCashflows!AW$236</f>
        <v>0</v>
      </c>
      <c r="AX483" s="366">
        <f ca="1" xml:space="preserve"> ProjectCashflows!AX$236</f>
        <v>0</v>
      </c>
    </row>
    <row r="484" spans="1:50" ht="15" customHeight="1">
      <c r="A484" s="347"/>
      <c r="D484" s="1005"/>
      <c r="E484" s="1041"/>
      <c r="F484" s="1041"/>
      <c r="G484" s="1041"/>
      <c r="H484" s="1041"/>
      <c r="I484" s="1041"/>
      <c r="J484" s="1041"/>
      <c r="K484" s="1041"/>
      <c r="L484" s="1041"/>
      <c r="M484" s="1041"/>
      <c r="N484" s="1041"/>
      <c r="O484" s="1041"/>
      <c r="P484" s="1041"/>
      <c r="Q484" s="1041"/>
      <c r="R484" s="1041"/>
      <c r="S484" s="1041"/>
      <c r="T484" s="1041"/>
      <c r="U484" s="1041"/>
      <c r="V484" s="1041"/>
      <c r="W484" s="1041"/>
      <c r="X484" s="1041"/>
      <c r="Y484" s="1041"/>
      <c r="Z484" s="1041"/>
      <c r="AA484" s="1041"/>
      <c r="AB484" s="1041"/>
      <c r="AC484" s="1041"/>
      <c r="AD484" s="1041"/>
      <c r="AE484" s="1041"/>
      <c r="AF484" s="1041"/>
      <c r="AG484" s="1041"/>
      <c r="AH484" s="1041"/>
      <c r="AI484" s="1041"/>
      <c r="AJ484" s="1041"/>
      <c r="AK484" s="1041"/>
      <c r="AL484" s="1041"/>
      <c r="AM484" s="1041"/>
      <c r="AN484" s="1041"/>
      <c r="AO484" s="1041"/>
      <c r="AP484" s="1041"/>
      <c r="AQ484" s="1041"/>
      <c r="AR484" s="1041"/>
      <c r="AS484" s="1041"/>
      <c r="AT484" s="1041"/>
      <c r="AU484" s="1041"/>
      <c r="AV484" s="1041"/>
      <c r="AW484" s="1041"/>
      <c r="AX484" s="1041"/>
    </row>
    <row r="485" spans="1:50" ht="15" customHeight="1">
      <c r="A485" s="347"/>
      <c r="D485" s="1005"/>
      <c r="E485" s="366" t="str">
        <f xml:space="preserve"> ProjectCashflows!E$238</f>
        <v>Exploration costs, after ELT</v>
      </c>
      <c r="F485" s="366">
        <f xml:space="preserve"> ProjectCashflows!F$238</f>
        <v>0</v>
      </c>
      <c r="G485" s="366" t="str">
        <f xml:space="preserve"> ProjectCashflows!G$238</f>
        <v>US$ mn</v>
      </c>
      <c r="H485" s="366">
        <f xml:space="preserve"> ProjectCashflows!H$238</f>
        <v>0</v>
      </c>
      <c r="I485" s="366">
        <f ca="1" xml:space="preserve"> ProjectCashflows!I$238</f>
        <v>30.603999999999999</v>
      </c>
      <c r="J485" s="366">
        <f xml:space="preserve"> ProjectCashflows!J$238</f>
        <v>0</v>
      </c>
      <c r="K485" s="366">
        <f ca="1" xml:space="preserve"> ProjectCashflows!K$238</f>
        <v>10</v>
      </c>
      <c r="L485" s="366">
        <f ca="1" xml:space="preserve"> ProjectCashflows!L$238</f>
        <v>10.199999999999999</v>
      </c>
      <c r="M485" s="366">
        <f ca="1" xml:space="preserve"> ProjectCashflows!M$238</f>
        <v>10.404</v>
      </c>
      <c r="N485" s="366">
        <f ca="1" xml:space="preserve"> ProjectCashflows!N$238</f>
        <v>0</v>
      </c>
      <c r="O485" s="366">
        <f ca="1" xml:space="preserve"> ProjectCashflows!O$238</f>
        <v>0</v>
      </c>
      <c r="P485" s="366">
        <f ca="1" xml:space="preserve"> ProjectCashflows!P$238</f>
        <v>0</v>
      </c>
      <c r="Q485" s="366">
        <f ca="1" xml:space="preserve"> ProjectCashflows!Q$238</f>
        <v>0</v>
      </c>
      <c r="R485" s="366">
        <f ca="1" xml:space="preserve"> ProjectCashflows!R$238</f>
        <v>0</v>
      </c>
      <c r="S485" s="366">
        <f ca="1" xml:space="preserve"> ProjectCashflows!S$238</f>
        <v>0</v>
      </c>
      <c r="T485" s="366">
        <f ca="1" xml:space="preserve"> ProjectCashflows!T$238</f>
        <v>0</v>
      </c>
      <c r="U485" s="366">
        <f ca="1" xml:space="preserve"> ProjectCashflows!U$238</f>
        <v>0</v>
      </c>
      <c r="V485" s="366">
        <f ca="1" xml:space="preserve"> ProjectCashflows!V$238</f>
        <v>0</v>
      </c>
      <c r="W485" s="366">
        <f ca="1" xml:space="preserve"> ProjectCashflows!W$238</f>
        <v>0</v>
      </c>
      <c r="X485" s="366">
        <f ca="1" xml:space="preserve"> ProjectCashflows!X$238</f>
        <v>0</v>
      </c>
      <c r="Y485" s="366">
        <f ca="1" xml:space="preserve"> ProjectCashflows!Y$238</f>
        <v>0</v>
      </c>
      <c r="Z485" s="366">
        <f ca="1" xml:space="preserve"> ProjectCashflows!Z$238</f>
        <v>0</v>
      </c>
      <c r="AA485" s="366">
        <f ca="1" xml:space="preserve"> ProjectCashflows!AA$238</f>
        <v>0</v>
      </c>
      <c r="AB485" s="366">
        <f ca="1" xml:space="preserve"> ProjectCashflows!AB$238</f>
        <v>0</v>
      </c>
      <c r="AC485" s="366">
        <f ca="1" xml:space="preserve"> ProjectCashflows!AC$238</f>
        <v>0</v>
      </c>
      <c r="AD485" s="366">
        <f ca="1" xml:space="preserve"> ProjectCashflows!AD$238</f>
        <v>0</v>
      </c>
      <c r="AE485" s="366">
        <f ca="1" xml:space="preserve"> ProjectCashflows!AE$238</f>
        <v>0</v>
      </c>
      <c r="AF485" s="366">
        <f ca="1" xml:space="preserve"> ProjectCashflows!AF$238</f>
        <v>0</v>
      </c>
      <c r="AG485" s="366">
        <f ca="1" xml:space="preserve"> ProjectCashflows!AG$238</f>
        <v>0</v>
      </c>
      <c r="AH485" s="366">
        <f ca="1" xml:space="preserve"> ProjectCashflows!AH$238</f>
        <v>0</v>
      </c>
      <c r="AI485" s="366">
        <f ca="1" xml:space="preserve"> ProjectCashflows!AI$238</f>
        <v>0</v>
      </c>
      <c r="AJ485" s="366">
        <f ca="1" xml:space="preserve"> ProjectCashflows!AJ$238</f>
        <v>0</v>
      </c>
      <c r="AK485" s="366">
        <f ca="1" xml:space="preserve"> ProjectCashflows!AK$238</f>
        <v>0</v>
      </c>
      <c r="AL485" s="366">
        <f ca="1" xml:space="preserve"> ProjectCashflows!AL$238</f>
        <v>0</v>
      </c>
      <c r="AM485" s="366">
        <f ca="1" xml:space="preserve"> ProjectCashflows!AM$238</f>
        <v>0</v>
      </c>
      <c r="AN485" s="366">
        <f ca="1" xml:space="preserve"> ProjectCashflows!AN$238</f>
        <v>0</v>
      </c>
      <c r="AO485" s="366">
        <f ca="1" xml:space="preserve"> ProjectCashflows!AO$238</f>
        <v>0</v>
      </c>
      <c r="AP485" s="366">
        <f ca="1" xml:space="preserve"> ProjectCashflows!AP$238</f>
        <v>0</v>
      </c>
      <c r="AQ485" s="366">
        <f ca="1" xml:space="preserve"> ProjectCashflows!AQ$238</f>
        <v>0</v>
      </c>
      <c r="AR485" s="366">
        <f ca="1" xml:space="preserve"> ProjectCashflows!AR$238</f>
        <v>0</v>
      </c>
      <c r="AS485" s="366">
        <f ca="1" xml:space="preserve"> ProjectCashflows!AS$238</f>
        <v>0</v>
      </c>
      <c r="AT485" s="366">
        <f ca="1" xml:space="preserve"> ProjectCashflows!AT$238</f>
        <v>0</v>
      </c>
      <c r="AU485" s="366">
        <f ca="1" xml:space="preserve"> ProjectCashflows!AU$238</f>
        <v>0</v>
      </c>
      <c r="AV485" s="366">
        <f ca="1" xml:space="preserve"> ProjectCashflows!AV$238</f>
        <v>0</v>
      </c>
      <c r="AW485" s="366">
        <f ca="1" xml:space="preserve"> ProjectCashflows!AW$238</f>
        <v>0</v>
      </c>
      <c r="AX485" s="366">
        <f ca="1" xml:space="preserve"> ProjectCashflows!AX$238</f>
        <v>0</v>
      </c>
    </row>
    <row r="486" spans="1:50" s="221" customFormat="1" ht="15" customHeight="1">
      <c r="A486" s="371"/>
      <c r="B486" s="690"/>
      <c r="C486" s="436"/>
      <c r="D486" s="222"/>
      <c r="E486" s="221" t="str">
        <f xml:space="preserve"> ProjectCashflows!E$239</f>
        <v>Development costs, after ELT</v>
      </c>
      <c r="F486" s="221">
        <f xml:space="preserve"> ProjectCashflows!F$239</f>
        <v>0</v>
      </c>
      <c r="G486" s="221" t="str">
        <f xml:space="preserve"> ProjectCashflows!G$239</f>
        <v>US$ mn</v>
      </c>
      <c r="H486" s="221">
        <f xml:space="preserve"> ProjectCashflows!H$239</f>
        <v>0</v>
      </c>
      <c r="I486" s="221">
        <f ca="1" xml:space="preserve"> ProjectCashflows!I$239</f>
        <v>434.07652032000004</v>
      </c>
      <c r="J486" s="221">
        <f xml:space="preserve"> ProjectCashflows!J$239</f>
        <v>0</v>
      </c>
      <c r="K486" s="221">
        <f ca="1" xml:space="preserve"> ProjectCashflows!K$239</f>
        <v>0</v>
      </c>
      <c r="L486" s="221">
        <f ca="1" xml:space="preserve"> ProjectCashflows!L$239</f>
        <v>0</v>
      </c>
      <c r="M486" s="221">
        <f ca="1" xml:space="preserve"> ProjectCashflows!M$239</f>
        <v>0</v>
      </c>
      <c r="N486" s="221">
        <f ca="1" xml:space="preserve"> ProjectCashflows!N$239</f>
        <v>53.060399999999994</v>
      </c>
      <c r="O486" s="221">
        <f ca="1" xml:space="preserve"> ProjectCashflows!O$239</f>
        <v>270.60804000000002</v>
      </c>
      <c r="P486" s="221">
        <f ca="1" xml:space="preserve"> ProjectCashflows!P$239</f>
        <v>110.40808032</v>
      </c>
      <c r="Q486" s="221">
        <f ca="1" xml:space="preserve"> ProjectCashflows!Q$239</f>
        <v>0</v>
      </c>
      <c r="R486" s="221">
        <f ca="1" xml:space="preserve"> ProjectCashflows!R$239</f>
        <v>0</v>
      </c>
      <c r="S486" s="221">
        <f ca="1" xml:space="preserve"> ProjectCashflows!S$239</f>
        <v>0</v>
      </c>
      <c r="T486" s="221">
        <f ca="1" xml:space="preserve"> ProjectCashflows!T$239</f>
        <v>0</v>
      </c>
      <c r="U486" s="221">
        <f ca="1" xml:space="preserve"> ProjectCashflows!U$239</f>
        <v>0</v>
      </c>
      <c r="V486" s="221">
        <f ca="1" xml:space="preserve"> ProjectCashflows!V$239</f>
        <v>0</v>
      </c>
      <c r="W486" s="221">
        <f ca="1" xml:space="preserve"> ProjectCashflows!W$239</f>
        <v>0</v>
      </c>
      <c r="X486" s="221">
        <f ca="1" xml:space="preserve"> ProjectCashflows!X$239</f>
        <v>0</v>
      </c>
      <c r="Y486" s="221">
        <f ca="1" xml:space="preserve"> ProjectCashflows!Y$239</f>
        <v>0</v>
      </c>
      <c r="Z486" s="221">
        <f ca="1" xml:space="preserve"> ProjectCashflows!Z$239</f>
        <v>0</v>
      </c>
      <c r="AA486" s="221">
        <f ca="1" xml:space="preserve"> ProjectCashflows!AA$239</f>
        <v>0</v>
      </c>
      <c r="AB486" s="221">
        <f ca="1" xml:space="preserve"> ProjectCashflows!AB$239</f>
        <v>0</v>
      </c>
      <c r="AC486" s="221">
        <f ca="1" xml:space="preserve"> ProjectCashflows!AC$239</f>
        <v>0</v>
      </c>
      <c r="AD486" s="221">
        <f ca="1" xml:space="preserve"> ProjectCashflows!AD$239</f>
        <v>0</v>
      </c>
      <c r="AE486" s="221">
        <f ca="1" xml:space="preserve"> ProjectCashflows!AE$239</f>
        <v>0</v>
      </c>
      <c r="AF486" s="221">
        <f ca="1" xml:space="preserve"> ProjectCashflows!AF$239</f>
        <v>0</v>
      </c>
      <c r="AG486" s="221">
        <f ca="1" xml:space="preserve"> ProjectCashflows!AG$239</f>
        <v>0</v>
      </c>
      <c r="AH486" s="221">
        <f ca="1" xml:space="preserve"> ProjectCashflows!AH$239</f>
        <v>0</v>
      </c>
      <c r="AI486" s="221">
        <f ca="1" xml:space="preserve"> ProjectCashflows!AI$239</f>
        <v>0</v>
      </c>
      <c r="AJ486" s="221">
        <f ca="1" xml:space="preserve"> ProjectCashflows!AJ$239</f>
        <v>0</v>
      </c>
      <c r="AK486" s="221">
        <f ca="1" xml:space="preserve"> ProjectCashflows!AK$239</f>
        <v>0</v>
      </c>
      <c r="AL486" s="221">
        <f ca="1" xml:space="preserve"> ProjectCashflows!AL$239</f>
        <v>0</v>
      </c>
      <c r="AM486" s="221">
        <f ca="1" xml:space="preserve"> ProjectCashflows!AM$239</f>
        <v>0</v>
      </c>
      <c r="AN486" s="221">
        <f ca="1" xml:space="preserve"> ProjectCashflows!AN$239</f>
        <v>0</v>
      </c>
      <c r="AO486" s="221">
        <f ca="1" xml:space="preserve"> ProjectCashflows!AO$239</f>
        <v>0</v>
      </c>
      <c r="AP486" s="221">
        <f ca="1" xml:space="preserve"> ProjectCashflows!AP$239</f>
        <v>0</v>
      </c>
      <c r="AQ486" s="221">
        <f ca="1" xml:space="preserve"> ProjectCashflows!AQ$239</f>
        <v>0</v>
      </c>
      <c r="AR486" s="221">
        <f ca="1" xml:space="preserve"> ProjectCashflows!AR$239</f>
        <v>0</v>
      </c>
      <c r="AS486" s="221">
        <f ca="1" xml:space="preserve"> ProjectCashflows!AS$239</f>
        <v>0</v>
      </c>
      <c r="AT486" s="221">
        <f ca="1" xml:space="preserve"> ProjectCashflows!AT$239</f>
        <v>0</v>
      </c>
      <c r="AU486" s="221">
        <f ca="1" xml:space="preserve"> ProjectCashflows!AU$239</f>
        <v>0</v>
      </c>
      <c r="AV486" s="221">
        <f ca="1" xml:space="preserve"> ProjectCashflows!AV$239</f>
        <v>0</v>
      </c>
      <c r="AW486" s="221">
        <f ca="1" xml:space="preserve"> ProjectCashflows!AW$239</f>
        <v>0</v>
      </c>
      <c r="AX486" s="221">
        <f ca="1" xml:space="preserve"> ProjectCashflows!AX$239</f>
        <v>0</v>
      </c>
    </row>
    <row r="487" spans="1:50" ht="15" customHeight="1">
      <c r="A487" s="347"/>
      <c r="D487" s="1005"/>
      <c r="E487" s="221" t="str">
        <f xml:space="preserve"> ProjectCashflows!E$240</f>
        <v>Replacement capital costs, after ELT</v>
      </c>
      <c r="F487" s="221">
        <f xml:space="preserve"> ProjectCashflows!F$240</f>
        <v>0</v>
      </c>
      <c r="G487" s="221" t="str">
        <f xml:space="preserve"> ProjectCashflows!G$240</f>
        <v>US$ mn</v>
      </c>
      <c r="H487" s="221">
        <f xml:space="preserve"> ProjectCashflows!H$240</f>
        <v>0</v>
      </c>
      <c r="I487" s="221">
        <f ca="1" xml:space="preserve"> ProjectCashflows!I$240</f>
        <v>118.46424639696978</v>
      </c>
      <c r="J487" s="221">
        <f xml:space="preserve"> ProjectCashflows!J$240</f>
        <v>0</v>
      </c>
      <c r="K487" s="221">
        <f ca="1" xml:space="preserve"> ProjectCashflows!K$240</f>
        <v>0</v>
      </c>
      <c r="L487" s="221">
        <f ca="1" xml:space="preserve"> ProjectCashflows!L$240</f>
        <v>0</v>
      </c>
      <c r="M487" s="221">
        <f ca="1" xml:space="preserve"> ProjectCashflows!M$240</f>
        <v>0</v>
      </c>
      <c r="N487" s="221">
        <f ca="1" xml:space="preserve"> ProjectCashflows!N$240</f>
        <v>0</v>
      </c>
      <c r="O487" s="221">
        <f ca="1" xml:space="preserve"> ProjectCashflows!O$240</f>
        <v>0</v>
      </c>
      <c r="P487" s="221">
        <f ca="1" xml:space="preserve"> ProjectCashflows!P$240</f>
        <v>8.8326464256000001</v>
      </c>
      <c r="Q487" s="221">
        <f ca="1" xml:space="preserve"> ProjectCashflows!Q$240</f>
        <v>9.0092993541120006</v>
      </c>
      <c r="R487" s="221">
        <f ca="1" xml:space="preserve"> ProjectCashflows!R$240</f>
        <v>9.1894853411942403</v>
      </c>
      <c r="S487" s="221">
        <f ca="1" xml:space="preserve"> ProjectCashflows!S$240</f>
        <v>9.3732750480181259</v>
      </c>
      <c r="T487" s="221">
        <f ca="1" xml:space="preserve"> ProjectCashflows!T$240</f>
        <v>9.5607405489784885</v>
      </c>
      <c r="U487" s="221">
        <f ca="1" xml:space="preserve"> ProjectCashflows!U$240</f>
        <v>9.7519553599580586</v>
      </c>
      <c r="V487" s="221">
        <f ca="1" xml:space="preserve"> ProjectCashflows!V$240</f>
        <v>9.9469944671572197</v>
      </c>
      <c r="W487" s="221">
        <f ca="1" xml:space="preserve"> ProjectCashflows!W$240</f>
        <v>10.145934356500364</v>
      </c>
      <c r="X487" s="221">
        <f ca="1" xml:space="preserve"> ProjectCashflows!X$240</f>
        <v>10.348853043630371</v>
      </c>
      <c r="Y487" s="221">
        <f ca="1" xml:space="preserve"> ProjectCashflows!Y$240</f>
        <v>10.555830104502979</v>
      </c>
      <c r="Z487" s="221">
        <f ca="1" xml:space="preserve"> ProjectCashflows!Z$240</f>
        <v>10.766946706593039</v>
      </c>
      <c r="AA487" s="221">
        <f ca="1" xml:space="preserve"> ProjectCashflows!AA$240</f>
        <v>10.9822856407249</v>
      </c>
      <c r="AB487" s="221">
        <f ca="1" xml:space="preserve"> ProjectCashflows!AB$240</f>
        <v>0</v>
      </c>
      <c r="AC487" s="221">
        <f ca="1" xml:space="preserve"> ProjectCashflows!AC$240</f>
        <v>0</v>
      </c>
      <c r="AD487" s="221">
        <f ca="1" xml:space="preserve"> ProjectCashflows!AD$240</f>
        <v>0</v>
      </c>
      <c r="AE487" s="221">
        <f ca="1" xml:space="preserve"> ProjectCashflows!AE$240</f>
        <v>0</v>
      </c>
      <c r="AF487" s="221">
        <f ca="1" xml:space="preserve"> ProjectCashflows!AF$240</f>
        <v>0</v>
      </c>
      <c r="AG487" s="221">
        <f ca="1" xml:space="preserve"> ProjectCashflows!AG$240</f>
        <v>0</v>
      </c>
      <c r="AH487" s="221">
        <f ca="1" xml:space="preserve"> ProjectCashflows!AH$240</f>
        <v>0</v>
      </c>
      <c r="AI487" s="221">
        <f ca="1" xml:space="preserve"> ProjectCashflows!AI$240</f>
        <v>0</v>
      </c>
      <c r="AJ487" s="221">
        <f ca="1" xml:space="preserve"> ProjectCashflows!AJ$240</f>
        <v>0</v>
      </c>
      <c r="AK487" s="221">
        <f ca="1" xml:space="preserve"> ProjectCashflows!AK$240</f>
        <v>0</v>
      </c>
      <c r="AL487" s="221">
        <f ca="1" xml:space="preserve"> ProjectCashflows!AL$240</f>
        <v>0</v>
      </c>
      <c r="AM487" s="221">
        <f ca="1" xml:space="preserve"> ProjectCashflows!AM$240</f>
        <v>0</v>
      </c>
      <c r="AN487" s="221">
        <f ca="1" xml:space="preserve"> ProjectCashflows!AN$240</f>
        <v>0</v>
      </c>
      <c r="AO487" s="221">
        <f ca="1" xml:space="preserve"> ProjectCashflows!AO$240</f>
        <v>0</v>
      </c>
      <c r="AP487" s="221">
        <f ca="1" xml:space="preserve"> ProjectCashflows!AP$240</f>
        <v>0</v>
      </c>
      <c r="AQ487" s="221">
        <f ca="1" xml:space="preserve"> ProjectCashflows!AQ$240</f>
        <v>0</v>
      </c>
      <c r="AR487" s="221">
        <f ca="1" xml:space="preserve"> ProjectCashflows!AR$240</f>
        <v>0</v>
      </c>
      <c r="AS487" s="221">
        <f ca="1" xml:space="preserve"> ProjectCashflows!AS$240</f>
        <v>0</v>
      </c>
      <c r="AT487" s="221">
        <f ca="1" xml:space="preserve"> ProjectCashflows!AT$240</f>
        <v>0</v>
      </c>
      <c r="AU487" s="221">
        <f ca="1" xml:space="preserve"> ProjectCashflows!AU$240</f>
        <v>0</v>
      </c>
      <c r="AV487" s="221">
        <f ca="1" xml:space="preserve"> ProjectCashflows!AV$240</f>
        <v>0</v>
      </c>
      <c r="AW487" s="221">
        <f ca="1" xml:space="preserve"> ProjectCashflows!AW$240</f>
        <v>0</v>
      </c>
      <c r="AX487" s="221">
        <f ca="1" xml:space="preserve"> ProjectCashflows!AX$240</f>
        <v>0</v>
      </c>
    </row>
    <row r="488" spans="1:50" s="221" customFormat="1" ht="15" customHeight="1">
      <c r="A488" s="371"/>
      <c r="B488" s="690"/>
      <c r="C488" s="436"/>
      <c r="D488" s="222"/>
      <c r="E488" s="221" t="str">
        <f xml:space="preserve"> ProjectCashflows!E$241</f>
        <v>Operating costs, after ELT</v>
      </c>
      <c r="F488" s="221">
        <f xml:space="preserve"> ProjectCashflows!F$241</f>
        <v>0</v>
      </c>
      <c r="G488" s="221" t="str">
        <f xml:space="preserve"> ProjectCashflows!G$241</f>
        <v>US$ mn</v>
      </c>
      <c r="H488" s="221">
        <f xml:space="preserve"> ProjectCashflows!H$241</f>
        <v>0</v>
      </c>
      <c r="I488" s="221">
        <f ca="1" xml:space="preserve"> ProjectCashflows!I$241</f>
        <v>1138.9661753294727</v>
      </c>
      <c r="J488" s="221">
        <f xml:space="preserve"> ProjectCashflows!J$241</f>
        <v>0</v>
      </c>
      <c r="K488" s="221">
        <f ca="1" xml:space="preserve"> ProjectCashflows!K$241</f>
        <v>0</v>
      </c>
      <c r="L488" s="221">
        <f ca="1" xml:space="preserve"> ProjectCashflows!L$241</f>
        <v>0</v>
      </c>
      <c r="M488" s="221">
        <f ca="1" xml:space="preserve"> ProjectCashflows!M$241</f>
        <v>0</v>
      </c>
      <c r="N488" s="221">
        <f ca="1" xml:space="preserve"> ProjectCashflows!N$241</f>
        <v>0</v>
      </c>
      <c r="O488" s="221">
        <f ca="1" xml:space="preserve"> ProjectCashflows!O$241</f>
        <v>4.8709447199999998</v>
      </c>
      <c r="P488" s="221">
        <f ca="1" xml:space="preserve"> ProjectCashflows!P$241</f>
        <v>37.262727108</v>
      </c>
      <c r="Q488" s="221">
        <f ca="1" xml:space="preserve"> ProjectCashflows!Q$241</f>
        <v>76.01596330032001</v>
      </c>
      <c r="R488" s="221">
        <f ca="1" xml:space="preserve"> ProjectCashflows!R$241</f>
        <v>77.536282566326406</v>
      </c>
      <c r="S488" s="221">
        <f ca="1" xml:space="preserve"> ProjectCashflows!S$241</f>
        <v>79.087008217652937</v>
      </c>
      <c r="T488" s="221">
        <f ca="1" xml:space="preserve"> ProjectCashflows!T$241</f>
        <v>80.668748382006001</v>
      </c>
      <c r="U488" s="221">
        <f ca="1" xml:space="preserve"> ProjectCashflows!U$241</f>
        <v>82.282123349646113</v>
      </c>
      <c r="V488" s="221">
        <f ca="1" xml:space="preserve"> ProjectCashflows!V$241</f>
        <v>83.927765816639038</v>
      </c>
      <c r="W488" s="221">
        <f ca="1" xml:space="preserve"> ProjectCashflows!W$241</f>
        <v>85.606321132971814</v>
      </c>
      <c r="X488" s="221">
        <f ca="1" xml:space="preserve"> ProjectCashflows!X$241</f>
        <v>87.318447555631252</v>
      </c>
      <c r="Y488" s="221">
        <f ca="1" xml:space="preserve"> ProjectCashflows!Y$241</f>
        <v>89.064816506743881</v>
      </c>
      <c r="Z488" s="221">
        <f ca="1" xml:space="preserve"> ProjectCashflows!Z$241</f>
        <v>90.846112836878774</v>
      </c>
      <c r="AA488" s="221">
        <f ca="1" xml:space="preserve"> ProjectCashflows!AA$241</f>
        <v>77.219195911346958</v>
      </c>
      <c r="AB488" s="221">
        <f ca="1" xml:space="preserve"> ProjectCashflows!AB$241</f>
        <v>63.010863863659118</v>
      </c>
      <c r="AC488" s="221">
        <f ca="1" xml:space="preserve"> ProjectCashflows!AC$241</f>
        <v>48.203310855699229</v>
      </c>
      <c r="AD488" s="221">
        <f ca="1" xml:space="preserve"> ProjectCashflows!AD$241</f>
        <v>42.611726796438113</v>
      </c>
      <c r="AE488" s="221">
        <f ca="1" xml:space="preserve"> ProjectCashflows!AE$241</f>
        <v>33.433816409512986</v>
      </c>
      <c r="AF488" s="221">
        <f ca="1" xml:space="preserve"> ProjectCashflows!AF$241</f>
        <v>0</v>
      </c>
      <c r="AG488" s="221">
        <f ca="1" xml:space="preserve"> ProjectCashflows!AG$241</f>
        <v>0</v>
      </c>
      <c r="AH488" s="221">
        <f ca="1" xml:space="preserve"> ProjectCashflows!AH$241</f>
        <v>0</v>
      </c>
      <c r="AI488" s="221">
        <f ca="1" xml:space="preserve"> ProjectCashflows!AI$241</f>
        <v>0</v>
      </c>
      <c r="AJ488" s="221">
        <f ca="1" xml:space="preserve"> ProjectCashflows!AJ$241</f>
        <v>0</v>
      </c>
      <c r="AK488" s="221">
        <f ca="1" xml:space="preserve"> ProjectCashflows!AK$241</f>
        <v>0</v>
      </c>
      <c r="AL488" s="221">
        <f ca="1" xml:space="preserve"> ProjectCashflows!AL$241</f>
        <v>0</v>
      </c>
      <c r="AM488" s="221">
        <f ca="1" xml:space="preserve"> ProjectCashflows!AM$241</f>
        <v>0</v>
      </c>
      <c r="AN488" s="221">
        <f ca="1" xml:space="preserve"> ProjectCashflows!AN$241</f>
        <v>0</v>
      </c>
      <c r="AO488" s="221">
        <f ca="1" xml:space="preserve"> ProjectCashflows!AO$241</f>
        <v>0</v>
      </c>
      <c r="AP488" s="221">
        <f ca="1" xml:space="preserve"> ProjectCashflows!AP$241</f>
        <v>0</v>
      </c>
      <c r="AQ488" s="221">
        <f ca="1" xml:space="preserve"> ProjectCashflows!AQ$241</f>
        <v>0</v>
      </c>
      <c r="AR488" s="221">
        <f ca="1" xml:space="preserve"> ProjectCashflows!AR$241</f>
        <v>0</v>
      </c>
      <c r="AS488" s="221">
        <f ca="1" xml:space="preserve"> ProjectCashflows!AS$241</f>
        <v>0</v>
      </c>
      <c r="AT488" s="221">
        <f ca="1" xml:space="preserve"> ProjectCashflows!AT$241</f>
        <v>0</v>
      </c>
      <c r="AU488" s="221">
        <f ca="1" xml:space="preserve"> ProjectCashflows!AU$241</f>
        <v>0</v>
      </c>
      <c r="AV488" s="221">
        <f ca="1" xml:space="preserve"> ProjectCashflows!AV$241</f>
        <v>0</v>
      </c>
      <c r="AW488" s="221">
        <f ca="1" xml:space="preserve"> ProjectCashflows!AW$241</f>
        <v>0</v>
      </c>
      <c r="AX488" s="221">
        <f ca="1" xml:space="preserve"> ProjectCashflows!AX$241</f>
        <v>0</v>
      </c>
    </row>
    <row r="489" spans="1:50" s="221" customFormat="1" ht="15" customHeight="1">
      <c r="A489" s="371"/>
      <c r="B489" s="690"/>
      <c r="C489" s="436"/>
      <c r="D489" s="222"/>
      <c r="E489" s="221" t="str">
        <f t="shared" ref="E489:AX489" si="141" xml:space="preserve"> E$121</f>
        <v>Net decommissioning cashflows including fund</v>
      </c>
      <c r="F489" s="221">
        <f t="shared" si="141"/>
        <v>0</v>
      </c>
      <c r="G489" s="221" t="str">
        <f t="shared" si="141"/>
        <v>US$ mn</v>
      </c>
      <c r="H489" s="221">
        <f t="shared" si="141"/>
        <v>0</v>
      </c>
      <c r="I489" s="221">
        <f t="shared" ca="1" si="141"/>
        <v>28.254397005016219</v>
      </c>
      <c r="J489" s="221">
        <f t="shared" si="141"/>
        <v>0</v>
      </c>
      <c r="K489" s="221">
        <f t="shared" ca="1" si="141"/>
        <v>0</v>
      </c>
      <c r="L489" s="221">
        <f t="shared" ca="1" si="141"/>
        <v>0</v>
      </c>
      <c r="M489" s="221">
        <f t="shared" ca="1" si="141"/>
        <v>0</v>
      </c>
      <c r="N489" s="221">
        <f t="shared" ca="1" si="141"/>
        <v>0</v>
      </c>
      <c r="O489" s="221">
        <f t="shared" ca="1" si="141"/>
        <v>0</v>
      </c>
      <c r="P489" s="221">
        <f t="shared" ca="1" si="141"/>
        <v>0</v>
      </c>
      <c r="Q489" s="221">
        <f t="shared" ca="1" si="141"/>
        <v>0</v>
      </c>
      <c r="R489" s="221">
        <f t="shared" ca="1" si="141"/>
        <v>0</v>
      </c>
      <c r="S489" s="221">
        <f t="shared" ca="1" si="141"/>
        <v>0</v>
      </c>
      <c r="T489" s="221">
        <f t="shared" ca="1" si="141"/>
        <v>0</v>
      </c>
      <c r="U489" s="221">
        <f t="shared" ca="1" si="141"/>
        <v>0</v>
      </c>
      <c r="V489" s="221">
        <f t="shared" ca="1" si="141"/>
        <v>0</v>
      </c>
      <c r="W489" s="221">
        <f t="shared" ca="1" si="141"/>
        <v>0</v>
      </c>
      <c r="X489" s="221">
        <f t="shared" ca="1" si="141"/>
        <v>3.5317996256270274</v>
      </c>
      <c r="Y489" s="221">
        <f t="shared" ca="1" si="141"/>
        <v>3.5317996256270274</v>
      </c>
      <c r="Z489" s="221">
        <f t="shared" ca="1" si="141"/>
        <v>3.5317996256270274</v>
      </c>
      <c r="AA489" s="221">
        <f t="shared" ca="1" si="141"/>
        <v>3.5317996256270274</v>
      </c>
      <c r="AB489" s="221">
        <f t="shared" ca="1" si="141"/>
        <v>3.5317996256270274</v>
      </c>
      <c r="AC489" s="221">
        <f t="shared" ca="1" si="141"/>
        <v>3.5317996256270274</v>
      </c>
      <c r="AD489" s="221">
        <f t="shared" ca="1" si="141"/>
        <v>3.5317996256270274</v>
      </c>
      <c r="AE489" s="221">
        <f t="shared" ca="1" si="141"/>
        <v>3.5317996256270274</v>
      </c>
      <c r="AF489" s="221">
        <f t="shared" ca="1" si="141"/>
        <v>0</v>
      </c>
      <c r="AG489" s="221">
        <f t="shared" ca="1" si="141"/>
        <v>0</v>
      </c>
      <c r="AH489" s="221">
        <f t="shared" ca="1" si="141"/>
        <v>0</v>
      </c>
      <c r="AI489" s="221">
        <f t="shared" ca="1" si="141"/>
        <v>0</v>
      </c>
      <c r="AJ489" s="221">
        <f t="shared" ca="1" si="141"/>
        <v>0</v>
      </c>
      <c r="AK489" s="221">
        <f t="shared" ca="1" si="141"/>
        <v>0</v>
      </c>
      <c r="AL489" s="221">
        <f t="shared" ca="1" si="141"/>
        <v>0</v>
      </c>
      <c r="AM489" s="221">
        <f t="shared" ca="1" si="141"/>
        <v>0</v>
      </c>
      <c r="AN489" s="221">
        <f t="shared" ca="1" si="141"/>
        <v>0</v>
      </c>
      <c r="AO489" s="221">
        <f t="shared" ca="1" si="141"/>
        <v>0</v>
      </c>
      <c r="AP489" s="221">
        <f t="shared" ca="1" si="141"/>
        <v>0</v>
      </c>
      <c r="AQ489" s="221">
        <f t="shared" ca="1" si="141"/>
        <v>0</v>
      </c>
      <c r="AR489" s="221">
        <f t="shared" ca="1" si="141"/>
        <v>0</v>
      </c>
      <c r="AS489" s="221">
        <f t="shared" ca="1" si="141"/>
        <v>0</v>
      </c>
      <c r="AT489" s="221">
        <f t="shared" ca="1" si="141"/>
        <v>0</v>
      </c>
      <c r="AU489" s="221">
        <f t="shared" ca="1" si="141"/>
        <v>0</v>
      </c>
      <c r="AV489" s="221">
        <f t="shared" ca="1" si="141"/>
        <v>0</v>
      </c>
      <c r="AW489" s="221">
        <f t="shared" ca="1" si="141"/>
        <v>0</v>
      </c>
      <c r="AX489" s="221">
        <f t="shared" ca="1" si="141"/>
        <v>0</v>
      </c>
    </row>
    <row r="490" spans="1:50" ht="15" customHeight="1">
      <c r="A490" s="347"/>
      <c r="D490" s="1005"/>
      <c r="E490" s="1041" t="str">
        <f xml:space="preserve"> E$367</f>
        <v>Signature bonus: tax deductible</v>
      </c>
      <c r="F490" s="1041">
        <f t="shared" ref="F490:AX490" si="142" xml:space="preserve"> F$367</f>
        <v>0</v>
      </c>
      <c r="G490" s="1041" t="str">
        <f t="shared" si="142"/>
        <v>US$ mn</v>
      </c>
      <c r="H490" s="1041" t="str">
        <f t="shared" si="142"/>
        <v>assumed via depreciation</v>
      </c>
      <c r="I490" s="1041">
        <f t="shared" ca="1" si="142"/>
        <v>0</v>
      </c>
      <c r="J490" s="1041">
        <f t="shared" si="142"/>
        <v>0</v>
      </c>
      <c r="K490" s="1041">
        <f t="shared" ca="1" si="142"/>
        <v>0</v>
      </c>
      <c r="L490" s="1041">
        <f t="shared" ca="1" si="142"/>
        <v>0</v>
      </c>
      <c r="M490" s="1041">
        <f t="shared" ca="1" si="142"/>
        <v>0</v>
      </c>
      <c r="N490" s="1041">
        <f t="shared" ca="1" si="142"/>
        <v>0</v>
      </c>
      <c r="O490" s="1041">
        <f t="shared" ca="1" si="142"/>
        <v>0</v>
      </c>
      <c r="P490" s="1041">
        <f t="shared" ca="1" si="142"/>
        <v>0</v>
      </c>
      <c r="Q490" s="1041">
        <f t="shared" ca="1" si="142"/>
        <v>0</v>
      </c>
      <c r="R490" s="1041">
        <f t="shared" ca="1" si="142"/>
        <v>0</v>
      </c>
      <c r="S490" s="1041">
        <f t="shared" ca="1" si="142"/>
        <v>0</v>
      </c>
      <c r="T490" s="1041">
        <f t="shared" ca="1" si="142"/>
        <v>0</v>
      </c>
      <c r="U490" s="1041">
        <f t="shared" ca="1" si="142"/>
        <v>0</v>
      </c>
      <c r="V490" s="1041">
        <f t="shared" ca="1" si="142"/>
        <v>0</v>
      </c>
      <c r="W490" s="1041">
        <f t="shared" ca="1" si="142"/>
        <v>0</v>
      </c>
      <c r="X490" s="1041">
        <f t="shared" ca="1" si="142"/>
        <v>0</v>
      </c>
      <c r="Y490" s="1041">
        <f t="shared" ca="1" si="142"/>
        <v>0</v>
      </c>
      <c r="Z490" s="1041">
        <f t="shared" ca="1" si="142"/>
        <v>0</v>
      </c>
      <c r="AA490" s="1041">
        <f t="shared" ca="1" si="142"/>
        <v>0</v>
      </c>
      <c r="AB490" s="1041">
        <f t="shared" ca="1" si="142"/>
        <v>0</v>
      </c>
      <c r="AC490" s="1041">
        <f t="shared" ca="1" si="142"/>
        <v>0</v>
      </c>
      <c r="AD490" s="1041">
        <f t="shared" ca="1" si="142"/>
        <v>0</v>
      </c>
      <c r="AE490" s="1041">
        <f t="shared" ca="1" si="142"/>
        <v>0</v>
      </c>
      <c r="AF490" s="1041">
        <f t="shared" ca="1" si="142"/>
        <v>0</v>
      </c>
      <c r="AG490" s="1041">
        <f t="shared" ca="1" si="142"/>
        <v>0</v>
      </c>
      <c r="AH490" s="1041">
        <f t="shared" ca="1" si="142"/>
        <v>0</v>
      </c>
      <c r="AI490" s="1041">
        <f t="shared" ca="1" si="142"/>
        <v>0</v>
      </c>
      <c r="AJ490" s="1041">
        <f t="shared" ca="1" si="142"/>
        <v>0</v>
      </c>
      <c r="AK490" s="1041">
        <f t="shared" ca="1" si="142"/>
        <v>0</v>
      </c>
      <c r="AL490" s="1041">
        <f t="shared" ca="1" si="142"/>
        <v>0</v>
      </c>
      <c r="AM490" s="1041">
        <f t="shared" ca="1" si="142"/>
        <v>0</v>
      </c>
      <c r="AN490" s="1041">
        <f t="shared" ca="1" si="142"/>
        <v>0</v>
      </c>
      <c r="AO490" s="1041">
        <f t="shared" ca="1" si="142"/>
        <v>0</v>
      </c>
      <c r="AP490" s="1041">
        <f t="shared" ca="1" si="142"/>
        <v>0</v>
      </c>
      <c r="AQ490" s="1041">
        <f t="shared" ca="1" si="142"/>
        <v>0</v>
      </c>
      <c r="AR490" s="1041">
        <f t="shared" ca="1" si="142"/>
        <v>0</v>
      </c>
      <c r="AS490" s="1041">
        <f t="shared" ca="1" si="142"/>
        <v>0</v>
      </c>
      <c r="AT490" s="1041">
        <f t="shared" ca="1" si="142"/>
        <v>0</v>
      </c>
      <c r="AU490" s="1041">
        <f t="shared" ca="1" si="142"/>
        <v>0</v>
      </c>
      <c r="AV490" s="1041">
        <f t="shared" ca="1" si="142"/>
        <v>0</v>
      </c>
      <c r="AW490" s="1041">
        <f t="shared" ca="1" si="142"/>
        <v>0</v>
      </c>
      <c r="AX490" s="1041">
        <f t="shared" ca="1" si="142"/>
        <v>0</v>
      </c>
    </row>
    <row r="491" spans="1:50" ht="15" customHeight="1">
      <c r="A491" s="347"/>
      <c r="D491" s="1005"/>
      <c r="E491" s="1041" t="str">
        <f xml:space="preserve"> E$450</f>
        <v>Royalty deductible</v>
      </c>
      <c r="F491" s="1041">
        <f t="shared" ref="F491:AX491" si="143" xml:space="preserve"> F$450</f>
        <v>0</v>
      </c>
      <c r="G491" s="1041" t="str">
        <f t="shared" si="143"/>
        <v>US$ mn</v>
      </c>
      <c r="H491" s="1041">
        <f t="shared" si="143"/>
        <v>0</v>
      </c>
      <c r="I491" s="1041">
        <f t="shared" ca="1" si="143"/>
        <v>186.66390095677471</v>
      </c>
      <c r="J491" s="1041">
        <f t="shared" si="143"/>
        <v>0</v>
      </c>
      <c r="K491" s="1041">
        <f t="shared" ca="1" si="143"/>
        <v>0</v>
      </c>
      <c r="L491" s="1041">
        <f t="shared" ca="1" si="143"/>
        <v>0</v>
      </c>
      <c r="M491" s="1041">
        <f t="shared" ca="1" si="143"/>
        <v>0</v>
      </c>
      <c r="N491" s="1041">
        <f t="shared" ca="1" si="143"/>
        <v>0</v>
      </c>
      <c r="O491" s="1041">
        <f t="shared" ca="1" si="143"/>
        <v>0.79829371800000004</v>
      </c>
      <c r="P491" s="1041">
        <f t="shared" ca="1" si="143"/>
        <v>6.1069469427000005</v>
      </c>
      <c r="Q491" s="1041">
        <f t="shared" ca="1" si="143"/>
        <v>12.458171763108002</v>
      </c>
      <c r="R491" s="1041">
        <f t="shared" ca="1" si="143"/>
        <v>12.70733519837016</v>
      </c>
      <c r="S491" s="1041">
        <f t="shared" ca="1" si="143"/>
        <v>12.961481902337566</v>
      </c>
      <c r="T491" s="1041">
        <f t="shared" ca="1" si="143"/>
        <v>13.220711540384318</v>
      </c>
      <c r="U491" s="1041">
        <f t="shared" ca="1" si="143"/>
        <v>13.485125771192003</v>
      </c>
      <c r="V491" s="1041">
        <f t="shared" ca="1" si="143"/>
        <v>13.754828286615842</v>
      </c>
      <c r="W491" s="1041">
        <f t="shared" ca="1" si="143"/>
        <v>14.029924852348159</v>
      </c>
      <c r="X491" s="1041">
        <f t="shared" ca="1" si="143"/>
        <v>14.310523349395121</v>
      </c>
      <c r="Y491" s="1041">
        <f t="shared" ca="1" si="143"/>
        <v>14.596733816383029</v>
      </c>
      <c r="Z491" s="1041">
        <f t="shared" ca="1" si="143"/>
        <v>14.888668492710687</v>
      </c>
      <c r="AA491" s="1041">
        <f t="shared" ca="1" si="143"/>
        <v>12.655368218804085</v>
      </c>
      <c r="AB491" s="1041">
        <f t="shared" ca="1" si="143"/>
        <v>10.326780466544134</v>
      </c>
      <c r="AC491" s="1041">
        <f t="shared" ca="1" si="143"/>
        <v>7.8999870569062622</v>
      </c>
      <c r="AD491" s="1041">
        <f t="shared" ca="1" si="143"/>
        <v>6.9835885583051356</v>
      </c>
      <c r="AE491" s="1041">
        <f t="shared" ca="1" si="143"/>
        <v>5.4794310226701839</v>
      </c>
      <c r="AF491" s="1041">
        <f t="shared" ca="1" si="143"/>
        <v>0</v>
      </c>
      <c r="AG491" s="1041">
        <f t="shared" ca="1" si="143"/>
        <v>0</v>
      </c>
      <c r="AH491" s="1041">
        <f t="shared" ca="1" si="143"/>
        <v>0</v>
      </c>
      <c r="AI491" s="1041">
        <f t="shared" ca="1" si="143"/>
        <v>0</v>
      </c>
      <c r="AJ491" s="1041">
        <f t="shared" ca="1" si="143"/>
        <v>0</v>
      </c>
      <c r="AK491" s="1041">
        <f t="shared" ca="1" si="143"/>
        <v>0</v>
      </c>
      <c r="AL491" s="1041">
        <f t="shared" ca="1" si="143"/>
        <v>0</v>
      </c>
      <c r="AM491" s="1041">
        <f t="shared" ca="1" si="143"/>
        <v>0</v>
      </c>
      <c r="AN491" s="1041">
        <f t="shared" ca="1" si="143"/>
        <v>0</v>
      </c>
      <c r="AO491" s="1041">
        <f t="shared" ca="1" si="143"/>
        <v>0</v>
      </c>
      <c r="AP491" s="1041">
        <f t="shared" ca="1" si="143"/>
        <v>0</v>
      </c>
      <c r="AQ491" s="1041">
        <f t="shared" ca="1" si="143"/>
        <v>0</v>
      </c>
      <c r="AR491" s="1041">
        <f t="shared" ca="1" si="143"/>
        <v>0</v>
      </c>
      <c r="AS491" s="1041">
        <f t="shared" ca="1" si="143"/>
        <v>0</v>
      </c>
      <c r="AT491" s="1041">
        <f t="shared" ca="1" si="143"/>
        <v>0</v>
      </c>
      <c r="AU491" s="1041">
        <f t="shared" ca="1" si="143"/>
        <v>0</v>
      </c>
      <c r="AV491" s="1041">
        <f t="shared" ca="1" si="143"/>
        <v>0</v>
      </c>
      <c r="AW491" s="1041">
        <f t="shared" ca="1" si="143"/>
        <v>0</v>
      </c>
      <c r="AX491" s="1041">
        <f t="shared" ca="1" si="143"/>
        <v>0</v>
      </c>
    </row>
    <row r="492" spans="1:50" ht="15" customHeight="1">
      <c r="A492" s="347"/>
      <c r="D492" s="1005"/>
      <c r="E492" s="1041" t="str">
        <f xml:space="preserve"> E$455</f>
        <v>Carbon tax deductible</v>
      </c>
      <c r="F492" s="1041">
        <f t="shared" ref="F492:AX492" si="144" xml:space="preserve"> F$455</f>
        <v>0</v>
      </c>
      <c r="G492" s="1041" t="str">
        <f t="shared" si="144"/>
        <v>US$ mn</v>
      </c>
      <c r="H492" s="1041">
        <f t="shared" si="144"/>
        <v>0</v>
      </c>
      <c r="I492" s="1041">
        <f t="shared" ca="1" si="144"/>
        <v>0</v>
      </c>
      <c r="J492" s="1041">
        <f t="shared" si="144"/>
        <v>0</v>
      </c>
      <c r="K492" s="1041">
        <f t="shared" ca="1" si="144"/>
        <v>0</v>
      </c>
      <c r="L492" s="1041">
        <f t="shared" ca="1" si="144"/>
        <v>0</v>
      </c>
      <c r="M492" s="1041">
        <f t="shared" ca="1" si="144"/>
        <v>0</v>
      </c>
      <c r="N492" s="1041">
        <f t="shared" ca="1" si="144"/>
        <v>0</v>
      </c>
      <c r="O492" s="1041">
        <f t="shared" ca="1" si="144"/>
        <v>0</v>
      </c>
      <c r="P492" s="1041">
        <f t="shared" ca="1" si="144"/>
        <v>0</v>
      </c>
      <c r="Q492" s="1041">
        <f t="shared" ca="1" si="144"/>
        <v>0</v>
      </c>
      <c r="R492" s="1041">
        <f t="shared" ca="1" si="144"/>
        <v>0</v>
      </c>
      <c r="S492" s="1041">
        <f t="shared" ca="1" si="144"/>
        <v>0</v>
      </c>
      <c r="T492" s="1041">
        <f t="shared" ca="1" si="144"/>
        <v>0</v>
      </c>
      <c r="U492" s="1041">
        <f t="shared" ca="1" si="144"/>
        <v>0</v>
      </c>
      <c r="V492" s="1041">
        <f t="shared" ca="1" si="144"/>
        <v>0</v>
      </c>
      <c r="W492" s="1041">
        <f t="shared" ca="1" si="144"/>
        <v>0</v>
      </c>
      <c r="X492" s="1041">
        <f t="shared" ca="1" si="144"/>
        <v>0</v>
      </c>
      <c r="Y492" s="1041">
        <f t="shared" ca="1" si="144"/>
        <v>0</v>
      </c>
      <c r="Z492" s="1041">
        <f t="shared" ca="1" si="144"/>
        <v>0</v>
      </c>
      <c r="AA492" s="1041">
        <f t="shared" ca="1" si="144"/>
        <v>0</v>
      </c>
      <c r="AB492" s="1041">
        <f t="shared" ca="1" si="144"/>
        <v>0</v>
      </c>
      <c r="AC492" s="1041">
        <f t="shared" ca="1" si="144"/>
        <v>0</v>
      </c>
      <c r="AD492" s="1041">
        <f t="shared" ca="1" si="144"/>
        <v>0</v>
      </c>
      <c r="AE492" s="1041">
        <f t="shared" ca="1" si="144"/>
        <v>0</v>
      </c>
      <c r="AF492" s="1041">
        <f t="shared" ca="1" si="144"/>
        <v>0</v>
      </c>
      <c r="AG492" s="1041">
        <f t="shared" ca="1" si="144"/>
        <v>0</v>
      </c>
      <c r="AH492" s="1041">
        <f t="shared" ca="1" si="144"/>
        <v>0</v>
      </c>
      <c r="AI492" s="1041">
        <f t="shared" ca="1" si="144"/>
        <v>0</v>
      </c>
      <c r="AJ492" s="1041">
        <f t="shared" ca="1" si="144"/>
        <v>0</v>
      </c>
      <c r="AK492" s="1041">
        <f t="shared" ca="1" si="144"/>
        <v>0</v>
      </c>
      <c r="AL492" s="1041">
        <f t="shared" ca="1" si="144"/>
        <v>0</v>
      </c>
      <c r="AM492" s="1041">
        <f t="shared" ca="1" si="144"/>
        <v>0</v>
      </c>
      <c r="AN492" s="1041">
        <f t="shared" ca="1" si="144"/>
        <v>0</v>
      </c>
      <c r="AO492" s="1041">
        <f t="shared" ca="1" si="144"/>
        <v>0</v>
      </c>
      <c r="AP492" s="1041">
        <f t="shared" ca="1" si="144"/>
        <v>0</v>
      </c>
      <c r="AQ492" s="1041">
        <f t="shared" ca="1" si="144"/>
        <v>0</v>
      </c>
      <c r="AR492" s="1041">
        <f t="shared" ca="1" si="144"/>
        <v>0</v>
      </c>
      <c r="AS492" s="1041">
        <f t="shared" ca="1" si="144"/>
        <v>0</v>
      </c>
      <c r="AT492" s="1041">
        <f t="shared" ca="1" si="144"/>
        <v>0</v>
      </c>
      <c r="AU492" s="1041">
        <f t="shared" ca="1" si="144"/>
        <v>0</v>
      </c>
      <c r="AV492" s="1041">
        <f t="shared" ca="1" si="144"/>
        <v>0</v>
      </c>
      <c r="AW492" s="1041">
        <f t="shared" ca="1" si="144"/>
        <v>0</v>
      </c>
      <c r="AX492" s="1041">
        <f t="shared" ca="1" si="144"/>
        <v>0</v>
      </c>
    </row>
    <row r="493" spans="1:50" ht="15" customHeight="1">
      <c r="A493" s="347"/>
      <c r="D493" s="1005"/>
      <c r="E493" s="1131" t="str">
        <f>E$530</f>
        <v>RRT: Mining company deductible for CIT prior period</v>
      </c>
      <c r="F493" s="1131">
        <f t="shared" ref="F493:AX493" si="145">F$530</f>
        <v>0</v>
      </c>
      <c r="G493" s="1131" t="str">
        <f t="shared" si="145"/>
        <v>US$ mn</v>
      </c>
      <c r="H493" s="1131" t="str">
        <f t="shared" si="145"/>
        <v>prior period to avoid circularity</v>
      </c>
      <c r="I493" s="1131">
        <f t="shared" ca="1" si="145"/>
        <v>0</v>
      </c>
      <c r="J493" s="1131">
        <f t="shared" si="145"/>
        <v>0</v>
      </c>
      <c r="K493" s="1131">
        <f t="shared" si="145"/>
        <v>0</v>
      </c>
      <c r="L493" s="1131">
        <f t="shared" ca="1" si="145"/>
        <v>0</v>
      </c>
      <c r="M493" s="1131">
        <f t="shared" ca="1" si="145"/>
        <v>0</v>
      </c>
      <c r="N493" s="1131">
        <f t="shared" ca="1" si="145"/>
        <v>0</v>
      </c>
      <c r="O493" s="1131">
        <f t="shared" ca="1" si="145"/>
        <v>0</v>
      </c>
      <c r="P493" s="1131">
        <f t="shared" ca="1" si="145"/>
        <v>0</v>
      </c>
      <c r="Q493" s="1131">
        <f t="shared" ca="1" si="145"/>
        <v>0</v>
      </c>
      <c r="R493" s="1131">
        <f t="shared" ca="1" si="145"/>
        <v>0</v>
      </c>
      <c r="S493" s="1131">
        <f t="shared" ca="1" si="145"/>
        <v>0</v>
      </c>
      <c r="T493" s="1131">
        <f t="shared" ca="1" si="145"/>
        <v>0</v>
      </c>
      <c r="U493" s="1131">
        <f t="shared" ca="1" si="145"/>
        <v>0</v>
      </c>
      <c r="V493" s="1131">
        <f t="shared" ca="1" si="145"/>
        <v>0</v>
      </c>
      <c r="W493" s="1131">
        <f t="shared" ca="1" si="145"/>
        <v>0</v>
      </c>
      <c r="X493" s="1131">
        <f t="shared" ca="1" si="145"/>
        <v>0</v>
      </c>
      <c r="Y493" s="1131">
        <f t="shared" ca="1" si="145"/>
        <v>0</v>
      </c>
      <c r="Z493" s="1131">
        <f t="shared" ca="1" si="145"/>
        <v>0</v>
      </c>
      <c r="AA493" s="1131">
        <f t="shared" ca="1" si="145"/>
        <v>0</v>
      </c>
      <c r="AB493" s="1131">
        <f t="shared" ca="1" si="145"/>
        <v>0</v>
      </c>
      <c r="AC493" s="1131">
        <f t="shared" ca="1" si="145"/>
        <v>0</v>
      </c>
      <c r="AD493" s="1131">
        <f t="shared" ca="1" si="145"/>
        <v>0</v>
      </c>
      <c r="AE493" s="1131">
        <f t="shared" ca="1" si="145"/>
        <v>0</v>
      </c>
      <c r="AF493" s="1131">
        <f t="shared" ca="1" si="145"/>
        <v>0</v>
      </c>
      <c r="AG493" s="1131">
        <f t="shared" ca="1" si="145"/>
        <v>0</v>
      </c>
      <c r="AH493" s="1131">
        <f t="shared" ca="1" si="145"/>
        <v>0</v>
      </c>
      <c r="AI493" s="1131">
        <f t="shared" ca="1" si="145"/>
        <v>0</v>
      </c>
      <c r="AJ493" s="1131">
        <f t="shared" ca="1" si="145"/>
        <v>0</v>
      </c>
      <c r="AK493" s="1131">
        <f t="shared" ca="1" si="145"/>
        <v>0</v>
      </c>
      <c r="AL493" s="1131">
        <f t="shared" ca="1" si="145"/>
        <v>0</v>
      </c>
      <c r="AM493" s="1131">
        <f t="shared" ca="1" si="145"/>
        <v>0</v>
      </c>
      <c r="AN493" s="1131">
        <f t="shared" ca="1" si="145"/>
        <v>0</v>
      </c>
      <c r="AO493" s="1131">
        <f t="shared" ca="1" si="145"/>
        <v>0</v>
      </c>
      <c r="AP493" s="1131">
        <f t="shared" ca="1" si="145"/>
        <v>0</v>
      </c>
      <c r="AQ493" s="1131">
        <f t="shared" ca="1" si="145"/>
        <v>0</v>
      </c>
      <c r="AR493" s="1131">
        <f t="shared" ca="1" si="145"/>
        <v>0</v>
      </c>
      <c r="AS493" s="1131">
        <f t="shared" ca="1" si="145"/>
        <v>0</v>
      </c>
      <c r="AT493" s="1131">
        <f t="shared" ca="1" si="145"/>
        <v>0</v>
      </c>
      <c r="AU493" s="1131">
        <f t="shared" ca="1" si="145"/>
        <v>0</v>
      </c>
      <c r="AV493" s="1131">
        <f t="shared" ca="1" si="145"/>
        <v>0</v>
      </c>
      <c r="AW493" s="1131">
        <f t="shared" ca="1" si="145"/>
        <v>0</v>
      </c>
      <c r="AX493" s="1131">
        <f t="shared" ca="1" si="145"/>
        <v>0</v>
      </c>
    </row>
    <row r="494" spans="1:50" s="556" customFormat="1" ht="15" customHeight="1">
      <c r="A494" s="569"/>
      <c r="B494" s="704"/>
      <c r="C494" s="584"/>
      <c r="D494" s="1123"/>
      <c r="E494" s="1122" t="str">
        <f>Translate!$E$232</f>
        <v>Cost deductions for RRT</v>
      </c>
      <c r="F494" s="1122"/>
      <c r="G494" s="1122" t="str">
        <f xml:space="preserve"> Translate!E$10</f>
        <v>US$ mn</v>
      </c>
      <c r="H494" s="1122"/>
      <c r="I494" s="1122">
        <f ca="1" xml:space="preserve"> SUM(K494:AX494)</f>
        <v>1937.0292400082335</v>
      </c>
      <c r="J494" s="1122"/>
      <c r="K494" s="1122">
        <f ca="1" xml:space="preserve"> SUM(K485:K493)</f>
        <v>10</v>
      </c>
      <c r="L494" s="1122">
        <f t="shared" ref="L494:AX494" ca="1" si="146" xml:space="preserve"> SUM(L485:L493)</f>
        <v>10.199999999999999</v>
      </c>
      <c r="M494" s="1122">
        <f t="shared" ca="1" si="146"/>
        <v>10.404</v>
      </c>
      <c r="N494" s="1122">
        <f t="shared" ca="1" si="146"/>
        <v>53.060399999999994</v>
      </c>
      <c r="O494" s="1122">
        <f t="shared" ca="1" si="146"/>
        <v>276.27727843800005</v>
      </c>
      <c r="P494" s="1122">
        <f t="shared" ca="1" si="146"/>
        <v>162.61040079630001</v>
      </c>
      <c r="Q494" s="1122">
        <f t="shared" ca="1" si="146"/>
        <v>97.48343441754001</v>
      </c>
      <c r="R494" s="1122">
        <f t="shared" ca="1" si="146"/>
        <v>99.433103105890808</v>
      </c>
      <c r="S494" s="1122">
        <f t="shared" ca="1" si="146"/>
        <v>101.42176516800863</v>
      </c>
      <c r="T494" s="1122">
        <f t="shared" ca="1" si="146"/>
        <v>103.4502004713688</v>
      </c>
      <c r="U494" s="1122">
        <f t="shared" ca="1" si="146"/>
        <v>105.51920448079618</v>
      </c>
      <c r="V494" s="1122">
        <f t="shared" ca="1" si="146"/>
        <v>107.62958857041211</v>
      </c>
      <c r="W494" s="1122">
        <f t="shared" ca="1" si="146"/>
        <v>109.78218034182034</v>
      </c>
      <c r="X494" s="1122">
        <f t="shared" ca="1" si="146"/>
        <v>115.50962357428378</v>
      </c>
      <c r="Y494" s="1122">
        <f t="shared" ca="1" si="146"/>
        <v>117.74918005325691</v>
      </c>
      <c r="Z494" s="1122">
        <f t="shared" ca="1" si="146"/>
        <v>120.03352766180954</v>
      </c>
      <c r="AA494" s="1122">
        <f t="shared" ca="1" si="146"/>
        <v>104.38864939650297</v>
      </c>
      <c r="AB494" s="1122">
        <f t="shared" ca="1" si="146"/>
        <v>76.869443955830278</v>
      </c>
      <c r="AC494" s="1122">
        <f t="shared" ca="1" si="146"/>
        <v>59.635097538232522</v>
      </c>
      <c r="AD494" s="1122">
        <f t="shared" ca="1" si="146"/>
        <v>53.12711498037028</v>
      </c>
      <c r="AE494" s="1122">
        <f t="shared" ca="1" si="146"/>
        <v>42.4450470578102</v>
      </c>
      <c r="AF494" s="1122">
        <f t="shared" ca="1" si="146"/>
        <v>0</v>
      </c>
      <c r="AG494" s="1122">
        <f t="shared" ca="1" si="146"/>
        <v>0</v>
      </c>
      <c r="AH494" s="1122">
        <f t="shared" ca="1" si="146"/>
        <v>0</v>
      </c>
      <c r="AI494" s="1122">
        <f t="shared" ca="1" si="146"/>
        <v>0</v>
      </c>
      <c r="AJ494" s="1122">
        <f t="shared" ca="1" si="146"/>
        <v>0</v>
      </c>
      <c r="AK494" s="1122">
        <f t="shared" ca="1" si="146"/>
        <v>0</v>
      </c>
      <c r="AL494" s="1122">
        <f t="shared" ca="1" si="146"/>
        <v>0</v>
      </c>
      <c r="AM494" s="1122">
        <f t="shared" ca="1" si="146"/>
        <v>0</v>
      </c>
      <c r="AN494" s="1122">
        <f t="shared" ca="1" si="146"/>
        <v>0</v>
      </c>
      <c r="AO494" s="1122">
        <f t="shared" ca="1" si="146"/>
        <v>0</v>
      </c>
      <c r="AP494" s="1122">
        <f t="shared" ca="1" si="146"/>
        <v>0</v>
      </c>
      <c r="AQ494" s="1122">
        <f t="shared" ca="1" si="146"/>
        <v>0</v>
      </c>
      <c r="AR494" s="1122">
        <f t="shared" ca="1" si="146"/>
        <v>0</v>
      </c>
      <c r="AS494" s="1122">
        <f t="shared" ca="1" si="146"/>
        <v>0</v>
      </c>
      <c r="AT494" s="1122">
        <f t="shared" ca="1" si="146"/>
        <v>0</v>
      </c>
      <c r="AU494" s="1122">
        <f t="shared" ca="1" si="146"/>
        <v>0</v>
      </c>
      <c r="AV494" s="1122">
        <f t="shared" ca="1" si="146"/>
        <v>0</v>
      </c>
      <c r="AW494" s="1122">
        <f t="shared" ca="1" si="146"/>
        <v>0</v>
      </c>
      <c r="AX494" s="1122">
        <f t="shared" ca="1" si="146"/>
        <v>0</v>
      </c>
    </row>
    <row r="495" spans="1:50" ht="15" customHeight="1">
      <c r="A495" s="347"/>
      <c r="D495" s="1005"/>
      <c r="E495" s="1041"/>
      <c r="F495" s="1041"/>
      <c r="G495" s="1041"/>
      <c r="H495" s="1041"/>
      <c r="I495" s="1041"/>
      <c r="J495" s="1041"/>
      <c r="K495" s="1041"/>
      <c r="L495" s="1041"/>
      <c r="M495" s="1041"/>
      <c r="N495" s="1041"/>
      <c r="O495" s="1041"/>
      <c r="P495" s="1041"/>
      <c r="Q495" s="1041"/>
      <c r="R495" s="1041"/>
      <c r="S495" s="1041"/>
      <c r="T495" s="1041"/>
      <c r="U495" s="1041"/>
      <c r="V495" s="1041"/>
      <c r="W495" s="1041"/>
      <c r="X495" s="1041"/>
      <c r="Y495" s="1041"/>
      <c r="Z495" s="1041"/>
      <c r="AA495" s="1041"/>
      <c r="AB495" s="1041"/>
      <c r="AC495" s="1041"/>
      <c r="AD495" s="1041"/>
      <c r="AE495" s="1041"/>
      <c r="AF495" s="1041"/>
      <c r="AG495" s="1041"/>
      <c r="AH495" s="1041"/>
      <c r="AI495" s="1041"/>
      <c r="AJ495" s="1041"/>
      <c r="AK495" s="1041"/>
      <c r="AL495" s="1041"/>
      <c r="AM495" s="1041"/>
      <c r="AN495" s="1041"/>
      <c r="AO495" s="1041"/>
      <c r="AP495" s="1041"/>
      <c r="AQ495" s="1041"/>
      <c r="AR495" s="1041"/>
      <c r="AS495" s="1041"/>
      <c r="AT495" s="1041"/>
      <c r="AU495" s="1041"/>
      <c r="AV495" s="1041"/>
      <c r="AW495" s="1041"/>
      <c r="AX495" s="1041"/>
    </row>
    <row r="496" spans="1:50" ht="15" customHeight="1">
      <c r="A496" s="347"/>
      <c r="D496" s="1005"/>
      <c r="E496" s="1041" t="str">
        <f>Translate!$E$233</f>
        <v>Mining company net cashflow before tax for RRT (via cashflows)</v>
      </c>
      <c r="F496" s="1041"/>
      <c r="G496" s="1041" t="str">
        <f xml:space="preserve"> Translate!E$10</f>
        <v>US$ mn</v>
      </c>
      <c r="H496" s="1041"/>
      <c r="I496" s="1041">
        <f ca="1" xml:space="preserve"> SUM(K496:AX496)</f>
        <v>1796.2487791272606</v>
      </c>
      <c r="J496" s="1041"/>
      <c r="K496" s="1041">
        <f t="shared" ref="K496:AX496" ca="1" si="147" xml:space="preserve"> K483 - K494</f>
        <v>-10</v>
      </c>
      <c r="L496" s="1041">
        <f t="shared" ca="1" si="147"/>
        <v>-10.199999999999999</v>
      </c>
      <c r="M496" s="1041">
        <f t="shared" ca="1" si="147"/>
        <v>-10.404</v>
      </c>
      <c r="N496" s="1041">
        <f t="shared" ca="1" si="147"/>
        <v>-53.060399999999994</v>
      </c>
      <c r="O496" s="1041">
        <f t="shared" ca="1" si="147"/>
        <v>-260.31140407800007</v>
      </c>
      <c r="P496" s="1041">
        <f t="shared" ca="1" si="147"/>
        <v>-40.47146194230001</v>
      </c>
      <c r="Q496" s="1041">
        <f t="shared" ca="1" si="147"/>
        <v>151.68000084462</v>
      </c>
      <c r="R496" s="1041">
        <f t="shared" ca="1" si="147"/>
        <v>154.71360086151236</v>
      </c>
      <c r="S496" s="1041">
        <f t="shared" ca="1" si="147"/>
        <v>157.80787287874267</v>
      </c>
      <c r="T496" s="1041">
        <f t="shared" ca="1" si="147"/>
        <v>160.96403033631753</v>
      </c>
      <c r="U496" s="1041">
        <f t="shared" ca="1" si="147"/>
        <v>164.18331094304386</v>
      </c>
      <c r="V496" s="1041">
        <f t="shared" ca="1" si="147"/>
        <v>167.46697716190471</v>
      </c>
      <c r="W496" s="1041">
        <f t="shared" ca="1" si="147"/>
        <v>170.81631670514287</v>
      </c>
      <c r="X496" s="1041">
        <f t="shared" ca="1" si="147"/>
        <v>170.70084341361863</v>
      </c>
      <c r="Y496" s="1041">
        <f t="shared" ca="1" si="147"/>
        <v>174.18549627440365</v>
      </c>
      <c r="Z496" s="1041">
        <f t="shared" ca="1" si="147"/>
        <v>177.73984219240418</v>
      </c>
      <c r="AA496" s="1041">
        <f t="shared" ca="1" si="147"/>
        <v>148.71871497957875</v>
      </c>
      <c r="AB496" s="1041">
        <f t="shared" ca="1" si="147"/>
        <v>129.6661653750524</v>
      </c>
      <c r="AC496" s="1041">
        <f t="shared" ca="1" si="147"/>
        <v>98.36464359989273</v>
      </c>
      <c r="AD496" s="1041">
        <f t="shared" ca="1" si="147"/>
        <v>86.544656185732421</v>
      </c>
      <c r="AE496" s="1041">
        <f t="shared" ca="1" si="147"/>
        <v>67.143573395593464</v>
      </c>
      <c r="AF496" s="1041">
        <f t="shared" ca="1" si="147"/>
        <v>0</v>
      </c>
      <c r="AG496" s="1041">
        <f t="shared" ca="1" si="147"/>
        <v>0</v>
      </c>
      <c r="AH496" s="1041">
        <f t="shared" ca="1" si="147"/>
        <v>0</v>
      </c>
      <c r="AI496" s="1041">
        <f t="shared" ca="1" si="147"/>
        <v>0</v>
      </c>
      <c r="AJ496" s="1041">
        <f t="shared" ca="1" si="147"/>
        <v>0</v>
      </c>
      <c r="AK496" s="1041">
        <f t="shared" ca="1" si="147"/>
        <v>0</v>
      </c>
      <c r="AL496" s="1041">
        <f t="shared" ca="1" si="147"/>
        <v>0</v>
      </c>
      <c r="AM496" s="1041">
        <f t="shared" ca="1" si="147"/>
        <v>0</v>
      </c>
      <c r="AN496" s="1041">
        <f t="shared" ca="1" si="147"/>
        <v>0</v>
      </c>
      <c r="AO496" s="1041">
        <f t="shared" ca="1" si="147"/>
        <v>0</v>
      </c>
      <c r="AP496" s="1041">
        <f t="shared" ca="1" si="147"/>
        <v>0</v>
      </c>
      <c r="AQ496" s="1041">
        <f t="shared" ca="1" si="147"/>
        <v>0</v>
      </c>
      <c r="AR496" s="1041">
        <f t="shared" ca="1" si="147"/>
        <v>0</v>
      </c>
      <c r="AS496" s="1041">
        <f t="shared" ca="1" si="147"/>
        <v>0</v>
      </c>
      <c r="AT496" s="1041">
        <f t="shared" ca="1" si="147"/>
        <v>0</v>
      </c>
      <c r="AU496" s="1041">
        <f t="shared" ca="1" si="147"/>
        <v>0</v>
      </c>
      <c r="AV496" s="1041">
        <f t="shared" ca="1" si="147"/>
        <v>0</v>
      </c>
      <c r="AW496" s="1041">
        <f t="shared" ca="1" si="147"/>
        <v>0</v>
      </c>
      <c r="AX496" s="1041">
        <f t="shared" ca="1" si="147"/>
        <v>0</v>
      </c>
    </row>
    <row r="497" spans="1:50" ht="15" customHeight="1">
      <c r="A497" s="347"/>
      <c r="D497" s="1005"/>
      <c r="E497" s="1041"/>
      <c r="F497" s="1041"/>
      <c r="G497" s="1041"/>
      <c r="H497" s="1041"/>
      <c r="I497" s="1041"/>
      <c r="J497" s="1041"/>
      <c r="K497" s="1041"/>
      <c r="L497" s="1041"/>
      <c r="M497" s="1041"/>
      <c r="N497" s="1041"/>
      <c r="O497" s="1041"/>
      <c r="P497" s="1041"/>
      <c r="Q497" s="1041"/>
      <c r="R497" s="1041"/>
      <c r="S497" s="1041"/>
      <c r="T497" s="1041"/>
      <c r="U497" s="1041"/>
      <c r="V497" s="1041"/>
      <c r="W497" s="1041"/>
      <c r="X497" s="1041"/>
      <c r="Y497" s="1041"/>
      <c r="Z497" s="1041"/>
      <c r="AA497" s="1041"/>
      <c r="AB497" s="1041"/>
      <c r="AC497" s="1041"/>
      <c r="AD497" s="1041"/>
      <c r="AE497" s="1041"/>
      <c r="AF497" s="1041"/>
      <c r="AG497" s="1041"/>
      <c r="AH497" s="1041"/>
      <c r="AI497" s="1041"/>
      <c r="AJ497" s="1041"/>
      <c r="AK497" s="1041"/>
      <c r="AL497" s="1041"/>
      <c r="AM497" s="1041"/>
      <c r="AN497" s="1041"/>
      <c r="AO497" s="1041"/>
      <c r="AP497" s="1041"/>
      <c r="AQ497" s="1041"/>
      <c r="AR497" s="1041"/>
      <c r="AS497" s="1041"/>
      <c r="AT497" s="1041"/>
      <c r="AU497" s="1041"/>
      <c r="AV497" s="1041"/>
      <c r="AW497" s="1041"/>
      <c r="AX497" s="1041"/>
    </row>
    <row r="498" spans="1:50" ht="15" customHeight="1">
      <c r="A498" s="347"/>
      <c r="B498" s="690" t="str">
        <f>Translate!$E$83</f>
        <v>Alternative basis for determining mining company net cashflow via taxable income</v>
      </c>
      <c r="D498" s="1005"/>
      <c r="E498" s="1041"/>
      <c r="F498" s="1041"/>
      <c r="G498" s="1041"/>
      <c r="H498" s="1041"/>
      <c r="I498" s="1041"/>
      <c r="J498" s="1041"/>
      <c r="K498" s="1041"/>
      <c r="L498" s="1041"/>
      <c r="M498" s="1041"/>
      <c r="N498" s="1041"/>
      <c r="O498" s="1041"/>
      <c r="P498" s="1041"/>
      <c r="Q498" s="1041"/>
      <c r="R498" s="1041"/>
      <c r="S498" s="1041"/>
      <c r="T498" s="1041"/>
      <c r="U498" s="1041"/>
      <c r="V498" s="1041"/>
      <c r="W498" s="1041"/>
      <c r="X498" s="1041"/>
      <c r="Y498" s="1041"/>
      <c r="Z498" s="1041"/>
      <c r="AA498" s="1041"/>
      <c r="AB498" s="1041"/>
      <c r="AC498" s="1041"/>
      <c r="AD498" s="1041"/>
      <c r="AE498" s="1041"/>
      <c r="AF498" s="1041"/>
      <c r="AG498" s="1041"/>
      <c r="AH498" s="1041"/>
      <c r="AI498" s="1041"/>
      <c r="AJ498" s="1041"/>
      <c r="AK498" s="1041"/>
      <c r="AL498" s="1041"/>
      <c r="AM498" s="1041"/>
      <c r="AN498" s="1041"/>
      <c r="AO498" s="1041"/>
      <c r="AP498" s="1041"/>
      <c r="AQ498" s="1041"/>
      <c r="AR498" s="1041"/>
      <c r="AS498" s="1041"/>
      <c r="AT498" s="1041"/>
      <c r="AU498" s="1041"/>
      <c r="AV498" s="1041"/>
      <c r="AW498" s="1041"/>
      <c r="AX498" s="1041"/>
    </row>
    <row r="499" spans="1:50" ht="15" customHeight="1">
      <c r="A499" s="347"/>
      <c r="D499" s="1005"/>
      <c r="E499" s="1041" t="str">
        <f t="shared" ref="E499:AX499" si="148" xml:space="preserve"> E$469</f>
        <v>Taxable income before prior period losses</v>
      </c>
      <c r="F499" s="1041">
        <f t="shared" si="148"/>
        <v>0</v>
      </c>
      <c r="G499" s="1041" t="str">
        <f t="shared" si="148"/>
        <v>US$ mn</v>
      </c>
      <c r="H499" s="1041">
        <f t="shared" si="148"/>
        <v>0</v>
      </c>
      <c r="I499" s="1041">
        <f t="shared" ca="1" si="148"/>
        <v>1694.690630763936</v>
      </c>
      <c r="J499" s="1041">
        <f t="shared" si="148"/>
        <v>0</v>
      </c>
      <c r="K499" s="1041">
        <f t="shared" ca="1" si="148"/>
        <v>-10</v>
      </c>
      <c r="L499" s="1041">
        <f t="shared" ca="1" si="148"/>
        <v>-10.199999999999999</v>
      </c>
      <c r="M499" s="1041">
        <f t="shared" ca="1" si="148"/>
        <v>-10.404</v>
      </c>
      <c r="N499" s="1041">
        <f t="shared" ca="1" si="148"/>
        <v>0</v>
      </c>
      <c r="O499" s="1041">
        <f t="shared" ca="1" si="148"/>
        <v>-64.156091056740024</v>
      </c>
      <c r="P499" s="1041">
        <f t="shared" ca="1" si="148"/>
        <v>-29.671186458654603</v>
      </c>
      <c r="Q499" s="1041">
        <f t="shared" ca="1" si="148"/>
        <v>46.312109821539764</v>
      </c>
      <c r="R499" s="1041">
        <f t="shared" ca="1" si="148"/>
        <v>52.4339561511255</v>
      </c>
      <c r="S499" s="1041">
        <f t="shared" ca="1" si="148"/>
        <v>58.583320259426017</v>
      </c>
      <c r="T499" s="1041">
        <f t="shared" ca="1" si="148"/>
        <v>129.7581506900155</v>
      </c>
      <c r="U499" s="1041">
        <f t="shared" ca="1" si="148"/>
        <v>159.81235777869978</v>
      </c>
      <c r="V499" s="1041">
        <f t="shared" ca="1" si="148"/>
        <v>167.84948147600073</v>
      </c>
      <c r="W499" s="1041">
        <f t="shared" ca="1" si="148"/>
        <v>171.20647110552076</v>
      </c>
      <c r="X499" s="1041">
        <f t="shared" ca="1" si="148"/>
        <v>171.09880090200409</v>
      </c>
      <c r="Y499" s="1041">
        <f t="shared" ca="1" si="148"/>
        <v>174.59141291255682</v>
      </c>
      <c r="Z499" s="1041">
        <f t="shared" ca="1" si="148"/>
        <v>178.15387716332043</v>
      </c>
      <c r="AA499" s="1041">
        <f t="shared" ca="1" si="148"/>
        <v>149.14103064991329</v>
      </c>
      <c r="AB499" s="1041">
        <f t="shared" ca="1" si="148"/>
        <v>121.13538227596212</v>
      </c>
      <c r="AC499" s="1041">
        <f t="shared" ca="1" si="148"/>
        <v>91.903631109528533</v>
      </c>
      <c r="AD499" s="1041">
        <f t="shared" ca="1" si="148"/>
        <v>82.194809716268821</v>
      </c>
      <c r="AE499" s="1041">
        <f t="shared" ca="1" si="148"/>
        <v>64.947116267448479</v>
      </c>
      <c r="AF499" s="1041">
        <f t="shared" ca="1" si="148"/>
        <v>0</v>
      </c>
      <c r="AG499" s="1041">
        <f t="shared" ca="1" si="148"/>
        <v>0</v>
      </c>
      <c r="AH499" s="1041">
        <f t="shared" ca="1" si="148"/>
        <v>0</v>
      </c>
      <c r="AI499" s="1041">
        <f t="shared" ca="1" si="148"/>
        <v>0</v>
      </c>
      <c r="AJ499" s="1041">
        <f t="shared" ca="1" si="148"/>
        <v>0</v>
      </c>
      <c r="AK499" s="1041">
        <f t="shared" ca="1" si="148"/>
        <v>0</v>
      </c>
      <c r="AL499" s="1041">
        <f t="shared" ca="1" si="148"/>
        <v>0</v>
      </c>
      <c r="AM499" s="1041">
        <f t="shared" ca="1" si="148"/>
        <v>0</v>
      </c>
      <c r="AN499" s="1041">
        <f t="shared" ca="1" si="148"/>
        <v>0</v>
      </c>
      <c r="AO499" s="1041">
        <f t="shared" ca="1" si="148"/>
        <v>0</v>
      </c>
      <c r="AP499" s="1041">
        <f t="shared" ca="1" si="148"/>
        <v>0</v>
      </c>
      <c r="AQ499" s="1041">
        <f t="shared" ca="1" si="148"/>
        <v>0</v>
      </c>
      <c r="AR499" s="1041">
        <f t="shared" ca="1" si="148"/>
        <v>0</v>
      </c>
      <c r="AS499" s="1041">
        <f t="shared" ca="1" si="148"/>
        <v>0</v>
      </c>
      <c r="AT499" s="1041">
        <f t="shared" ca="1" si="148"/>
        <v>0</v>
      </c>
      <c r="AU499" s="1041">
        <f t="shared" ca="1" si="148"/>
        <v>0</v>
      </c>
      <c r="AV499" s="1041">
        <f t="shared" ca="1" si="148"/>
        <v>0</v>
      </c>
      <c r="AW499" s="1041">
        <f t="shared" ca="1" si="148"/>
        <v>0</v>
      </c>
      <c r="AX499" s="1041">
        <f t="shared" ca="1" si="148"/>
        <v>0</v>
      </c>
    </row>
    <row r="500" spans="1:50" ht="15" customHeight="1">
      <c r="A500" s="347"/>
      <c r="D500" s="1005" t="str">
        <f>Translate!$E$605</f>
        <v>add</v>
      </c>
      <c r="E500" s="1041" t="str">
        <f t="shared" ref="E500:AX500" si="149" xml:space="preserve"> E$462</f>
        <v>Interest expensed to P&amp;L: Mining company</v>
      </c>
      <c r="F500" s="1041">
        <f t="shared" si="149"/>
        <v>0</v>
      </c>
      <c r="G500" s="1041" t="str">
        <f t="shared" si="149"/>
        <v>US$ mn</v>
      </c>
      <c r="H500" s="1041">
        <f t="shared" si="149"/>
        <v>0</v>
      </c>
      <c r="I500" s="1041">
        <f t="shared" ca="1" si="149"/>
        <v>100.23959742332414</v>
      </c>
      <c r="J500" s="1041">
        <f t="shared" si="149"/>
        <v>0</v>
      </c>
      <c r="K500" s="1041">
        <f t="shared" ca="1" si="149"/>
        <v>0</v>
      </c>
      <c r="L500" s="1041">
        <f t="shared" ca="1" si="149"/>
        <v>0</v>
      </c>
      <c r="M500" s="1041">
        <f t="shared" ca="1" si="149"/>
        <v>0</v>
      </c>
      <c r="N500" s="1041">
        <f t="shared" ca="1" si="149"/>
        <v>0</v>
      </c>
      <c r="O500" s="1041">
        <f t="shared" ca="1" si="149"/>
        <v>9.4553287907400208</v>
      </c>
      <c r="P500" s="1041">
        <f t="shared" ca="1" si="149"/>
        <v>19.594907724834592</v>
      </c>
      <c r="Q500" s="1041">
        <f t="shared" ca="1" si="149"/>
        <v>23.729786969249851</v>
      </c>
      <c r="R500" s="1041">
        <f t="shared" ca="1" si="149"/>
        <v>18.983829575399881</v>
      </c>
      <c r="S500" s="1041">
        <f t="shared" ca="1" si="149"/>
        <v>14.237872181549911</v>
      </c>
      <c r="T500" s="1041">
        <f t="shared" ca="1" si="149"/>
        <v>9.4919147876999403</v>
      </c>
      <c r="U500" s="1041">
        <f t="shared" ca="1" si="149"/>
        <v>4.7459573938499702</v>
      </c>
      <c r="V500" s="1041">
        <f t="shared" ca="1" si="149"/>
        <v>0</v>
      </c>
      <c r="W500" s="1041">
        <f t="shared" ca="1" si="149"/>
        <v>0</v>
      </c>
      <c r="X500" s="1041">
        <f t="shared" ca="1" si="149"/>
        <v>0</v>
      </c>
      <c r="Y500" s="1041">
        <f t="shared" ca="1" si="149"/>
        <v>0</v>
      </c>
      <c r="Z500" s="1041">
        <f t="shared" ca="1" si="149"/>
        <v>0</v>
      </c>
      <c r="AA500" s="1041">
        <f t="shared" ca="1" si="149"/>
        <v>0</v>
      </c>
      <c r="AB500" s="1041">
        <f t="shared" ca="1" si="149"/>
        <v>0</v>
      </c>
      <c r="AC500" s="1041">
        <f t="shared" ca="1" si="149"/>
        <v>0</v>
      </c>
      <c r="AD500" s="1041">
        <f t="shared" ca="1" si="149"/>
        <v>0</v>
      </c>
      <c r="AE500" s="1041">
        <f t="shared" ca="1" si="149"/>
        <v>0</v>
      </c>
      <c r="AF500" s="1041">
        <f t="shared" ca="1" si="149"/>
        <v>0</v>
      </c>
      <c r="AG500" s="1041">
        <f t="shared" ca="1" si="149"/>
        <v>0</v>
      </c>
      <c r="AH500" s="1041">
        <f t="shared" ca="1" si="149"/>
        <v>0</v>
      </c>
      <c r="AI500" s="1041">
        <f t="shared" ca="1" si="149"/>
        <v>0</v>
      </c>
      <c r="AJ500" s="1041">
        <f t="shared" ca="1" si="149"/>
        <v>0</v>
      </c>
      <c r="AK500" s="1041">
        <f t="shared" ca="1" si="149"/>
        <v>0</v>
      </c>
      <c r="AL500" s="1041">
        <f t="shared" ca="1" si="149"/>
        <v>0</v>
      </c>
      <c r="AM500" s="1041">
        <f t="shared" ca="1" si="149"/>
        <v>0</v>
      </c>
      <c r="AN500" s="1041">
        <f t="shared" ca="1" si="149"/>
        <v>0</v>
      </c>
      <c r="AO500" s="1041">
        <f t="shared" ca="1" si="149"/>
        <v>0</v>
      </c>
      <c r="AP500" s="1041">
        <f t="shared" ca="1" si="149"/>
        <v>0</v>
      </c>
      <c r="AQ500" s="1041">
        <f t="shared" ca="1" si="149"/>
        <v>0</v>
      </c>
      <c r="AR500" s="1041">
        <f t="shared" ca="1" si="149"/>
        <v>0</v>
      </c>
      <c r="AS500" s="1041">
        <f t="shared" ca="1" si="149"/>
        <v>0</v>
      </c>
      <c r="AT500" s="1041">
        <f t="shared" ca="1" si="149"/>
        <v>0</v>
      </c>
      <c r="AU500" s="1041">
        <f t="shared" ca="1" si="149"/>
        <v>0</v>
      </c>
      <c r="AV500" s="1041">
        <f t="shared" ca="1" si="149"/>
        <v>0</v>
      </c>
      <c r="AW500" s="1041">
        <f t="shared" ca="1" si="149"/>
        <v>0</v>
      </c>
      <c r="AX500" s="1041">
        <f t="shared" ca="1" si="149"/>
        <v>0</v>
      </c>
    </row>
    <row r="501" spans="1:50" ht="15" customHeight="1">
      <c r="A501" s="347"/>
      <c r="D501" s="1005" t="str">
        <f>Translate!$E$605</f>
        <v>add</v>
      </c>
      <c r="E501" s="1041" t="str">
        <f t="shared" ref="E501:AX501" si="150" xml:space="preserve"> E$459</f>
        <v xml:space="preserve">Tax depreciation charge mining company </v>
      </c>
      <c r="F501" s="1041">
        <f t="shared" si="150"/>
        <v>0</v>
      </c>
      <c r="G501" s="1041" t="str">
        <f t="shared" si="150"/>
        <v>US$ mn</v>
      </c>
      <c r="H501" s="1041">
        <f t="shared" si="150"/>
        <v>0</v>
      </c>
      <c r="I501" s="1041">
        <f t="shared" ca="1" si="150"/>
        <v>553.85931765696989</v>
      </c>
      <c r="J501" s="1041">
        <f t="shared" si="150"/>
        <v>0</v>
      </c>
      <c r="K501" s="1041">
        <f t="shared" ca="1" si="150"/>
        <v>0</v>
      </c>
      <c r="L501" s="1041">
        <f t="shared" ca="1" si="150"/>
        <v>0</v>
      </c>
      <c r="M501" s="1041">
        <f t="shared" ca="1" si="150"/>
        <v>0</v>
      </c>
      <c r="N501" s="1041">
        <f t="shared" ca="1" si="150"/>
        <v>0</v>
      </c>
      <c r="O501" s="1041">
        <f t="shared" ca="1" si="150"/>
        <v>64.997398188000005</v>
      </c>
      <c r="P501" s="1041">
        <f t="shared" ca="1" si="150"/>
        <v>88.845543537119994</v>
      </c>
      <c r="Q501" s="1041">
        <f t="shared" ca="1" si="150"/>
        <v>90.647403407942392</v>
      </c>
      <c r="R501" s="1041">
        <f t="shared" ca="1" si="150"/>
        <v>92.485300476181251</v>
      </c>
      <c r="S501" s="1041">
        <f t="shared" ca="1" si="150"/>
        <v>94.359955485784866</v>
      </c>
      <c r="T501" s="1041">
        <f t="shared" ca="1" si="150"/>
        <v>31.274705407580576</v>
      </c>
      <c r="U501" s="1041">
        <f t="shared" ca="1" si="150"/>
        <v>9.3769511304521878</v>
      </c>
      <c r="V501" s="1041">
        <f t="shared" ca="1" si="150"/>
        <v>9.5644901530612305</v>
      </c>
      <c r="W501" s="1041">
        <f t="shared" ca="1" si="150"/>
        <v>9.7557799561224545</v>
      </c>
      <c r="X501" s="1041">
        <f t="shared" ca="1" si="150"/>
        <v>9.9508955552449034</v>
      </c>
      <c r="Y501" s="1041">
        <f t="shared" ca="1" si="150"/>
        <v>10.149913466349803</v>
      </c>
      <c r="Z501" s="1041">
        <f t="shared" ca="1" si="150"/>
        <v>10.352911735676798</v>
      </c>
      <c r="AA501" s="1041">
        <f t="shared" ca="1" si="150"/>
        <v>10.559969970390334</v>
      </c>
      <c r="AB501" s="1041">
        <f t="shared" ca="1" si="150"/>
        <v>8.5307830990902609</v>
      </c>
      <c r="AC501" s="1041">
        <f t="shared" ca="1" si="150"/>
        <v>6.4610124903641877</v>
      </c>
      <c r="AD501" s="1041">
        <f t="shared" ca="1" si="150"/>
        <v>4.349846469463591</v>
      </c>
      <c r="AE501" s="1041">
        <f t="shared" ca="1" si="150"/>
        <v>2.1964571281449929</v>
      </c>
      <c r="AF501" s="1041">
        <f t="shared" ca="1" si="150"/>
        <v>0</v>
      </c>
      <c r="AG501" s="1041">
        <f t="shared" ca="1" si="150"/>
        <v>0</v>
      </c>
      <c r="AH501" s="1041">
        <f t="shared" ca="1" si="150"/>
        <v>0</v>
      </c>
      <c r="AI501" s="1041">
        <f t="shared" ca="1" si="150"/>
        <v>0</v>
      </c>
      <c r="AJ501" s="1041">
        <f t="shared" ca="1" si="150"/>
        <v>0</v>
      </c>
      <c r="AK501" s="1041">
        <f t="shared" ca="1" si="150"/>
        <v>0</v>
      </c>
      <c r="AL501" s="1041">
        <f t="shared" ca="1" si="150"/>
        <v>0</v>
      </c>
      <c r="AM501" s="1041">
        <f t="shared" ca="1" si="150"/>
        <v>0</v>
      </c>
      <c r="AN501" s="1041">
        <f t="shared" ca="1" si="150"/>
        <v>0</v>
      </c>
      <c r="AO501" s="1041">
        <f t="shared" ca="1" si="150"/>
        <v>0</v>
      </c>
      <c r="AP501" s="1041">
        <f t="shared" ca="1" si="150"/>
        <v>0</v>
      </c>
      <c r="AQ501" s="1041">
        <f t="shared" ca="1" si="150"/>
        <v>0</v>
      </c>
      <c r="AR501" s="1041">
        <f t="shared" ca="1" si="150"/>
        <v>0</v>
      </c>
      <c r="AS501" s="1041">
        <f t="shared" ca="1" si="150"/>
        <v>0</v>
      </c>
      <c r="AT501" s="1041">
        <f t="shared" ca="1" si="150"/>
        <v>0</v>
      </c>
      <c r="AU501" s="1041">
        <f t="shared" ca="1" si="150"/>
        <v>0</v>
      </c>
      <c r="AV501" s="1041">
        <f t="shared" ca="1" si="150"/>
        <v>0</v>
      </c>
      <c r="AW501" s="1041">
        <f t="shared" ca="1" si="150"/>
        <v>0</v>
      </c>
      <c r="AX501" s="1041">
        <f t="shared" ca="1" si="150"/>
        <v>0</v>
      </c>
    </row>
    <row r="502" spans="1:50" ht="15" customHeight="1">
      <c r="A502" s="347"/>
      <c r="D502" s="1005" t="str">
        <f>Translate!$E$606</f>
        <v>less</v>
      </c>
      <c r="E502" s="258" t="str">
        <f t="shared" ref="E502:AX502" si="151" xml:space="preserve"> E$382</f>
        <v>Capitalized costs excluding interest</v>
      </c>
      <c r="F502" s="258">
        <f t="shared" si="151"/>
        <v>0</v>
      </c>
      <c r="G502" s="258" t="str">
        <f t="shared" si="151"/>
        <v>US$ mn</v>
      </c>
      <c r="H502" s="258">
        <f t="shared" si="151"/>
        <v>0</v>
      </c>
      <c r="I502" s="258">
        <f t="shared" ca="1" si="151"/>
        <v>552.54076671696976</v>
      </c>
      <c r="J502" s="258">
        <f t="shared" si="151"/>
        <v>0</v>
      </c>
      <c r="K502" s="258">
        <f t="shared" ca="1" si="151"/>
        <v>0</v>
      </c>
      <c r="L502" s="258">
        <f t="shared" ca="1" si="151"/>
        <v>0</v>
      </c>
      <c r="M502" s="258">
        <f t="shared" ca="1" si="151"/>
        <v>0</v>
      </c>
      <c r="N502" s="258">
        <f t="shared" ca="1" si="151"/>
        <v>53.060399999999994</v>
      </c>
      <c r="O502" s="258">
        <f t="shared" ca="1" si="151"/>
        <v>270.60804000000002</v>
      </c>
      <c r="P502" s="258">
        <f t="shared" ca="1" si="151"/>
        <v>119.2407267456</v>
      </c>
      <c r="Q502" s="258">
        <f t="shared" ca="1" si="151"/>
        <v>9.0092993541120006</v>
      </c>
      <c r="R502" s="258">
        <f t="shared" ca="1" si="151"/>
        <v>9.1894853411942403</v>
      </c>
      <c r="S502" s="258">
        <f t="shared" ca="1" si="151"/>
        <v>9.3732750480181259</v>
      </c>
      <c r="T502" s="258">
        <f t="shared" ca="1" si="151"/>
        <v>9.5607405489784885</v>
      </c>
      <c r="U502" s="258">
        <f t="shared" ca="1" si="151"/>
        <v>9.7519553599580586</v>
      </c>
      <c r="V502" s="258">
        <f t="shared" ca="1" si="151"/>
        <v>9.9469944671572197</v>
      </c>
      <c r="W502" s="258">
        <f t="shared" ca="1" si="151"/>
        <v>10.145934356500364</v>
      </c>
      <c r="X502" s="258">
        <f t="shared" ca="1" si="151"/>
        <v>10.348853043630371</v>
      </c>
      <c r="Y502" s="258">
        <f t="shared" ca="1" si="151"/>
        <v>10.555830104502979</v>
      </c>
      <c r="Z502" s="258">
        <f t="shared" ca="1" si="151"/>
        <v>10.766946706593039</v>
      </c>
      <c r="AA502" s="258">
        <f t="shared" ca="1" si="151"/>
        <v>10.9822856407249</v>
      </c>
      <c r="AB502" s="258">
        <f t="shared" ca="1" si="151"/>
        <v>0</v>
      </c>
      <c r="AC502" s="258">
        <f t="shared" ca="1" si="151"/>
        <v>0</v>
      </c>
      <c r="AD502" s="258">
        <f t="shared" ca="1" si="151"/>
        <v>0</v>
      </c>
      <c r="AE502" s="258">
        <f t="shared" ca="1" si="151"/>
        <v>0</v>
      </c>
      <c r="AF502" s="258">
        <f t="shared" ca="1" si="151"/>
        <v>0</v>
      </c>
      <c r="AG502" s="258">
        <f t="shared" ca="1" si="151"/>
        <v>0</v>
      </c>
      <c r="AH502" s="258">
        <f t="shared" ca="1" si="151"/>
        <v>0</v>
      </c>
      <c r="AI502" s="258">
        <f t="shared" ca="1" si="151"/>
        <v>0</v>
      </c>
      <c r="AJ502" s="258">
        <f t="shared" ca="1" si="151"/>
        <v>0</v>
      </c>
      <c r="AK502" s="258">
        <f t="shared" ca="1" si="151"/>
        <v>0</v>
      </c>
      <c r="AL502" s="258">
        <f t="shared" ca="1" si="151"/>
        <v>0</v>
      </c>
      <c r="AM502" s="258">
        <f t="shared" ca="1" si="151"/>
        <v>0</v>
      </c>
      <c r="AN502" s="258">
        <f t="shared" ca="1" si="151"/>
        <v>0</v>
      </c>
      <c r="AO502" s="258">
        <f t="shared" ca="1" si="151"/>
        <v>0</v>
      </c>
      <c r="AP502" s="258">
        <f t="shared" ca="1" si="151"/>
        <v>0</v>
      </c>
      <c r="AQ502" s="258">
        <f t="shared" ca="1" si="151"/>
        <v>0</v>
      </c>
      <c r="AR502" s="258">
        <f t="shared" ca="1" si="151"/>
        <v>0</v>
      </c>
      <c r="AS502" s="258">
        <f t="shared" ca="1" si="151"/>
        <v>0</v>
      </c>
      <c r="AT502" s="258">
        <f t="shared" ca="1" si="151"/>
        <v>0</v>
      </c>
      <c r="AU502" s="258">
        <f t="shared" ca="1" si="151"/>
        <v>0</v>
      </c>
      <c r="AV502" s="258">
        <f t="shared" ca="1" si="151"/>
        <v>0</v>
      </c>
      <c r="AW502" s="258">
        <f t="shared" ca="1" si="151"/>
        <v>0</v>
      </c>
      <c r="AX502" s="258">
        <f t="shared" ca="1" si="151"/>
        <v>0</v>
      </c>
    </row>
    <row r="503" spans="1:50" s="556" customFormat="1" ht="15" customHeight="1">
      <c r="A503" s="569"/>
      <c r="B503" s="704"/>
      <c r="C503" s="584"/>
      <c r="D503" s="1123"/>
      <c r="E503" s="1122" t="str">
        <f>Translate!$E$234</f>
        <v>Mining company net cashflow before tax for RRT (via tax return)</v>
      </c>
      <c r="F503" s="1122"/>
      <c r="G503" s="1122" t="str">
        <f xml:space="preserve"> Translate!E$10</f>
        <v>US$ mn</v>
      </c>
      <c r="H503" s="1122"/>
      <c r="I503" s="1122">
        <f ca="1" xml:space="preserve"> SUM(K503:AX503)</f>
        <v>1796.2487791272601</v>
      </c>
      <c r="J503" s="1122"/>
      <c r="K503" s="1122">
        <f t="shared" ref="K503:AX503" ca="1" si="152" xml:space="preserve"> K499 + K500 + K501 - K502</f>
        <v>-10</v>
      </c>
      <c r="L503" s="1122">
        <f t="shared" ca="1" si="152"/>
        <v>-10.199999999999999</v>
      </c>
      <c r="M503" s="1122">
        <f t="shared" ca="1" si="152"/>
        <v>-10.404</v>
      </c>
      <c r="N503" s="1122">
        <f t="shared" ca="1" si="152"/>
        <v>-53.060399999999994</v>
      </c>
      <c r="O503" s="1122">
        <f t="shared" ca="1" si="152"/>
        <v>-260.31140407800001</v>
      </c>
      <c r="P503" s="1122">
        <f t="shared" ca="1" si="152"/>
        <v>-40.47146194230001</v>
      </c>
      <c r="Q503" s="1122">
        <f t="shared" ca="1" si="152"/>
        <v>151.68000084462003</v>
      </c>
      <c r="R503" s="1122">
        <f t="shared" ca="1" si="152"/>
        <v>154.71360086151239</v>
      </c>
      <c r="S503" s="1122">
        <f t="shared" ca="1" si="152"/>
        <v>157.80787287874267</v>
      </c>
      <c r="T503" s="1122">
        <f t="shared" ca="1" si="152"/>
        <v>160.96403033631753</v>
      </c>
      <c r="U503" s="1122">
        <f t="shared" ca="1" si="152"/>
        <v>164.18331094304389</v>
      </c>
      <c r="V503" s="1122">
        <f t="shared" ca="1" si="152"/>
        <v>167.46697716190474</v>
      </c>
      <c r="W503" s="1122">
        <f t="shared" ca="1" si="152"/>
        <v>170.81631670514287</v>
      </c>
      <c r="X503" s="1122">
        <f t="shared" ca="1" si="152"/>
        <v>170.7008434136186</v>
      </c>
      <c r="Y503" s="1122">
        <f t="shared" ca="1" si="152"/>
        <v>174.18549627440365</v>
      </c>
      <c r="Z503" s="1122">
        <f t="shared" ca="1" si="152"/>
        <v>177.73984219240418</v>
      </c>
      <c r="AA503" s="1122">
        <f t="shared" ca="1" si="152"/>
        <v>148.71871497957872</v>
      </c>
      <c r="AB503" s="1122">
        <f t="shared" ca="1" si="152"/>
        <v>129.66616537505237</v>
      </c>
      <c r="AC503" s="1122">
        <f t="shared" ca="1" si="152"/>
        <v>98.364643599892716</v>
      </c>
      <c r="AD503" s="1122">
        <f t="shared" ca="1" si="152"/>
        <v>86.544656185732407</v>
      </c>
      <c r="AE503" s="1122">
        <f t="shared" ca="1" si="152"/>
        <v>67.143573395593478</v>
      </c>
      <c r="AF503" s="1122">
        <f t="shared" ca="1" si="152"/>
        <v>0</v>
      </c>
      <c r="AG503" s="1122">
        <f t="shared" ca="1" si="152"/>
        <v>0</v>
      </c>
      <c r="AH503" s="1122">
        <f t="shared" ca="1" si="152"/>
        <v>0</v>
      </c>
      <c r="AI503" s="1122">
        <f t="shared" ca="1" si="152"/>
        <v>0</v>
      </c>
      <c r="AJ503" s="1122">
        <f t="shared" ca="1" si="152"/>
        <v>0</v>
      </c>
      <c r="AK503" s="1122">
        <f t="shared" ca="1" si="152"/>
        <v>0</v>
      </c>
      <c r="AL503" s="1122">
        <f t="shared" ca="1" si="152"/>
        <v>0</v>
      </c>
      <c r="AM503" s="1122">
        <f t="shared" ca="1" si="152"/>
        <v>0</v>
      </c>
      <c r="AN503" s="1122">
        <f t="shared" ca="1" si="152"/>
        <v>0</v>
      </c>
      <c r="AO503" s="1122">
        <f t="shared" ca="1" si="152"/>
        <v>0</v>
      </c>
      <c r="AP503" s="1122">
        <f t="shared" ca="1" si="152"/>
        <v>0</v>
      </c>
      <c r="AQ503" s="1122">
        <f t="shared" ca="1" si="152"/>
        <v>0</v>
      </c>
      <c r="AR503" s="1122">
        <f t="shared" ca="1" si="152"/>
        <v>0</v>
      </c>
      <c r="AS503" s="1122">
        <f t="shared" ca="1" si="152"/>
        <v>0</v>
      </c>
      <c r="AT503" s="1122">
        <f t="shared" ca="1" si="152"/>
        <v>0</v>
      </c>
      <c r="AU503" s="1122">
        <f t="shared" ca="1" si="152"/>
        <v>0</v>
      </c>
      <c r="AV503" s="1122">
        <f t="shared" ca="1" si="152"/>
        <v>0</v>
      </c>
      <c r="AW503" s="1122">
        <f t="shared" ca="1" si="152"/>
        <v>0</v>
      </c>
      <c r="AX503" s="1122">
        <f t="shared" ca="1" si="152"/>
        <v>0</v>
      </c>
    </row>
    <row r="504" spans="1:50" ht="15" customHeight="1">
      <c r="A504" s="347"/>
      <c r="D504" s="1005"/>
      <c r="E504" s="1041"/>
      <c r="F504" s="1041"/>
      <c r="G504" s="1041"/>
      <c r="H504" s="1041"/>
      <c r="I504" s="1041"/>
      <c r="J504" s="1041"/>
      <c r="K504" s="1041"/>
      <c r="L504" s="1041"/>
      <c r="M504" s="1041"/>
      <c r="N504" s="1041"/>
      <c r="O504" s="1041"/>
      <c r="P504" s="1041"/>
      <c r="Q504" s="1041"/>
      <c r="R504" s="1041"/>
      <c r="S504" s="1041"/>
      <c r="T504" s="1041"/>
      <c r="U504" s="1041"/>
      <c r="V504" s="1041"/>
      <c r="W504" s="1041"/>
      <c r="X504" s="1041"/>
      <c r="Y504" s="1041"/>
      <c r="Z504" s="1041"/>
      <c r="AA504" s="1041"/>
      <c r="AB504" s="1041"/>
      <c r="AC504" s="1041"/>
      <c r="AD504" s="1041"/>
      <c r="AE504" s="1041"/>
      <c r="AF504" s="1041"/>
      <c r="AG504" s="1041"/>
      <c r="AH504" s="1041"/>
      <c r="AI504" s="1041"/>
      <c r="AJ504" s="1041"/>
      <c r="AK504" s="1041"/>
      <c r="AL504" s="1041"/>
      <c r="AM504" s="1041"/>
      <c r="AN504" s="1041"/>
      <c r="AO504" s="1041"/>
      <c r="AP504" s="1041"/>
      <c r="AQ504" s="1041"/>
      <c r="AR504" s="1041"/>
      <c r="AS504" s="1041"/>
      <c r="AT504" s="1041"/>
      <c r="AU504" s="1041"/>
      <c r="AV504" s="1041"/>
      <c r="AW504" s="1041"/>
      <c r="AX504" s="1041"/>
    </row>
    <row r="505" spans="1:50" ht="15" customHeight="1">
      <c r="A505" s="347"/>
      <c r="D505" s="1005"/>
      <c r="E505" s="1041" t="str">
        <f xml:space="preserve"> Translate!$E$444 &amp; ": " &amp; Translate!$E$235</f>
        <v>Check: Mining company cashflows for RRT: cashflow versus tax return</v>
      </c>
      <c r="F505" s="414">
        <f ca="1" xml:space="preserve"> MIN( 1, SUM(K505:AX505))</f>
        <v>0</v>
      </c>
      <c r="G505" s="1041" t="str">
        <f xml:space="preserve"> Translate!E$444</f>
        <v>Check</v>
      </c>
      <c r="H505" s="1041"/>
      <c r="I505" s="1041">
        <f ca="1" xml:space="preserve"> SUM(K505:AX505)</f>
        <v>0</v>
      </c>
      <c r="J505" s="1041"/>
      <c r="K505" s="414">
        <f t="shared" ref="K505:AX505" ca="1" si="153" xml:space="preserve"> IF( ABS(K496 - K503) &gt; CHK_TOL, 1, 0)</f>
        <v>0</v>
      </c>
      <c r="L505" s="414">
        <f t="shared" ca="1" si="153"/>
        <v>0</v>
      </c>
      <c r="M505" s="414">
        <f t="shared" ca="1" si="153"/>
        <v>0</v>
      </c>
      <c r="N505" s="414">
        <f t="shared" ca="1" si="153"/>
        <v>0</v>
      </c>
      <c r="O505" s="414">
        <f t="shared" ca="1" si="153"/>
        <v>0</v>
      </c>
      <c r="P505" s="414">
        <f t="shared" ca="1" si="153"/>
        <v>0</v>
      </c>
      <c r="Q505" s="414">
        <f t="shared" ca="1" si="153"/>
        <v>0</v>
      </c>
      <c r="R505" s="414">
        <f t="shared" ca="1" si="153"/>
        <v>0</v>
      </c>
      <c r="S505" s="414">
        <f t="shared" ca="1" si="153"/>
        <v>0</v>
      </c>
      <c r="T505" s="414">
        <f t="shared" ca="1" si="153"/>
        <v>0</v>
      </c>
      <c r="U505" s="414">
        <f t="shared" ca="1" si="153"/>
        <v>0</v>
      </c>
      <c r="V505" s="414">
        <f t="shared" ca="1" si="153"/>
        <v>0</v>
      </c>
      <c r="W505" s="414">
        <f t="shared" ca="1" si="153"/>
        <v>0</v>
      </c>
      <c r="X505" s="414">
        <f t="shared" ca="1" si="153"/>
        <v>0</v>
      </c>
      <c r="Y505" s="414">
        <f t="shared" ca="1" si="153"/>
        <v>0</v>
      </c>
      <c r="Z505" s="414">
        <f t="shared" ca="1" si="153"/>
        <v>0</v>
      </c>
      <c r="AA505" s="414">
        <f t="shared" ca="1" si="153"/>
        <v>0</v>
      </c>
      <c r="AB505" s="414">
        <f t="shared" ca="1" si="153"/>
        <v>0</v>
      </c>
      <c r="AC505" s="414">
        <f t="shared" ca="1" si="153"/>
        <v>0</v>
      </c>
      <c r="AD505" s="414">
        <f t="shared" ca="1" si="153"/>
        <v>0</v>
      </c>
      <c r="AE505" s="414">
        <f t="shared" ca="1" si="153"/>
        <v>0</v>
      </c>
      <c r="AF505" s="414">
        <f t="shared" ca="1" si="153"/>
        <v>0</v>
      </c>
      <c r="AG505" s="414">
        <f t="shared" ca="1" si="153"/>
        <v>0</v>
      </c>
      <c r="AH505" s="414">
        <f t="shared" ca="1" si="153"/>
        <v>0</v>
      </c>
      <c r="AI505" s="414">
        <f t="shared" ca="1" si="153"/>
        <v>0</v>
      </c>
      <c r="AJ505" s="414">
        <f t="shared" ca="1" si="153"/>
        <v>0</v>
      </c>
      <c r="AK505" s="414">
        <f t="shared" ca="1" si="153"/>
        <v>0</v>
      </c>
      <c r="AL505" s="414">
        <f t="shared" ca="1" si="153"/>
        <v>0</v>
      </c>
      <c r="AM505" s="414">
        <f t="shared" ca="1" si="153"/>
        <v>0</v>
      </c>
      <c r="AN505" s="414">
        <f t="shared" ca="1" si="153"/>
        <v>0</v>
      </c>
      <c r="AO505" s="414">
        <f t="shared" ca="1" si="153"/>
        <v>0</v>
      </c>
      <c r="AP505" s="414">
        <f t="shared" ca="1" si="153"/>
        <v>0</v>
      </c>
      <c r="AQ505" s="414">
        <f t="shared" ca="1" si="153"/>
        <v>0</v>
      </c>
      <c r="AR505" s="414">
        <f t="shared" ca="1" si="153"/>
        <v>0</v>
      </c>
      <c r="AS505" s="414">
        <f t="shared" ca="1" si="153"/>
        <v>0</v>
      </c>
      <c r="AT505" s="414">
        <f t="shared" ca="1" si="153"/>
        <v>0</v>
      </c>
      <c r="AU505" s="414">
        <f t="shared" ca="1" si="153"/>
        <v>0</v>
      </c>
      <c r="AV505" s="414">
        <f t="shared" ca="1" si="153"/>
        <v>0</v>
      </c>
      <c r="AW505" s="414">
        <f t="shared" ca="1" si="153"/>
        <v>0</v>
      </c>
      <c r="AX505" s="414">
        <f t="shared" ca="1" si="153"/>
        <v>0</v>
      </c>
    </row>
    <row r="506" spans="1:50" ht="15" customHeight="1">
      <c r="A506" s="347"/>
      <c r="D506" s="1005"/>
      <c r="E506" s="1041"/>
      <c r="F506" s="1041"/>
      <c r="G506" s="1041"/>
      <c r="H506" s="1041"/>
      <c r="I506" s="1041"/>
      <c r="J506" s="1041"/>
      <c r="K506" s="1041"/>
      <c r="L506" s="1041"/>
      <c r="M506" s="1041"/>
      <c r="N506" s="1041"/>
      <c r="O506" s="1041"/>
      <c r="P506" s="1041"/>
      <c r="Q506" s="1041"/>
      <c r="R506" s="1041"/>
      <c r="S506" s="1041"/>
      <c r="T506" s="1041"/>
      <c r="U506" s="1041"/>
      <c r="V506" s="1041"/>
      <c r="W506" s="1041"/>
      <c r="X506" s="1041"/>
      <c r="Y506" s="1041"/>
      <c r="Z506" s="1041"/>
      <c r="AA506" s="1041"/>
      <c r="AB506" s="1041"/>
      <c r="AC506" s="1041"/>
      <c r="AD506" s="1041"/>
      <c r="AE506" s="1041"/>
      <c r="AF506" s="1041"/>
      <c r="AG506" s="1041"/>
      <c r="AH506" s="1041"/>
      <c r="AI506" s="1041"/>
      <c r="AJ506" s="1041"/>
      <c r="AK506" s="1041"/>
      <c r="AL506" s="1041"/>
      <c r="AM506" s="1041"/>
      <c r="AN506" s="1041"/>
      <c r="AO506" s="1041"/>
      <c r="AP506" s="1041"/>
      <c r="AQ506" s="1041"/>
      <c r="AR506" s="1041"/>
      <c r="AS506" s="1041"/>
      <c r="AT506" s="1041"/>
      <c r="AU506" s="1041"/>
      <c r="AV506" s="1041"/>
      <c r="AW506" s="1041"/>
      <c r="AX506" s="1041"/>
    </row>
    <row r="507" spans="1:50" ht="15" customHeight="1">
      <c r="A507" s="347"/>
      <c r="B507" s="690" t="str">
        <f>Translate!$E$84</f>
        <v>Deduction of CIT for RRT</v>
      </c>
      <c r="D507" s="1005"/>
      <c r="E507" s="1041"/>
      <c r="F507" s="1041"/>
      <c r="G507" s="1041"/>
      <c r="H507" s="1041"/>
      <c r="I507" s="1041"/>
      <c r="J507" s="1041"/>
      <c r="K507" s="1041"/>
      <c r="L507" s="1041"/>
      <c r="M507" s="1041"/>
      <c r="N507" s="1041"/>
      <c r="O507" s="1041"/>
      <c r="P507" s="1041"/>
      <c r="Q507" s="1041"/>
      <c r="R507" s="1041"/>
      <c r="S507" s="1041"/>
      <c r="T507" s="1041"/>
      <c r="U507" s="1041"/>
      <c r="V507" s="1041"/>
      <c r="W507" s="1041"/>
      <c r="X507" s="1041"/>
      <c r="Y507" s="1041"/>
      <c r="Z507" s="1041"/>
      <c r="AA507" s="1041"/>
      <c r="AB507" s="1041"/>
      <c r="AC507" s="1041"/>
      <c r="AD507" s="1041"/>
      <c r="AE507" s="1041"/>
      <c r="AF507" s="1041"/>
      <c r="AG507" s="1041"/>
      <c r="AH507" s="1041"/>
      <c r="AI507" s="1041"/>
      <c r="AJ507" s="1041"/>
      <c r="AK507" s="1041"/>
      <c r="AL507" s="1041"/>
      <c r="AM507" s="1041"/>
      <c r="AN507" s="1041"/>
      <c r="AO507" s="1041"/>
      <c r="AP507" s="1041"/>
      <c r="AQ507" s="1041"/>
      <c r="AR507" s="1041"/>
      <c r="AS507" s="1041"/>
      <c r="AT507" s="1041"/>
      <c r="AU507" s="1041"/>
      <c r="AV507" s="1041"/>
      <c r="AW507" s="1041"/>
      <c r="AX507" s="1041"/>
    </row>
    <row r="508" spans="1:50" ht="15" customHeight="1">
      <c r="A508" s="347"/>
      <c r="D508" s="1005"/>
      <c r="E508" s="1041" t="str">
        <f t="shared" ref="E508:AX508" si="154" xml:space="preserve"> E$477</f>
        <v>CIT: Mining company</v>
      </c>
      <c r="F508" s="1041">
        <f t="shared" si="154"/>
        <v>0</v>
      </c>
      <c r="G508" s="1041" t="str">
        <f t="shared" si="154"/>
        <v>US$ mn</v>
      </c>
      <c r="H508" s="1041">
        <f t="shared" si="154"/>
        <v>0</v>
      </c>
      <c r="I508" s="1041">
        <f t="shared" ca="1" si="154"/>
        <v>474.51337661390221</v>
      </c>
      <c r="J508" s="1041">
        <f t="shared" si="154"/>
        <v>0</v>
      </c>
      <c r="K508" s="1041">
        <f t="shared" ca="1" si="154"/>
        <v>0</v>
      </c>
      <c r="L508" s="1041">
        <f t="shared" ca="1" si="154"/>
        <v>0</v>
      </c>
      <c r="M508" s="1041">
        <f t="shared" ca="1" si="154"/>
        <v>0</v>
      </c>
      <c r="N508" s="1041">
        <f t="shared" ca="1" si="154"/>
        <v>0</v>
      </c>
      <c r="O508" s="1041">
        <f t="shared" ca="1" si="154"/>
        <v>0</v>
      </c>
      <c r="P508" s="1041">
        <f t="shared" ca="1" si="154"/>
        <v>0</v>
      </c>
      <c r="Q508" s="1041">
        <f t="shared" ca="1" si="154"/>
        <v>0</v>
      </c>
      <c r="R508" s="1041">
        <f t="shared" ca="1" si="154"/>
        <v>0</v>
      </c>
      <c r="S508" s="1041">
        <f t="shared" ca="1" si="154"/>
        <v>9.2114704406750647</v>
      </c>
      <c r="T508" s="1041">
        <f t="shared" ca="1" si="154"/>
        <v>36.332282193204342</v>
      </c>
      <c r="U508" s="1041">
        <f t="shared" ca="1" si="154"/>
        <v>44.747460178035944</v>
      </c>
      <c r="V508" s="1041">
        <f t="shared" ca="1" si="154"/>
        <v>46.997854813280213</v>
      </c>
      <c r="W508" s="1041">
        <f t="shared" ca="1" si="154"/>
        <v>47.937811909545815</v>
      </c>
      <c r="X508" s="1041">
        <f t="shared" ca="1" si="154"/>
        <v>47.907664252561148</v>
      </c>
      <c r="Y508" s="1041">
        <f t="shared" ca="1" si="154"/>
        <v>48.885595615515911</v>
      </c>
      <c r="Z508" s="1041">
        <f t="shared" ca="1" si="154"/>
        <v>49.883085605729725</v>
      </c>
      <c r="AA508" s="1041">
        <f t="shared" ca="1" si="154"/>
        <v>41.759488581975724</v>
      </c>
      <c r="AB508" s="1041">
        <f t="shared" ca="1" si="154"/>
        <v>33.917907037269394</v>
      </c>
      <c r="AC508" s="1041">
        <f t="shared" ca="1" si="154"/>
        <v>25.733016710667993</v>
      </c>
      <c r="AD508" s="1041">
        <f t="shared" ca="1" si="154"/>
        <v>23.014546720555273</v>
      </c>
      <c r="AE508" s="1041">
        <f t="shared" ca="1" si="154"/>
        <v>18.185192554885575</v>
      </c>
      <c r="AF508" s="1041">
        <f t="shared" ca="1" si="154"/>
        <v>0</v>
      </c>
      <c r="AG508" s="1041">
        <f t="shared" ca="1" si="154"/>
        <v>0</v>
      </c>
      <c r="AH508" s="1041">
        <f t="shared" ca="1" si="154"/>
        <v>0</v>
      </c>
      <c r="AI508" s="1041">
        <f t="shared" ca="1" si="154"/>
        <v>0</v>
      </c>
      <c r="AJ508" s="1041">
        <f t="shared" ca="1" si="154"/>
        <v>0</v>
      </c>
      <c r="AK508" s="1041">
        <f t="shared" ca="1" si="154"/>
        <v>0</v>
      </c>
      <c r="AL508" s="1041">
        <f t="shared" ca="1" si="154"/>
        <v>0</v>
      </c>
      <c r="AM508" s="1041">
        <f t="shared" ca="1" si="154"/>
        <v>0</v>
      </c>
      <c r="AN508" s="1041">
        <f t="shared" ca="1" si="154"/>
        <v>0</v>
      </c>
      <c r="AO508" s="1041">
        <f t="shared" ca="1" si="154"/>
        <v>0</v>
      </c>
      <c r="AP508" s="1041">
        <f t="shared" ca="1" si="154"/>
        <v>0</v>
      </c>
      <c r="AQ508" s="1041">
        <f t="shared" ca="1" si="154"/>
        <v>0</v>
      </c>
      <c r="AR508" s="1041">
        <f t="shared" ca="1" si="154"/>
        <v>0</v>
      </c>
      <c r="AS508" s="1041">
        <f t="shared" ca="1" si="154"/>
        <v>0</v>
      </c>
      <c r="AT508" s="1041">
        <f t="shared" ca="1" si="154"/>
        <v>0</v>
      </c>
      <c r="AU508" s="1041">
        <f t="shared" ca="1" si="154"/>
        <v>0</v>
      </c>
      <c r="AV508" s="1041">
        <f t="shared" ca="1" si="154"/>
        <v>0</v>
      </c>
      <c r="AW508" s="1041">
        <f t="shared" ca="1" si="154"/>
        <v>0</v>
      </c>
      <c r="AX508" s="1041">
        <f t="shared" ca="1" si="154"/>
        <v>0</v>
      </c>
    </row>
    <row r="509" spans="1:50" ht="15" customHeight="1">
      <c r="A509" s="347"/>
      <c r="D509" s="1005"/>
      <c r="E509" s="367" t="str">
        <f xml:space="preserve"> FiscalModel!E$45</f>
        <v>CIT is deducted for RRT</v>
      </c>
      <c r="F509" s="437">
        <f xml:space="preserve"> FiscalModel!F$45</f>
        <v>0</v>
      </c>
      <c r="G509" s="367" t="str">
        <f xml:space="preserve"> FiscalModel!G$45</f>
        <v>Option</v>
      </c>
      <c r="H509" s="1041"/>
      <c r="I509" s="1041"/>
      <c r="J509" s="1041"/>
      <c r="K509" s="1041"/>
      <c r="L509" s="1041"/>
      <c r="M509" s="1041"/>
      <c r="N509" s="1041"/>
      <c r="O509" s="1041"/>
      <c r="P509" s="1041"/>
      <c r="Q509" s="1041"/>
      <c r="R509" s="1041"/>
      <c r="S509" s="1041"/>
      <c r="T509" s="1041"/>
      <c r="U509" s="1041"/>
      <c r="V509" s="1041"/>
      <c r="W509" s="1041"/>
      <c r="X509" s="1041"/>
      <c r="Y509" s="1041"/>
      <c r="Z509" s="1041"/>
      <c r="AA509" s="1041"/>
      <c r="AB509" s="1041"/>
      <c r="AC509" s="1041"/>
      <c r="AD509" s="1041"/>
      <c r="AE509" s="1041"/>
      <c r="AF509" s="1041"/>
      <c r="AG509" s="1041"/>
      <c r="AH509" s="1041"/>
      <c r="AI509" s="1041"/>
      <c r="AJ509" s="1041"/>
      <c r="AK509" s="1041"/>
      <c r="AL509" s="1041"/>
      <c r="AM509" s="1041"/>
      <c r="AN509" s="1041"/>
      <c r="AO509" s="1041"/>
      <c r="AP509" s="1041"/>
      <c r="AQ509" s="1041"/>
      <c r="AR509" s="1041"/>
      <c r="AS509" s="1041"/>
      <c r="AT509" s="1041"/>
      <c r="AU509" s="1041"/>
      <c r="AV509" s="1041"/>
      <c r="AW509" s="1041"/>
      <c r="AX509" s="1041"/>
    </row>
    <row r="510" spans="1:50" ht="15" customHeight="1">
      <c r="A510" s="347"/>
      <c r="D510" s="1005"/>
      <c r="E510" s="221" t="str">
        <f xml:space="preserve"> Inputs!E$82</f>
        <v>Label: no</v>
      </c>
      <c r="F510" s="222" t="str">
        <f xml:space="preserve"> Inputs!F$82</f>
        <v>no</v>
      </c>
      <c r="G510" s="221" t="str">
        <f xml:space="preserve"> Inputs!G$82</f>
        <v>Label</v>
      </c>
      <c r="H510" s="1041"/>
      <c r="I510" s="1041"/>
      <c r="J510" s="1041"/>
      <c r="K510" s="1041"/>
      <c r="L510" s="1041"/>
      <c r="M510" s="1041"/>
      <c r="N510" s="1041"/>
      <c r="O510" s="1041"/>
      <c r="P510" s="1041"/>
      <c r="Q510" s="1041"/>
      <c r="R510" s="1041"/>
      <c r="S510" s="1041"/>
      <c r="T510" s="1041"/>
      <c r="U510" s="1041"/>
      <c r="V510" s="1041"/>
      <c r="W510" s="1041"/>
      <c r="X510" s="1041"/>
      <c r="Y510" s="1041"/>
      <c r="Z510" s="1041"/>
      <c r="AA510" s="1041"/>
      <c r="AB510" s="1041"/>
      <c r="AC510" s="1041"/>
      <c r="AD510" s="1041"/>
      <c r="AE510" s="1041"/>
      <c r="AF510" s="1041"/>
      <c r="AG510" s="1041"/>
      <c r="AH510" s="1041"/>
      <c r="AI510" s="1041"/>
      <c r="AJ510" s="1041"/>
      <c r="AK510" s="1041"/>
      <c r="AL510" s="1041"/>
      <c r="AM510" s="1041"/>
      <c r="AN510" s="1041"/>
      <c r="AO510" s="1041"/>
      <c r="AP510" s="1041"/>
      <c r="AQ510" s="1041"/>
      <c r="AR510" s="1041"/>
      <c r="AS510" s="1041"/>
      <c r="AT510" s="1041"/>
      <c r="AU510" s="1041"/>
      <c r="AV510" s="1041"/>
      <c r="AW510" s="1041"/>
      <c r="AX510" s="1041"/>
    </row>
    <row r="511" spans="1:50" ht="15" customHeight="1">
      <c r="A511" s="347"/>
      <c r="D511" s="1005"/>
      <c r="E511" s="1041"/>
      <c r="F511"/>
      <c r="G511"/>
      <c r="H511" s="1041"/>
      <c r="I511" s="1041"/>
      <c r="J511" s="1041"/>
      <c r="K511" s="1041"/>
      <c r="L511" s="1041"/>
      <c r="M511" s="1041"/>
      <c r="N511" s="1041"/>
      <c r="O511" s="1041"/>
      <c r="P511" s="1041"/>
      <c r="Q511" s="1041"/>
      <c r="R511" s="1041"/>
      <c r="S511" s="1041"/>
      <c r="T511" s="1041"/>
      <c r="U511" s="1041"/>
      <c r="V511" s="1041"/>
      <c r="W511" s="1041"/>
      <c r="X511" s="1041"/>
      <c r="Y511" s="1041"/>
      <c r="Z511" s="1041"/>
      <c r="AA511" s="1041"/>
      <c r="AB511" s="1041"/>
      <c r="AC511" s="1041"/>
      <c r="AD511" s="1041"/>
      <c r="AE511" s="1041"/>
      <c r="AF511" s="1041"/>
      <c r="AG511" s="1041"/>
      <c r="AH511" s="1041"/>
      <c r="AI511" s="1041"/>
      <c r="AJ511" s="1041"/>
      <c r="AK511" s="1041"/>
      <c r="AL511" s="1041"/>
      <c r="AM511" s="1041"/>
      <c r="AN511" s="1041"/>
      <c r="AO511" s="1041"/>
      <c r="AP511" s="1041"/>
      <c r="AQ511" s="1041"/>
      <c r="AR511" s="1041"/>
      <c r="AS511" s="1041"/>
      <c r="AT511" s="1041"/>
      <c r="AU511" s="1041"/>
      <c r="AV511" s="1041"/>
      <c r="AW511" s="1041"/>
      <c r="AX511" s="1041"/>
    </row>
    <row r="512" spans="1:50" s="334" customFormat="1" ht="15" customHeight="1">
      <c r="A512" s="347"/>
      <c r="B512" s="508"/>
      <c r="C512" s="372"/>
      <c r="D512" s="1114"/>
      <c r="E512" s="1036" t="str">
        <f xml:space="preserve"> E508 &amp; ": " &amp; Translate!$E$467</f>
        <v>CIT: Mining company: deducted for RRT</v>
      </c>
      <c r="F512" s="1114"/>
      <c r="G512" s="1036" t="str">
        <f xml:space="preserve"> G508</f>
        <v>US$ mn</v>
      </c>
      <c r="H512" s="1036"/>
      <c r="I512" s="1036">
        <f ca="1" xml:space="preserve"> SUM(K512:AX512)</f>
        <v>474.51337661390221</v>
      </c>
      <c r="J512" s="1036"/>
      <c r="K512" s="1036">
        <f t="shared" ref="K512:AX512" ca="1" si="155" xml:space="preserve"> K508 * ($F509 &lt;&gt; $F510)</f>
        <v>0</v>
      </c>
      <c r="L512" s="1036">
        <f t="shared" ca="1" si="155"/>
        <v>0</v>
      </c>
      <c r="M512" s="1036">
        <f t="shared" ca="1" si="155"/>
        <v>0</v>
      </c>
      <c r="N512" s="1036">
        <f t="shared" ca="1" si="155"/>
        <v>0</v>
      </c>
      <c r="O512" s="1036">
        <f t="shared" ca="1" si="155"/>
        <v>0</v>
      </c>
      <c r="P512" s="1036">
        <f t="shared" ca="1" si="155"/>
        <v>0</v>
      </c>
      <c r="Q512" s="1036">
        <f t="shared" ca="1" si="155"/>
        <v>0</v>
      </c>
      <c r="R512" s="1036">
        <f t="shared" ca="1" si="155"/>
        <v>0</v>
      </c>
      <c r="S512" s="1036">
        <f t="shared" ca="1" si="155"/>
        <v>9.2114704406750647</v>
      </c>
      <c r="T512" s="1036">
        <f t="shared" ca="1" si="155"/>
        <v>36.332282193204342</v>
      </c>
      <c r="U512" s="1036">
        <f t="shared" ca="1" si="155"/>
        <v>44.747460178035944</v>
      </c>
      <c r="V512" s="1036">
        <f t="shared" ca="1" si="155"/>
        <v>46.997854813280213</v>
      </c>
      <c r="W512" s="1036">
        <f t="shared" ca="1" si="155"/>
        <v>47.937811909545815</v>
      </c>
      <c r="X512" s="1036">
        <f t="shared" ca="1" si="155"/>
        <v>47.907664252561148</v>
      </c>
      <c r="Y512" s="1036">
        <f t="shared" ca="1" si="155"/>
        <v>48.885595615515911</v>
      </c>
      <c r="Z512" s="1036">
        <f t="shared" ca="1" si="155"/>
        <v>49.883085605729725</v>
      </c>
      <c r="AA512" s="1036">
        <f t="shared" ca="1" si="155"/>
        <v>41.759488581975724</v>
      </c>
      <c r="AB512" s="1036">
        <f t="shared" ca="1" si="155"/>
        <v>33.917907037269394</v>
      </c>
      <c r="AC512" s="1036">
        <f t="shared" ca="1" si="155"/>
        <v>25.733016710667993</v>
      </c>
      <c r="AD512" s="1036">
        <f t="shared" ca="1" si="155"/>
        <v>23.014546720555273</v>
      </c>
      <c r="AE512" s="1036">
        <f t="shared" ca="1" si="155"/>
        <v>18.185192554885575</v>
      </c>
      <c r="AF512" s="1036">
        <f t="shared" ca="1" si="155"/>
        <v>0</v>
      </c>
      <c r="AG512" s="1036">
        <f t="shared" ca="1" si="155"/>
        <v>0</v>
      </c>
      <c r="AH512" s="1036">
        <f t="shared" ca="1" si="155"/>
        <v>0</v>
      </c>
      <c r="AI512" s="1036">
        <f t="shared" ca="1" si="155"/>
        <v>0</v>
      </c>
      <c r="AJ512" s="1036">
        <f t="shared" ca="1" si="155"/>
        <v>0</v>
      </c>
      <c r="AK512" s="1036">
        <f t="shared" ca="1" si="155"/>
        <v>0</v>
      </c>
      <c r="AL512" s="1036">
        <f t="shared" ca="1" si="155"/>
        <v>0</v>
      </c>
      <c r="AM512" s="1036">
        <f t="shared" ca="1" si="155"/>
        <v>0</v>
      </c>
      <c r="AN512" s="1036">
        <f t="shared" ca="1" si="155"/>
        <v>0</v>
      </c>
      <c r="AO512" s="1036">
        <f t="shared" ca="1" si="155"/>
        <v>0</v>
      </c>
      <c r="AP512" s="1036">
        <f t="shared" ca="1" si="155"/>
        <v>0</v>
      </c>
      <c r="AQ512" s="1036">
        <f t="shared" ca="1" si="155"/>
        <v>0</v>
      </c>
      <c r="AR512" s="1036">
        <f t="shared" ca="1" si="155"/>
        <v>0</v>
      </c>
      <c r="AS512" s="1036">
        <f t="shared" ca="1" si="155"/>
        <v>0</v>
      </c>
      <c r="AT512" s="1036">
        <f t="shared" ca="1" si="155"/>
        <v>0</v>
      </c>
      <c r="AU512" s="1036">
        <f t="shared" ca="1" si="155"/>
        <v>0</v>
      </c>
      <c r="AV512" s="1036">
        <f t="shared" ca="1" si="155"/>
        <v>0</v>
      </c>
      <c r="AW512" s="1036">
        <f t="shared" ca="1" si="155"/>
        <v>0</v>
      </c>
      <c r="AX512" s="1036">
        <f t="shared" ca="1" si="155"/>
        <v>0</v>
      </c>
    </row>
    <row r="513" spans="1:50" s="334" customFormat="1" ht="15" customHeight="1">
      <c r="A513" s="347"/>
      <c r="B513" s="508"/>
      <c r="C513" s="372"/>
      <c r="D513" s="1114"/>
      <c r="E513" s="1036"/>
      <c r="F513" s="1114"/>
      <c r="G513" s="1036"/>
      <c r="H513" s="1036"/>
      <c r="I513" s="1036"/>
      <c r="J513" s="1036"/>
      <c r="K513" s="1036"/>
      <c r="L513" s="1036"/>
      <c r="M513" s="1036"/>
      <c r="N513" s="1036"/>
      <c r="O513" s="1036"/>
      <c r="P513" s="1036"/>
      <c r="Q513" s="1036"/>
      <c r="R513" s="1036"/>
      <c r="S513" s="1036"/>
      <c r="T513" s="1036"/>
      <c r="U513" s="1036"/>
      <c r="V513" s="1036"/>
      <c r="W513" s="1036"/>
      <c r="X513" s="1036"/>
      <c r="Y513" s="1036"/>
      <c r="Z513" s="1036"/>
      <c r="AA513" s="1036"/>
      <c r="AB513" s="1036"/>
      <c r="AC513" s="1036"/>
      <c r="AD513" s="1036"/>
      <c r="AE513" s="1036"/>
      <c r="AF513" s="1036"/>
      <c r="AG513" s="1036"/>
      <c r="AH513" s="1036"/>
      <c r="AI513" s="1036"/>
      <c r="AJ513" s="1036"/>
      <c r="AK513" s="1036"/>
      <c r="AL513" s="1036"/>
      <c r="AM513" s="1036"/>
      <c r="AN513" s="1036"/>
      <c r="AO513" s="1036"/>
      <c r="AP513" s="1036"/>
      <c r="AQ513" s="1036"/>
      <c r="AR513" s="1036"/>
      <c r="AS513" s="1036"/>
      <c r="AT513" s="1036"/>
      <c r="AU513" s="1036"/>
      <c r="AV513" s="1036"/>
      <c r="AW513" s="1036"/>
      <c r="AX513" s="1036"/>
    </row>
    <row r="514" spans="1:50" s="334" customFormat="1" ht="15" customHeight="1">
      <c r="A514" s="347"/>
      <c r="B514" s="508" t="str">
        <f>Translate!$E$85</f>
        <v>Mining company cumulative cashflow for RRT</v>
      </c>
      <c r="C514" s="372"/>
      <c r="D514" s="1114"/>
      <c r="E514" s="1036"/>
      <c r="F514" s="1114"/>
      <c r="G514" s="1036"/>
      <c r="H514" s="1036"/>
      <c r="I514" s="1036"/>
      <c r="J514" s="1036"/>
      <c r="K514" s="1036"/>
      <c r="L514" s="1036"/>
      <c r="M514" s="1036"/>
      <c r="N514" s="1036"/>
      <c r="O514" s="1036"/>
      <c r="P514" s="1036"/>
      <c r="Q514" s="1036"/>
      <c r="R514" s="1036"/>
      <c r="S514" s="1036"/>
      <c r="T514" s="1036"/>
      <c r="U514" s="1036"/>
      <c r="V514" s="1036"/>
      <c r="W514" s="1036"/>
      <c r="X514" s="1036"/>
      <c r="Y514" s="1036"/>
      <c r="Z514" s="1036"/>
      <c r="AA514" s="1036"/>
      <c r="AB514" s="1036"/>
      <c r="AC514" s="1036"/>
      <c r="AD514" s="1036"/>
      <c r="AE514" s="1036"/>
      <c r="AF514" s="1036"/>
      <c r="AG514" s="1036"/>
      <c r="AH514" s="1036"/>
      <c r="AI514" s="1036"/>
      <c r="AJ514" s="1036"/>
      <c r="AK514" s="1036"/>
      <c r="AL514" s="1036"/>
      <c r="AM514" s="1036"/>
      <c r="AN514" s="1036"/>
      <c r="AO514" s="1036"/>
      <c r="AP514" s="1036"/>
      <c r="AQ514" s="1036"/>
      <c r="AR514" s="1036"/>
      <c r="AS514" s="1036"/>
      <c r="AT514" s="1036"/>
      <c r="AU514" s="1036"/>
      <c r="AV514" s="1036"/>
      <c r="AW514" s="1036"/>
      <c r="AX514" s="1036"/>
    </row>
    <row r="515" spans="1:50" s="334" customFormat="1" ht="15" customHeight="1">
      <c r="A515" s="347"/>
      <c r="B515" s="508"/>
      <c r="C515" s="372"/>
      <c r="D515" s="1114"/>
      <c r="E515" s="368" t="str">
        <f xml:space="preserve"> FiscalModel!E$44</f>
        <v>Uplift on negative cashflows</v>
      </c>
      <c r="F515" s="368">
        <f xml:space="preserve"> FiscalModel!F$44</f>
        <v>0</v>
      </c>
      <c r="G515" s="368" t="str">
        <f xml:space="preserve"> FiscalModel!G$44</f>
        <v>%</v>
      </c>
      <c r="H515" s="1036"/>
      <c r="I515" s="1036"/>
      <c r="J515" s="1036"/>
      <c r="K515" s="1036"/>
      <c r="L515" s="1036"/>
      <c r="M515" s="1036"/>
      <c r="N515" s="1036"/>
      <c r="O515" s="1036"/>
      <c r="P515" s="1036"/>
      <c r="Q515" s="1036"/>
      <c r="R515" s="1036"/>
      <c r="S515" s="1036"/>
      <c r="T515" s="1036"/>
      <c r="U515" s="1036"/>
      <c r="V515" s="1036"/>
      <c r="W515" s="1036"/>
      <c r="X515" s="1036"/>
      <c r="Y515" s="1036"/>
      <c r="Z515" s="1036"/>
      <c r="AA515" s="1036"/>
      <c r="AB515" s="1036"/>
      <c r="AC515" s="1036"/>
      <c r="AD515" s="1036"/>
      <c r="AE515" s="1036"/>
      <c r="AF515" s="1036"/>
      <c r="AG515" s="1036"/>
      <c r="AH515" s="1036"/>
      <c r="AI515" s="1036"/>
      <c r="AJ515" s="1036"/>
      <c r="AK515" s="1036"/>
      <c r="AL515" s="1036"/>
      <c r="AM515" s="1036"/>
      <c r="AN515" s="1036"/>
      <c r="AO515" s="1036"/>
      <c r="AP515" s="1036"/>
      <c r="AQ515" s="1036"/>
      <c r="AR515" s="1036"/>
      <c r="AS515" s="1036"/>
      <c r="AT515" s="1036"/>
      <c r="AU515" s="1036"/>
      <c r="AV515" s="1036"/>
      <c r="AW515" s="1036"/>
      <c r="AX515" s="1036"/>
    </row>
    <row r="516" spans="1:50" s="334" customFormat="1" ht="15" customHeight="1">
      <c r="A516" s="347"/>
      <c r="B516" s="508"/>
      <c r="C516" s="372"/>
      <c r="D516" s="1114"/>
      <c r="E516" s="1036"/>
      <c r="F516" s="1114"/>
      <c r="G516" s="1036"/>
      <c r="H516" s="1036"/>
      <c r="I516" s="1036"/>
      <c r="J516" s="1036"/>
      <c r="K516" s="1036"/>
      <c r="L516" s="1036"/>
      <c r="M516" s="1036"/>
      <c r="N516" s="1036"/>
      <c r="O516" s="1036"/>
      <c r="P516" s="1036"/>
      <c r="Q516" s="1036"/>
      <c r="R516" s="1036"/>
      <c r="S516" s="1036"/>
      <c r="T516" s="1036"/>
      <c r="U516" s="1036"/>
      <c r="V516" s="1036"/>
      <c r="W516" s="1036"/>
      <c r="X516" s="1036"/>
      <c r="Y516" s="1036"/>
      <c r="Z516" s="1036"/>
      <c r="AA516" s="1036"/>
      <c r="AB516" s="1036"/>
      <c r="AC516" s="1036"/>
      <c r="AD516" s="1036"/>
      <c r="AE516" s="1036"/>
      <c r="AF516" s="1036"/>
      <c r="AG516" s="1036"/>
      <c r="AH516" s="1036"/>
      <c r="AI516" s="1036"/>
      <c r="AJ516" s="1036"/>
      <c r="AK516" s="1036"/>
      <c r="AL516" s="1036"/>
      <c r="AM516" s="1036"/>
      <c r="AN516" s="1036"/>
      <c r="AO516" s="1036"/>
      <c r="AP516" s="1036"/>
      <c r="AQ516" s="1036"/>
      <c r="AR516" s="1036"/>
      <c r="AS516" s="1036"/>
      <c r="AT516" s="1036"/>
      <c r="AU516" s="1036"/>
      <c r="AV516" s="1036"/>
      <c r="AW516" s="1036"/>
      <c r="AX516" s="1036"/>
    </row>
    <row r="517" spans="1:50" s="373" customFormat="1" ht="15" customHeight="1">
      <c r="A517" s="421"/>
      <c r="B517" s="687"/>
      <c r="C517" s="374"/>
      <c r="D517" s="1100"/>
      <c r="E517" s="1099" t="str">
        <f>Translate!$E$236</f>
        <v>Mining company RRT cumulative cashflow: BEG</v>
      </c>
      <c r="F517" s="1100"/>
      <c r="G517" s="1099" t="str">
        <f xml:space="preserve"> Translate!E$10</f>
        <v>US$ mn</v>
      </c>
      <c r="H517" s="1099"/>
      <c r="I517" s="1099"/>
      <c r="J517" s="1099"/>
      <c r="K517" s="1099">
        <f t="shared" ref="K517:AX517" si="156" xml:space="preserve"> J521 * (J521 &lt; 0)</f>
        <v>0</v>
      </c>
      <c r="L517" s="1099">
        <f t="shared" ca="1" si="156"/>
        <v>-10</v>
      </c>
      <c r="M517" s="1099">
        <f t="shared" ca="1" si="156"/>
        <v>-20.2</v>
      </c>
      <c r="N517" s="1099">
        <f t="shared" ca="1" si="156"/>
        <v>-30.603999999999999</v>
      </c>
      <c r="O517" s="1099">
        <f t="shared" ca="1" si="156"/>
        <v>-83.664400000000001</v>
      </c>
      <c r="P517" s="1099">
        <f t="shared" ca="1" si="156"/>
        <v>-343.97580407800007</v>
      </c>
      <c r="Q517" s="1099">
        <f t="shared" ca="1" si="156"/>
        <v>-384.44726602030005</v>
      </c>
      <c r="R517" s="1099">
        <f t="shared" ca="1" si="156"/>
        <v>-232.76726517568005</v>
      </c>
      <c r="S517" s="1099">
        <f t="shared" ca="1" si="156"/>
        <v>-78.05366431416769</v>
      </c>
      <c r="T517" s="1099">
        <f t="shared" ca="1" si="156"/>
        <v>0</v>
      </c>
      <c r="U517" s="1099">
        <f t="shared" ca="1" si="156"/>
        <v>0</v>
      </c>
      <c r="V517" s="1099">
        <f t="shared" ca="1" si="156"/>
        <v>0</v>
      </c>
      <c r="W517" s="1099">
        <f t="shared" ca="1" si="156"/>
        <v>0</v>
      </c>
      <c r="X517" s="1099">
        <f t="shared" ca="1" si="156"/>
        <v>0</v>
      </c>
      <c r="Y517" s="1099">
        <f t="shared" ca="1" si="156"/>
        <v>0</v>
      </c>
      <c r="Z517" s="1099">
        <f t="shared" ca="1" si="156"/>
        <v>0</v>
      </c>
      <c r="AA517" s="1099">
        <f t="shared" ca="1" si="156"/>
        <v>0</v>
      </c>
      <c r="AB517" s="1099">
        <f t="shared" ca="1" si="156"/>
        <v>0</v>
      </c>
      <c r="AC517" s="1099">
        <f t="shared" ca="1" si="156"/>
        <v>0</v>
      </c>
      <c r="AD517" s="1099">
        <f t="shared" ca="1" si="156"/>
        <v>0</v>
      </c>
      <c r="AE517" s="1099">
        <f t="shared" ca="1" si="156"/>
        <v>0</v>
      </c>
      <c r="AF517" s="1099">
        <f t="shared" ca="1" si="156"/>
        <v>0</v>
      </c>
      <c r="AG517" s="1099">
        <f t="shared" ca="1" si="156"/>
        <v>0</v>
      </c>
      <c r="AH517" s="1099">
        <f t="shared" ca="1" si="156"/>
        <v>0</v>
      </c>
      <c r="AI517" s="1099">
        <f t="shared" ca="1" si="156"/>
        <v>0</v>
      </c>
      <c r="AJ517" s="1099">
        <f t="shared" ca="1" si="156"/>
        <v>0</v>
      </c>
      <c r="AK517" s="1099">
        <f t="shared" ca="1" si="156"/>
        <v>0</v>
      </c>
      <c r="AL517" s="1099">
        <f t="shared" ca="1" si="156"/>
        <v>0</v>
      </c>
      <c r="AM517" s="1099">
        <f t="shared" ca="1" si="156"/>
        <v>0</v>
      </c>
      <c r="AN517" s="1099">
        <f t="shared" ca="1" si="156"/>
        <v>0</v>
      </c>
      <c r="AO517" s="1099">
        <f t="shared" ca="1" si="156"/>
        <v>0</v>
      </c>
      <c r="AP517" s="1099">
        <f t="shared" ca="1" si="156"/>
        <v>0</v>
      </c>
      <c r="AQ517" s="1099">
        <f t="shared" ca="1" si="156"/>
        <v>0</v>
      </c>
      <c r="AR517" s="1099">
        <f t="shared" ca="1" si="156"/>
        <v>0</v>
      </c>
      <c r="AS517" s="1099">
        <f t="shared" ca="1" si="156"/>
        <v>0</v>
      </c>
      <c r="AT517" s="1099">
        <f t="shared" ca="1" si="156"/>
        <v>0</v>
      </c>
      <c r="AU517" s="1099">
        <f t="shared" ca="1" si="156"/>
        <v>0</v>
      </c>
      <c r="AV517" s="1099">
        <f t="shared" ca="1" si="156"/>
        <v>0</v>
      </c>
      <c r="AW517" s="1099">
        <f t="shared" ca="1" si="156"/>
        <v>0</v>
      </c>
      <c r="AX517" s="1099">
        <f t="shared" ca="1" si="156"/>
        <v>0</v>
      </c>
    </row>
    <row r="518" spans="1:50" s="335" customFormat="1" ht="15" customHeight="1">
      <c r="A518" s="423"/>
      <c r="B518" s="688"/>
      <c r="C518" s="376"/>
      <c r="D518" s="1102" t="str">
        <f>Translate!$E$605</f>
        <v>add</v>
      </c>
      <c r="E518" s="1024" t="str">
        <f>Translate!$E$237</f>
        <v>Uplift on negative cumulative cashflows</v>
      </c>
      <c r="F518" s="1102"/>
      <c r="G518" s="1024" t="str">
        <f xml:space="preserve"> Translate!E$10</f>
        <v>US$ mn</v>
      </c>
      <c r="H518" s="1024"/>
      <c r="I518" s="1024">
        <f ca="1" xml:space="preserve"> SUM(K518:AX518)</f>
        <v>0</v>
      </c>
      <c r="J518" s="1024"/>
      <c r="K518" s="1024">
        <f t="shared" ref="K518:AX518" si="157" xml:space="preserve"> K517 * $F515 * (K517 &lt; 0)</f>
        <v>0</v>
      </c>
      <c r="L518" s="1024">
        <f t="shared" ca="1" si="157"/>
        <v>0</v>
      </c>
      <c r="M518" s="1024">
        <f t="shared" ca="1" si="157"/>
        <v>0</v>
      </c>
      <c r="N518" s="1024">
        <f t="shared" ca="1" si="157"/>
        <v>0</v>
      </c>
      <c r="O518" s="1024">
        <f t="shared" ca="1" si="157"/>
        <v>0</v>
      </c>
      <c r="P518" s="1024">
        <f t="shared" ca="1" si="157"/>
        <v>0</v>
      </c>
      <c r="Q518" s="1024">
        <f t="shared" ca="1" si="157"/>
        <v>0</v>
      </c>
      <c r="R518" s="1024">
        <f t="shared" ca="1" si="157"/>
        <v>0</v>
      </c>
      <c r="S518" s="1024">
        <f t="shared" ca="1" si="157"/>
        <v>0</v>
      </c>
      <c r="T518" s="1024">
        <f t="shared" ca="1" si="157"/>
        <v>0</v>
      </c>
      <c r="U518" s="1024">
        <f t="shared" ca="1" si="157"/>
        <v>0</v>
      </c>
      <c r="V518" s="1024">
        <f t="shared" ca="1" si="157"/>
        <v>0</v>
      </c>
      <c r="W518" s="1024">
        <f t="shared" ca="1" si="157"/>
        <v>0</v>
      </c>
      <c r="X518" s="1024">
        <f t="shared" ca="1" si="157"/>
        <v>0</v>
      </c>
      <c r="Y518" s="1024">
        <f t="shared" ca="1" si="157"/>
        <v>0</v>
      </c>
      <c r="Z518" s="1024">
        <f t="shared" ca="1" si="157"/>
        <v>0</v>
      </c>
      <c r="AA518" s="1024">
        <f t="shared" ca="1" si="157"/>
        <v>0</v>
      </c>
      <c r="AB518" s="1024">
        <f t="shared" ca="1" si="157"/>
        <v>0</v>
      </c>
      <c r="AC518" s="1024">
        <f t="shared" ca="1" si="157"/>
        <v>0</v>
      </c>
      <c r="AD518" s="1024">
        <f t="shared" ca="1" si="157"/>
        <v>0</v>
      </c>
      <c r="AE518" s="1024">
        <f t="shared" ca="1" si="157"/>
        <v>0</v>
      </c>
      <c r="AF518" s="1024">
        <f t="shared" ca="1" si="157"/>
        <v>0</v>
      </c>
      <c r="AG518" s="1024">
        <f t="shared" ca="1" si="157"/>
        <v>0</v>
      </c>
      <c r="AH518" s="1024">
        <f t="shared" ca="1" si="157"/>
        <v>0</v>
      </c>
      <c r="AI518" s="1024">
        <f t="shared" ca="1" si="157"/>
        <v>0</v>
      </c>
      <c r="AJ518" s="1024">
        <f t="shared" ca="1" si="157"/>
        <v>0</v>
      </c>
      <c r="AK518" s="1024">
        <f t="shared" ca="1" si="157"/>
        <v>0</v>
      </c>
      <c r="AL518" s="1024">
        <f t="shared" ca="1" si="157"/>
        <v>0</v>
      </c>
      <c r="AM518" s="1024">
        <f t="shared" ca="1" si="157"/>
        <v>0</v>
      </c>
      <c r="AN518" s="1024">
        <f t="shared" ca="1" si="157"/>
        <v>0</v>
      </c>
      <c r="AO518" s="1024">
        <f t="shared" ca="1" si="157"/>
        <v>0</v>
      </c>
      <c r="AP518" s="1024">
        <f t="shared" ca="1" si="157"/>
        <v>0</v>
      </c>
      <c r="AQ518" s="1024">
        <f t="shared" ca="1" si="157"/>
        <v>0</v>
      </c>
      <c r="AR518" s="1024">
        <f t="shared" ca="1" si="157"/>
        <v>0</v>
      </c>
      <c r="AS518" s="1024">
        <f t="shared" ca="1" si="157"/>
        <v>0</v>
      </c>
      <c r="AT518" s="1024">
        <f t="shared" ca="1" si="157"/>
        <v>0</v>
      </c>
      <c r="AU518" s="1024">
        <f t="shared" ca="1" si="157"/>
        <v>0</v>
      </c>
      <c r="AV518" s="1024">
        <f t="shared" ca="1" si="157"/>
        <v>0</v>
      </c>
      <c r="AW518" s="1024">
        <f t="shared" ca="1" si="157"/>
        <v>0</v>
      </c>
      <c r="AX518" s="1024">
        <f t="shared" ca="1" si="157"/>
        <v>0</v>
      </c>
    </row>
    <row r="519" spans="1:50" s="335" customFormat="1" ht="15" customHeight="1">
      <c r="A519" s="423"/>
      <c r="B519" s="688"/>
      <c r="C519" s="376"/>
      <c r="D519" s="1102" t="str">
        <f>Translate!$E$605</f>
        <v>add</v>
      </c>
      <c r="E519" s="1024" t="str">
        <f t="shared" ref="E519:AX519" si="158" xml:space="preserve"> E$496</f>
        <v>Mining company net cashflow before tax for RRT (via cashflows)</v>
      </c>
      <c r="F519" s="1024">
        <f t="shared" si="158"/>
        <v>0</v>
      </c>
      <c r="G519" s="1024" t="str">
        <f t="shared" si="158"/>
        <v>US$ mn</v>
      </c>
      <c r="H519" s="1024">
        <f t="shared" si="158"/>
        <v>0</v>
      </c>
      <c r="I519" s="1024">
        <f t="shared" ca="1" si="158"/>
        <v>1796.2487791272606</v>
      </c>
      <c r="J519" s="1024">
        <f t="shared" si="158"/>
        <v>0</v>
      </c>
      <c r="K519" s="1024">
        <f t="shared" ca="1" si="158"/>
        <v>-10</v>
      </c>
      <c r="L519" s="1024">
        <f t="shared" ca="1" si="158"/>
        <v>-10.199999999999999</v>
      </c>
      <c r="M519" s="1024">
        <f t="shared" ca="1" si="158"/>
        <v>-10.404</v>
      </c>
      <c r="N519" s="1024">
        <f t="shared" ca="1" si="158"/>
        <v>-53.060399999999994</v>
      </c>
      <c r="O519" s="1024">
        <f t="shared" ca="1" si="158"/>
        <v>-260.31140407800007</v>
      </c>
      <c r="P519" s="1024">
        <f t="shared" ca="1" si="158"/>
        <v>-40.47146194230001</v>
      </c>
      <c r="Q519" s="1024">
        <f t="shared" ca="1" si="158"/>
        <v>151.68000084462</v>
      </c>
      <c r="R519" s="1024">
        <f t="shared" ca="1" si="158"/>
        <v>154.71360086151236</v>
      </c>
      <c r="S519" s="1024">
        <f t="shared" ca="1" si="158"/>
        <v>157.80787287874267</v>
      </c>
      <c r="T519" s="1024">
        <f t="shared" ca="1" si="158"/>
        <v>160.96403033631753</v>
      </c>
      <c r="U519" s="1024">
        <f t="shared" ca="1" si="158"/>
        <v>164.18331094304386</v>
      </c>
      <c r="V519" s="1024">
        <f t="shared" ca="1" si="158"/>
        <v>167.46697716190471</v>
      </c>
      <c r="W519" s="1024">
        <f t="shared" ca="1" si="158"/>
        <v>170.81631670514287</v>
      </c>
      <c r="X519" s="1024">
        <f t="shared" ca="1" si="158"/>
        <v>170.70084341361863</v>
      </c>
      <c r="Y519" s="1024">
        <f t="shared" ca="1" si="158"/>
        <v>174.18549627440365</v>
      </c>
      <c r="Z519" s="1024">
        <f t="shared" ca="1" si="158"/>
        <v>177.73984219240418</v>
      </c>
      <c r="AA519" s="1024">
        <f t="shared" ca="1" si="158"/>
        <v>148.71871497957875</v>
      </c>
      <c r="AB519" s="1024">
        <f t="shared" ca="1" si="158"/>
        <v>129.6661653750524</v>
      </c>
      <c r="AC519" s="1024">
        <f t="shared" ca="1" si="158"/>
        <v>98.36464359989273</v>
      </c>
      <c r="AD519" s="1024">
        <f t="shared" ca="1" si="158"/>
        <v>86.544656185732421</v>
      </c>
      <c r="AE519" s="1024">
        <f t="shared" ca="1" si="158"/>
        <v>67.143573395593464</v>
      </c>
      <c r="AF519" s="1024">
        <f t="shared" ca="1" si="158"/>
        <v>0</v>
      </c>
      <c r="AG519" s="1024">
        <f t="shared" ca="1" si="158"/>
        <v>0</v>
      </c>
      <c r="AH519" s="1024">
        <f t="shared" ca="1" si="158"/>
        <v>0</v>
      </c>
      <c r="AI519" s="1024">
        <f t="shared" ca="1" si="158"/>
        <v>0</v>
      </c>
      <c r="AJ519" s="1024">
        <f t="shared" ca="1" si="158"/>
        <v>0</v>
      </c>
      <c r="AK519" s="1024">
        <f t="shared" ca="1" si="158"/>
        <v>0</v>
      </c>
      <c r="AL519" s="1024">
        <f t="shared" ca="1" si="158"/>
        <v>0</v>
      </c>
      <c r="AM519" s="1024">
        <f t="shared" ca="1" si="158"/>
        <v>0</v>
      </c>
      <c r="AN519" s="1024">
        <f t="shared" ca="1" si="158"/>
        <v>0</v>
      </c>
      <c r="AO519" s="1024">
        <f t="shared" ca="1" si="158"/>
        <v>0</v>
      </c>
      <c r="AP519" s="1024">
        <f t="shared" ca="1" si="158"/>
        <v>0</v>
      </c>
      <c r="AQ519" s="1024">
        <f t="shared" ca="1" si="158"/>
        <v>0</v>
      </c>
      <c r="AR519" s="1024">
        <f t="shared" ca="1" si="158"/>
        <v>0</v>
      </c>
      <c r="AS519" s="1024">
        <f t="shared" ca="1" si="158"/>
        <v>0</v>
      </c>
      <c r="AT519" s="1024">
        <f t="shared" ca="1" si="158"/>
        <v>0</v>
      </c>
      <c r="AU519" s="1024">
        <f t="shared" ca="1" si="158"/>
        <v>0</v>
      </c>
      <c r="AV519" s="1024">
        <f t="shared" ca="1" si="158"/>
        <v>0</v>
      </c>
      <c r="AW519" s="1024">
        <f t="shared" ca="1" si="158"/>
        <v>0</v>
      </c>
      <c r="AX519" s="1024">
        <f t="shared" ca="1" si="158"/>
        <v>0</v>
      </c>
    </row>
    <row r="520" spans="1:50" s="335" customFormat="1" ht="15" customHeight="1">
      <c r="A520" s="423"/>
      <c r="B520" s="688"/>
      <c r="C520" s="376"/>
      <c r="D520" s="1102" t="str">
        <f>Translate!$E$606</f>
        <v>less</v>
      </c>
      <c r="E520" s="1024" t="str">
        <f t="shared" ref="E520:AX520" si="159" xml:space="preserve"> E$512</f>
        <v>CIT: Mining company: deducted for RRT</v>
      </c>
      <c r="F520" s="1024">
        <f t="shared" si="159"/>
        <v>0</v>
      </c>
      <c r="G520" s="1024" t="str">
        <f t="shared" si="159"/>
        <v>US$ mn</v>
      </c>
      <c r="H520" s="1024">
        <f t="shared" si="159"/>
        <v>0</v>
      </c>
      <c r="I520" s="1024">
        <f t="shared" ca="1" si="159"/>
        <v>474.51337661390221</v>
      </c>
      <c r="J520" s="1024">
        <f t="shared" si="159"/>
        <v>0</v>
      </c>
      <c r="K520" s="1024">
        <f t="shared" ca="1" si="159"/>
        <v>0</v>
      </c>
      <c r="L520" s="1024">
        <f t="shared" ca="1" si="159"/>
        <v>0</v>
      </c>
      <c r="M520" s="1024">
        <f t="shared" ca="1" si="159"/>
        <v>0</v>
      </c>
      <c r="N520" s="1024">
        <f t="shared" ca="1" si="159"/>
        <v>0</v>
      </c>
      <c r="O520" s="1024">
        <f t="shared" ca="1" si="159"/>
        <v>0</v>
      </c>
      <c r="P520" s="1024">
        <f t="shared" ca="1" si="159"/>
        <v>0</v>
      </c>
      <c r="Q520" s="1024">
        <f t="shared" ca="1" si="159"/>
        <v>0</v>
      </c>
      <c r="R520" s="1024">
        <f t="shared" ca="1" si="159"/>
        <v>0</v>
      </c>
      <c r="S520" s="1024">
        <f t="shared" ca="1" si="159"/>
        <v>9.2114704406750647</v>
      </c>
      <c r="T520" s="1024">
        <f t="shared" ca="1" si="159"/>
        <v>36.332282193204342</v>
      </c>
      <c r="U520" s="1024">
        <f t="shared" ca="1" si="159"/>
        <v>44.747460178035944</v>
      </c>
      <c r="V520" s="1024">
        <f t="shared" ca="1" si="159"/>
        <v>46.997854813280213</v>
      </c>
      <c r="W520" s="1024">
        <f t="shared" ca="1" si="159"/>
        <v>47.937811909545815</v>
      </c>
      <c r="X520" s="1024">
        <f t="shared" ca="1" si="159"/>
        <v>47.907664252561148</v>
      </c>
      <c r="Y520" s="1024">
        <f t="shared" ca="1" si="159"/>
        <v>48.885595615515911</v>
      </c>
      <c r="Z520" s="1024">
        <f t="shared" ca="1" si="159"/>
        <v>49.883085605729725</v>
      </c>
      <c r="AA520" s="1024">
        <f t="shared" ca="1" si="159"/>
        <v>41.759488581975724</v>
      </c>
      <c r="AB520" s="1024">
        <f t="shared" ca="1" si="159"/>
        <v>33.917907037269394</v>
      </c>
      <c r="AC520" s="1024">
        <f t="shared" ca="1" si="159"/>
        <v>25.733016710667993</v>
      </c>
      <c r="AD520" s="1024">
        <f t="shared" ca="1" si="159"/>
        <v>23.014546720555273</v>
      </c>
      <c r="AE520" s="1024">
        <f t="shared" ca="1" si="159"/>
        <v>18.185192554885575</v>
      </c>
      <c r="AF520" s="1024">
        <f t="shared" ca="1" si="159"/>
        <v>0</v>
      </c>
      <c r="AG520" s="1024">
        <f t="shared" ca="1" si="159"/>
        <v>0</v>
      </c>
      <c r="AH520" s="1024">
        <f t="shared" ca="1" si="159"/>
        <v>0</v>
      </c>
      <c r="AI520" s="1024">
        <f t="shared" ca="1" si="159"/>
        <v>0</v>
      </c>
      <c r="AJ520" s="1024">
        <f t="shared" ca="1" si="159"/>
        <v>0</v>
      </c>
      <c r="AK520" s="1024">
        <f t="shared" ca="1" si="159"/>
        <v>0</v>
      </c>
      <c r="AL520" s="1024">
        <f t="shared" ca="1" si="159"/>
        <v>0</v>
      </c>
      <c r="AM520" s="1024">
        <f t="shared" ca="1" si="159"/>
        <v>0</v>
      </c>
      <c r="AN520" s="1024">
        <f t="shared" ca="1" si="159"/>
        <v>0</v>
      </c>
      <c r="AO520" s="1024">
        <f t="shared" ca="1" si="159"/>
        <v>0</v>
      </c>
      <c r="AP520" s="1024">
        <f t="shared" ca="1" si="159"/>
        <v>0</v>
      </c>
      <c r="AQ520" s="1024">
        <f t="shared" ca="1" si="159"/>
        <v>0</v>
      </c>
      <c r="AR520" s="1024">
        <f t="shared" ca="1" si="159"/>
        <v>0</v>
      </c>
      <c r="AS520" s="1024">
        <f t="shared" ca="1" si="159"/>
        <v>0</v>
      </c>
      <c r="AT520" s="1024">
        <f t="shared" ca="1" si="159"/>
        <v>0</v>
      </c>
      <c r="AU520" s="1024">
        <f t="shared" ca="1" si="159"/>
        <v>0</v>
      </c>
      <c r="AV520" s="1024">
        <f t="shared" ca="1" si="159"/>
        <v>0</v>
      </c>
      <c r="AW520" s="1024">
        <f t="shared" ca="1" si="159"/>
        <v>0</v>
      </c>
      <c r="AX520" s="1024">
        <f t="shared" ca="1" si="159"/>
        <v>0</v>
      </c>
    </row>
    <row r="521" spans="1:50" s="379" customFormat="1" ht="15" customHeight="1">
      <c r="A521" s="425"/>
      <c r="B521" s="689"/>
      <c r="C521" s="380"/>
      <c r="D521" s="1104"/>
      <c r="E521" s="1103" t="str">
        <f>Translate!$E$238</f>
        <v>Mining company RRT cumulative cashflow: END</v>
      </c>
      <c r="F521" s="1104"/>
      <c r="G521" s="1103" t="str">
        <f xml:space="preserve"> Translate!E$10</f>
        <v>US$ mn</v>
      </c>
      <c r="H521" s="1103"/>
      <c r="I521" s="1103"/>
      <c r="J521" s="1105"/>
      <c r="K521" s="1103">
        <f t="shared" ref="K521:AX521" ca="1" si="160" xml:space="preserve"> K517 + K518 + K519 - K520</f>
        <v>-10</v>
      </c>
      <c r="L521" s="1103">
        <f t="shared" ca="1" si="160"/>
        <v>-20.2</v>
      </c>
      <c r="M521" s="1103">
        <f t="shared" ca="1" si="160"/>
        <v>-30.603999999999999</v>
      </c>
      <c r="N521" s="1103">
        <f t="shared" ca="1" si="160"/>
        <v>-83.664400000000001</v>
      </c>
      <c r="O521" s="1103">
        <f t="shared" ca="1" si="160"/>
        <v>-343.97580407800007</v>
      </c>
      <c r="P521" s="1103">
        <f t="shared" ca="1" si="160"/>
        <v>-384.44726602030005</v>
      </c>
      <c r="Q521" s="1103">
        <f t="shared" ca="1" si="160"/>
        <v>-232.76726517568005</v>
      </c>
      <c r="R521" s="1103">
        <f t="shared" ca="1" si="160"/>
        <v>-78.05366431416769</v>
      </c>
      <c r="S521" s="1103">
        <f t="shared" ca="1" si="160"/>
        <v>70.542738123899909</v>
      </c>
      <c r="T521" s="1103">
        <f t="shared" ca="1" si="160"/>
        <v>124.63174814311319</v>
      </c>
      <c r="U521" s="1103">
        <f t="shared" ca="1" si="160"/>
        <v>119.43585076500793</v>
      </c>
      <c r="V521" s="1103">
        <f t="shared" ca="1" si="160"/>
        <v>120.4691223486245</v>
      </c>
      <c r="W521" s="1103">
        <f t="shared" ca="1" si="160"/>
        <v>122.87850479559705</v>
      </c>
      <c r="X521" s="1103">
        <f t="shared" ca="1" si="160"/>
        <v>122.79317916105748</v>
      </c>
      <c r="Y521" s="1103">
        <f t="shared" ca="1" si="160"/>
        <v>125.29990065888774</v>
      </c>
      <c r="Z521" s="1103">
        <f t="shared" ca="1" si="160"/>
        <v>127.85675658667446</v>
      </c>
      <c r="AA521" s="1103">
        <f t="shared" ca="1" si="160"/>
        <v>106.95922639760303</v>
      </c>
      <c r="AB521" s="1103">
        <f t="shared" ca="1" si="160"/>
        <v>95.748258337783</v>
      </c>
      <c r="AC521" s="1103">
        <f t="shared" ca="1" si="160"/>
        <v>72.631626889224734</v>
      </c>
      <c r="AD521" s="1103">
        <f t="shared" ca="1" si="160"/>
        <v>63.530109465177148</v>
      </c>
      <c r="AE521" s="1103">
        <f t="shared" ca="1" si="160"/>
        <v>48.958380840707889</v>
      </c>
      <c r="AF521" s="1103">
        <f t="shared" ca="1" si="160"/>
        <v>0</v>
      </c>
      <c r="AG521" s="1103">
        <f t="shared" ca="1" si="160"/>
        <v>0</v>
      </c>
      <c r="AH521" s="1103">
        <f t="shared" ca="1" si="160"/>
        <v>0</v>
      </c>
      <c r="AI521" s="1103">
        <f t="shared" ca="1" si="160"/>
        <v>0</v>
      </c>
      <c r="AJ521" s="1103">
        <f t="shared" ca="1" si="160"/>
        <v>0</v>
      </c>
      <c r="AK521" s="1103">
        <f t="shared" ca="1" si="160"/>
        <v>0</v>
      </c>
      <c r="AL521" s="1103">
        <f t="shared" ca="1" si="160"/>
        <v>0</v>
      </c>
      <c r="AM521" s="1103">
        <f t="shared" ca="1" si="160"/>
        <v>0</v>
      </c>
      <c r="AN521" s="1103">
        <f t="shared" ca="1" si="160"/>
        <v>0</v>
      </c>
      <c r="AO521" s="1103">
        <f t="shared" ca="1" si="160"/>
        <v>0</v>
      </c>
      <c r="AP521" s="1103">
        <f t="shared" ca="1" si="160"/>
        <v>0</v>
      </c>
      <c r="AQ521" s="1103">
        <f t="shared" ca="1" si="160"/>
        <v>0</v>
      </c>
      <c r="AR521" s="1103">
        <f t="shared" ca="1" si="160"/>
        <v>0</v>
      </c>
      <c r="AS521" s="1103">
        <f t="shared" ca="1" si="160"/>
        <v>0</v>
      </c>
      <c r="AT521" s="1103">
        <f t="shared" ca="1" si="160"/>
        <v>0</v>
      </c>
      <c r="AU521" s="1103">
        <f t="shared" ca="1" si="160"/>
        <v>0</v>
      </c>
      <c r="AV521" s="1103">
        <f t="shared" ca="1" si="160"/>
        <v>0</v>
      </c>
      <c r="AW521" s="1103">
        <f t="shared" ca="1" si="160"/>
        <v>0</v>
      </c>
      <c r="AX521" s="1103">
        <f t="shared" ca="1" si="160"/>
        <v>0</v>
      </c>
    </row>
    <row r="522" spans="1:50" s="334" customFormat="1" ht="15" customHeight="1">
      <c r="A522" s="347"/>
      <c r="B522" s="508"/>
      <c r="C522" s="372"/>
      <c r="D522" s="1114"/>
      <c r="E522" s="1036"/>
      <c r="F522" s="1114"/>
      <c r="G522" s="1036"/>
      <c r="H522" s="1036"/>
      <c r="I522" s="1036"/>
      <c r="J522" s="1036"/>
      <c r="K522" s="1036"/>
      <c r="L522" s="1036"/>
      <c r="M522" s="1036"/>
      <c r="N522" s="1036"/>
      <c r="O522" s="1036"/>
      <c r="P522" s="1036"/>
      <c r="Q522" s="1036"/>
      <c r="R522" s="1036"/>
      <c r="S522" s="1036"/>
      <c r="T522" s="1036"/>
      <c r="U522" s="1036"/>
      <c r="V522" s="1036"/>
      <c r="W522" s="1036"/>
      <c r="X522" s="1036"/>
      <c r="Y522" s="1036"/>
      <c r="Z522" s="1036"/>
      <c r="AA522" s="1036"/>
      <c r="AB522" s="1036"/>
      <c r="AC522" s="1036"/>
      <c r="AD522" s="1036"/>
      <c r="AE522" s="1036"/>
      <c r="AF522" s="1036"/>
      <c r="AG522" s="1036"/>
      <c r="AH522" s="1036"/>
      <c r="AI522" s="1036"/>
      <c r="AJ522" s="1036"/>
      <c r="AK522" s="1036"/>
      <c r="AL522" s="1036"/>
      <c r="AM522" s="1036"/>
      <c r="AN522" s="1036"/>
      <c r="AO522" s="1036"/>
      <c r="AP522" s="1036"/>
      <c r="AQ522" s="1036"/>
      <c r="AR522" s="1036"/>
      <c r="AS522" s="1036"/>
      <c r="AT522" s="1036"/>
      <c r="AU522" s="1036"/>
      <c r="AV522" s="1036"/>
      <c r="AW522" s="1036"/>
      <c r="AX522" s="1036"/>
    </row>
    <row r="523" spans="1:50" s="334" customFormat="1" ht="15" customHeight="1">
      <c r="A523" s="347"/>
      <c r="B523" s="508"/>
      <c r="C523" s="372"/>
      <c r="D523" s="1114"/>
      <c r="E523" s="368" t="str">
        <f xml:space="preserve"> FiscalModel!E$46</f>
        <v>RRT tax rate</v>
      </c>
      <c r="F523" s="368">
        <f xml:space="preserve"> FiscalModel!F$46</f>
        <v>0</v>
      </c>
      <c r="G523" s="368" t="str">
        <f xml:space="preserve"> FiscalModel!G$46</f>
        <v>%</v>
      </c>
      <c r="H523" s="1036"/>
      <c r="I523" s="1036"/>
      <c r="J523" s="1036"/>
      <c r="K523" s="1036"/>
      <c r="L523" s="1036"/>
      <c r="M523" s="1036"/>
      <c r="N523" s="1036"/>
      <c r="O523" s="1036"/>
      <c r="P523" s="1036"/>
      <c r="Q523" s="1036"/>
      <c r="R523" s="1036"/>
      <c r="S523" s="1036"/>
      <c r="T523" s="1036"/>
      <c r="U523" s="1036"/>
      <c r="V523" s="1036"/>
      <c r="W523" s="1036"/>
      <c r="X523" s="1036"/>
      <c r="Y523" s="1036"/>
      <c r="Z523" s="1036"/>
      <c r="AA523" s="1036"/>
      <c r="AB523" s="1036"/>
      <c r="AC523" s="1036"/>
      <c r="AD523" s="1036"/>
      <c r="AE523" s="1036"/>
      <c r="AF523" s="1036"/>
      <c r="AG523" s="1036"/>
      <c r="AH523" s="1036"/>
      <c r="AI523" s="1036"/>
      <c r="AJ523" s="1036"/>
      <c r="AK523" s="1036"/>
      <c r="AL523" s="1036"/>
      <c r="AM523" s="1036"/>
      <c r="AN523" s="1036"/>
      <c r="AO523" s="1036"/>
      <c r="AP523" s="1036"/>
      <c r="AQ523" s="1036"/>
      <c r="AR523" s="1036"/>
      <c r="AS523" s="1036"/>
      <c r="AT523" s="1036"/>
      <c r="AU523" s="1036"/>
      <c r="AV523" s="1036"/>
      <c r="AW523" s="1036"/>
      <c r="AX523" s="1036"/>
    </row>
    <row r="524" spans="1:50" s="334" customFormat="1" ht="15" customHeight="1">
      <c r="A524" s="347"/>
      <c r="B524" s="508"/>
      <c r="C524" s="372"/>
      <c r="D524" s="1114"/>
      <c r="E524" s="1036" t="str">
        <f xml:space="preserve"> Translate!E$45 &amp; ": " &amp; Translate!$E$459</f>
        <v>RRT: Mining company</v>
      </c>
      <c r="F524" s="1114"/>
      <c r="G524" s="1036" t="str">
        <f xml:space="preserve"> Translate!E$10</f>
        <v>US$ mn</v>
      </c>
      <c r="H524" s="1036"/>
      <c r="I524" s="1036">
        <f ca="1" xml:space="preserve"> SUM(K524:AX524)</f>
        <v>0</v>
      </c>
      <c r="J524" s="1036"/>
      <c r="K524" s="1036">
        <f t="shared" ref="K524:AX524" ca="1" si="161" xml:space="preserve"> K521 * $F523 * (K521 &gt; 0)</f>
        <v>0</v>
      </c>
      <c r="L524" s="1036">
        <f t="shared" ca="1" si="161"/>
        <v>0</v>
      </c>
      <c r="M524" s="1036">
        <f t="shared" ca="1" si="161"/>
        <v>0</v>
      </c>
      <c r="N524" s="1036">
        <f t="shared" ca="1" si="161"/>
        <v>0</v>
      </c>
      <c r="O524" s="1036">
        <f t="shared" ca="1" si="161"/>
        <v>0</v>
      </c>
      <c r="P524" s="1036">
        <f t="shared" ca="1" si="161"/>
        <v>0</v>
      </c>
      <c r="Q524" s="1036">
        <f t="shared" ca="1" si="161"/>
        <v>0</v>
      </c>
      <c r="R524" s="1036">
        <f t="shared" ca="1" si="161"/>
        <v>0</v>
      </c>
      <c r="S524" s="1036">
        <f t="shared" ca="1" si="161"/>
        <v>0</v>
      </c>
      <c r="T524" s="1036">
        <f t="shared" ca="1" si="161"/>
        <v>0</v>
      </c>
      <c r="U524" s="1036">
        <f t="shared" ca="1" si="161"/>
        <v>0</v>
      </c>
      <c r="V524" s="1036">
        <f t="shared" ca="1" si="161"/>
        <v>0</v>
      </c>
      <c r="W524" s="1036">
        <f t="shared" ca="1" si="161"/>
        <v>0</v>
      </c>
      <c r="X524" s="1036">
        <f t="shared" ca="1" si="161"/>
        <v>0</v>
      </c>
      <c r="Y524" s="1036">
        <f t="shared" ca="1" si="161"/>
        <v>0</v>
      </c>
      <c r="Z524" s="1036">
        <f t="shared" ca="1" si="161"/>
        <v>0</v>
      </c>
      <c r="AA524" s="1036">
        <f t="shared" ca="1" si="161"/>
        <v>0</v>
      </c>
      <c r="AB524" s="1036">
        <f t="shared" ca="1" si="161"/>
        <v>0</v>
      </c>
      <c r="AC524" s="1036">
        <f t="shared" ca="1" si="161"/>
        <v>0</v>
      </c>
      <c r="AD524" s="1036">
        <f t="shared" ca="1" si="161"/>
        <v>0</v>
      </c>
      <c r="AE524" s="1036">
        <f t="shared" ca="1" si="161"/>
        <v>0</v>
      </c>
      <c r="AF524" s="1036">
        <f t="shared" ca="1" si="161"/>
        <v>0</v>
      </c>
      <c r="AG524" s="1036">
        <f t="shared" ca="1" si="161"/>
        <v>0</v>
      </c>
      <c r="AH524" s="1036">
        <f t="shared" ca="1" si="161"/>
        <v>0</v>
      </c>
      <c r="AI524" s="1036">
        <f t="shared" ca="1" si="161"/>
        <v>0</v>
      </c>
      <c r="AJ524" s="1036">
        <f t="shared" ca="1" si="161"/>
        <v>0</v>
      </c>
      <c r="AK524" s="1036">
        <f t="shared" ca="1" si="161"/>
        <v>0</v>
      </c>
      <c r="AL524" s="1036">
        <f t="shared" ca="1" si="161"/>
        <v>0</v>
      </c>
      <c r="AM524" s="1036">
        <f t="shared" ca="1" si="161"/>
        <v>0</v>
      </c>
      <c r="AN524" s="1036">
        <f t="shared" ca="1" si="161"/>
        <v>0</v>
      </c>
      <c r="AO524" s="1036">
        <f t="shared" ca="1" si="161"/>
        <v>0</v>
      </c>
      <c r="AP524" s="1036">
        <f t="shared" ca="1" si="161"/>
        <v>0</v>
      </c>
      <c r="AQ524" s="1036">
        <f t="shared" ca="1" si="161"/>
        <v>0</v>
      </c>
      <c r="AR524" s="1036">
        <f t="shared" ca="1" si="161"/>
        <v>0</v>
      </c>
      <c r="AS524" s="1036">
        <f t="shared" ca="1" si="161"/>
        <v>0</v>
      </c>
      <c r="AT524" s="1036">
        <f t="shared" ca="1" si="161"/>
        <v>0</v>
      </c>
      <c r="AU524" s="1036">
        <f t="shared" ca="1" si="161"/>
        <v>0</v>
      </c>
      <c r="AV524" s="1036">
        <f t="shared" ca="1" si="161"/>
        <v>0</v>
      </c>
      <c r="AW524" s="1036">
        <f t="shared" ca="1" si="161"/>
        <v>0</v>
      </c>
      <c r="AX524" s="1036">
        <f t="shared" ca="1" si="161"/>
        <v>0</v>
      </c>
    </row>
    <row r="525" spans="1:50" s="41" customFormat="1" ht="15" customHeight="1">
      <c r="A525" s="73"/>
      <c r="B525" s="695"/>
      <c r="C525" s="113"/>
      <c r="D525" s="114"/>
      <c r="F525" s="114"/>
    </row>
    <row r="526" spans="1:50" s="41" customFormat="1" ht="15" customHeight="1">
      <c r="A526" s="73"/>
      <c r="B526" s="695" t="str">
        <f>Translate!$E$86</f>
        <v>RRT deductible for CIT</v>
      </c>
      <c r="C526" s="113"/>
      <c r="D526" s="114"/>
      <c r="F526" s="114"/>
    </row>
    <row r="527" spans="1:50" ht="15" customHeight="1">
      <c r="A527" s="347"/>
      <c r="D527" s="1005"/>
      <c r="E527" s="367" t="str">
        <f xml:space="preserve"> FiscalModel!E$45</f>
        <v>CIT is deducted for RRT</v>
      </c>
      <c r="F527" s="437">
        <f xml:space="preserve"> FiscalModel!F$45</f>
        <v>0</v>
      </c>
      <c r="G527" s="367" t="str">
        <f xml:space="preserve"> FiscalModel!G$45</f>
        <v>Option</v>
      </c>
      <c r="H527" s="1041"/>
      <c r="I527" s="1041"/>
      <c r="J527" s="1041"/>
      <c r="K527" s="1041"/>
      <c r="L527" s="1041"/>
      <c r="M527" s="1041"/>
      <c r="N527" s="1041"/>
      <c r="O527" s="1041"/>
      <c r="P527" s="1041"/>
      <c r="Q527" s="1041"/>
      <c r="R527" s="1041"/>
      <c r="S527" s="1041"/>
      <c r="T527" s="1041"/>
      <c r="U527" s="1041"/>
      <c r="V527" s="1041"/>
      <c r="W527" s="1041"/>
      <c r="X527" s="1041"/>
      <c r="Y527" s="1041"/>
      <c r="Z527" s="1041"/>
      <c r="AA527" s="1041"/>
      <c r="AB527" s="1041"/>
      <c r="AC527" s="1041"/>
      <c r="AD527" s="1041"/>
      <c r="AE527" s="1041"/>
      <c r="AF527" s="1041"/>
      <c r="AG527" s="1041"/>
      <c r="AH527" s="1041"/>
      <c r="AI527" s="1041"/>
      <c r="AJ527" s="1041"/>
      <c r="AK527" s="1041"/>
      <c r="AL527" s="1041"/>
      <c r="AM527" s="1041"/>
      <c r="AN527" s="1041"/>
      <c r="AO527" s="1041"/>
      <c r="AP527" s="1041"/>
      <c r="AQ527" s="1041"/>
      <c r="AR527" s="1041"/>
      <c r="AS527" s="1041"/>
      <c r="AT527" s="1041"/>
      <c r="AU527" s="1041"/>
      <c r="AV527" s="1041"/>
      <c r="AW527" s="1041"/>
      <c r="AX527" s="1041"/>
    </row>
    <row r="528" spans="1:50" s="41" customFormat="1" ht="15" customHeight="1">
      <c r="A528" s="73"/>
      <c r="B528" s="695"/>
      <c r="C528" s="113"/>
      <c r="D528" s="114"/>
      <c r="E528" s="221" t="str">
        <f xml:space="preserve"> Inputs!E$82</f>
        <v>Label: no</v>
      </c>
      <c r="F528" s="222" t="str">
        <f xml:space="preserve"> Inputs!F$82</f>
        <v>no</v>
      </c>
      <c r="G528" s="221" t="str">
        <f xml:space="preserve"> Inputs!G$82</f>
        <v>Label</v>
      </c>
    </row>
    <row r="529" spans="1:50" s="4" customFormat="1" ht="15" customHeight="1">
      <c r="A529" s="73"/>
      <c r="B529" s="691"/>
      <c r="C529" s="42"/>
      <c r="D529" s="38"/>
      <c r="E529" s="4" t="str">
        <f xml:space="preserve"> E524 &amp; " " &amp; Translate!$E$355</f>
        <v>RRT: Mining company deductible for CIT</v>
      </c>
      <c r="G529" s="4" t="str">
        <f>G524</f>
        <v>US$ mn</v>
      </c>
      <c r="I529" s="4">
        <f ca="1" xml:space="preserve"> SUM(K529:AX529)</f>
        <v>0</v>
      </c>
      <c r="J529" s="585"/>
      <c r="K529" s="4">
        <f t="shared" ref="K529:AX529" ca="1" si="162" xml:space="preserve"> ($F527 = $F528) * K524</f>
        <v>0</v>
      </c>
      <c r="L529" s="4">
        <f t="shared" ca="1" si="162"/>
        <v>0</v>
      </c>
      <c r="M529" s="4">
        <f t="shared" ca="1" si="162"/>
        <v>0</v>
      </c>
      <c r="N529" s="4">
        <f t="shared" ca="1" si="162"/>
        <v>0</v>
      </c>
      <c r="O529" s="4">
        <f t="shared" ca="1" si="162"/>
        <v>0</v>
      </c>
      <c r="P529" s="4">
        <f t="shared" ca="1" si="162"/>
        <v>0</v>
      </c>
      <c r="Q529" s="4">
        <f t="shared" ca="1" si="162"/>
        <v>0</v>
      </c>
      <c r="R529" s="4">
        <f t="shared" ca="1" si="162"/>
        <v>0</v>
      </c>
      <c r="S529" s="4">
        <f t="shared" ca="1" si="162"/>
        <v>0</v>
      </c>
      <c r="T529" s="4">
        <f t="shared" ca="1" si="162"/>
        <v>0</v>
      </c>
      <c r="U529" s="4">
        <f t="shared" ca="1" si="162"/>
        <v>0</v>
      </c>
      <c r="V529" s="4">
        <f t="shared" ca="1" si="162"/>
        <v>0</v>
      </c>
      <c r="W529" s="4">
        <f t="shared" ca="1" si="162"/>
        <v>0</v>
      </c>
      <c r="X529" s="4">
        <f t="shared" ca="1" si="162"/>
        <v>0</v>
      </c>
      <c r="Y529" s="4">
        <f t="shared" ca="1" si="162"/>
        <v>0</v>
      </c>
      <c r="Z529" s="4">
        <f t="shared" ca="1" si="162"/>
        <v>0</v>
      </c>
      <c r="AA529" s="4">
        <f t="shared" ca="1" si="162"/>
        <v>0</v>
      </c>
      <c r="AB529" s="4">
        <f t="shared" ca="1" si="162"/>
        <v>0</v>
      </c>
      <c r="AC529" s="4">
        <f t="shared" ca="1" si="162"/>
        <v>0</v>
      </c>
      <c r="AD529" s="4">
        <f t="shared" ca="1" si="162"/>
        <v>0</v>
      </c>
      <c r="AE529" s="4">
        <f t="shared" ca="1" si="162"/>
        <v>0</v>
      </c>
      <c r="AF529" s="4">
        <f t="shared" ca="1" si="162"/>
        <v>0</v>
      </c>
      <c r="AG529" s="4">
        <f t="shared" ca="1" si="162"/>
        <v>0</v>
      </c>
      <c r="AH529" s="4">
        <f t="shared" ca="1" si="162"/>
        <v>0</v>
      </c>
      <c r="AI529" s="4">
        <f t="shared" ca="1" si="162"/>
        <v>0</v>
      </c>
      <c r="AJ529" s="4">
        <f t="shared" ca="1" si="162"/>
        <v>0</v>
      </c>
      <c r="AK529" s="4">
        <f t="shared" ca="1" si="162"/>
        <v>0</v>
      </c>
      <c r="AL529" s="4">
        <f t="shared" ca="1" si="162"/>
        <v>0</v>
      </c>
      <c r="AM529" s="4">
        <f t="shared" ca="1" si="162"/>
        <v>0</v>
      </c>
      <c r="AN529" s="4">
        <f t="shared" ca="1" si="162"/>
        <v>0</v>
      </c>
      <c r="AO529" s="4">
        <f t="shared" ca="1" si="162"/>
        <v>0</v>
      </c>
      <c r="AP529" s="4">
        <f t="shared" ca="1" si="162"/>
        <v>0</v>
      </c>
      <c r="AQ529" s="4">
        <f t="shared" ca="1" si="162"/>
        <v>0</v>
      </c>
      <c r="AR529" s="4">
        <f t="shared" ca="1" si="162"/>
        <v>0</v>
      </c>
      <c r="AS529" s="4">
        <f t="shared" ca="1" si="162"/>
        <v>0</v>
      </c>
      <c r="AT529" s="4">
        <f t="shared" ca="1" si="162"/>
        <v>0</v>
      </c>
      <c r="AU529" s="4">
        <f t="shared" ca="1" si="162"/>
        <v>0</v>
      </c>
      <c r="AV529" s="4">
        <f t="shared" ca="1" si="162"/>
        <v>0</v>
      </c>
      <c r="AW529" s="4">
        <f t="shared" ca="1" si="162"/>
        <v>0</v>
      </c>
      <c r="AX529" s="4">
        <f t="shared" ca="1" si="162"/>
        <v>0</v>
      </c>
    </row>
    <row r="530" spans="1:50" s="4" customFormat="1" ht="15" customHeight="1">
      <c r="A530" s="73"/>
      <c r="B530" s="691"/>
      <c r="C530" s="42"/>
      <c r="D530" s="38"/>
      <c r="E530" s="4" t="str">
        <f xml:space="preserve"> E529 &amp; " " &amp; Translate!$E$604</f>
        <v>RRT: Mining company deductible for CIT prior period</v>
      </c>
      <c r="G530" s="4" t="str">
        <f>G529</f>
        <v>US$ mn</v>
      </c>
      <c r="H530" s="4" t="str">
        <f>Translate!$E$307</f>
        <v>prior period to avoid circularity</v>
      </c>
      <c r="I530" s="4">
        <f ca="1" xml:space="preserve"> SUM(K530:AX530)</f>
        <v>0</v>
      </c>
      <c r="K530" s="4">
        <f xml:space="preserve"> J529</f>
        <v>0</v>
      </c>
      <c r="L530" s="4">
        <f t="shared" ref="L530:AX530" ca="1" si="163" xml:space="preserve"> K529</f>
        <v>0</v>
      </c>
      <c r="M530" s="4">
        <f t="shared" ca="1" si="163"/>
        <v>0</v>
      </c>
      <c r="N530" s="4">
        <f t="shared" ca="1" si="163"/>
        <v>0</v>
      </c>
      <c r="O530" s="4">
        <f t="shared" ca="1" si="163"/>
        <v>0</v>
      </c>
      <c r="P530" s="4">
        <f t="shared" ca="1" si="163"/>
        <v>0</v>
      </c>
      <c r="Q530" s="4">
        <f t="shared" ca="1" si="163"/>
        <v>0</v>
      </c>
      <c r="R530" s="4">
        <f t="shared" ca="1" si="163"/>
        <v>0</v>
      </c>
      <c r="S530" s="4">
        <f t="shared" ca="1" si="163"/>
        <v>0</v>
      </c>
      <c r="T530" s="4">
        <f t="shared" ca="1" si="163"/>
        <v>0</v>
      </c>
      <c r="U530" s="4">
        <f t="shared" ca="1" si="163"/>
        <v>0</v>
      </c>
      <c r="V530" s="4">
        <f t="shared" ca="1" si="163"/>
        <v>0</v>
      </c>
      <c r="W530" s="4">
        <f t="shared" ca="1" si="163"/>
        <v>0</v>
      </c>
      <c r="X530" s="4">
        <f t="shared" ca="1" si="163"/>
        <v>0</v>
      </c>
      <c r="Y530" s="4">
        <f t="shared" ca="1" si="163"/>
        <v>0</v>
      </c>
      <c r="Z530" s="4">
        <f t="shared" ca="1" si="163"/>
        <v>0</v>
      </c>
      <c r="AA530" s="4">
        <f t="shared" ca="1" si="163"/>
        <v>0</v>
      </c>
      <c r="AB530" s="4">
        <f t="shared" ca="1" si="163"/>
        <v>0</v>
      </c>
      <c r="AC530" s="4">
        <f t="shared" ca="1" si="163"/>
        <v>0</v>
      </c>
      <c r="AD530" s="4">
        <f t="shared" ca="1" si="163"/>
        <v>0</v>
      </c>
      <c r="AE530" s="4">
        <f t="shared" ca="1" si="163"/>
        <v>0</v>
      </c>
      <c r="AF530" s="4">
        <f t="shared" ca="1" si="163"/>
        <v>0</v>
      </c>
      <c r="AG530" s="4">
        <f t="shared" ca="1" si="163"/>
        <v>0</v>
      </c>
      <c r="AH530" s="4">
        <f t="shared" ca="1" si="163"/>
        <v>0</v>
      </c>
      <c r="AI530" s="4">
        <f t="shared" ca="1" si="163"/>
        <v>0</v>
      </c>
      <c r="AJ530" s="4">
        <f t="shared" ca="1" si="163"/>
        <v>0</v>
      </c>
      <c r="AK530" s="4">
        <f t="shared" ca="1" si="163"/>
        <v>0</v>
      </c>
      <c r="AL530" s="4">
        <f t="shared" ca="1" si="163"/>
        <v>0</v>
      </c>
      <c r="AM530" s="4">
        <f t="shared" ca="1" si="163"/>
        <v>0</v>
      </c>
      <c r="AN530" s="4">
        <f t="shared" ca="1" si="163"/>
        <v>0</v>
      </c>
      <c r="AO530" s="4">
        <f t="shared" ca="1" si="163"/>
        <v>0</v>
      </c>
      <c r="AP530" s="4">
        <f t="shared" ca="1" si="163"/>
        <v>0</v>
      </c>
      <c r="AQ530" s="4">
        <f t="shared" ca="1" si="163"/>
        <v>0</v>
      </c>
      <c r="AR530" s="4">
        <f t="shared" ca="1" si="163"/>
        <v>0</v>
      </c>
      <c r="AS530" s="4">
        <f t="shared" ca="1" si="163"/>
        <v>0</v>
      </c>
      <c r="AT530" s="4">
        <f t="shared" ca="1" si="163"/>
        <v>0</v>
      </c>
      <c r="AU530" s="4">
        <f t="shared" ca="1" si="163"/>
        <v>0</v>
      </c>
      <c r="AV530" s="4">
        <f t="shared" ca="1" si="163"/>
        <v>0</v>
      </c>
      <c r="AW530" s="4">
        <f t="shared" ca="1" si="163"/>
        <v>0</v>
      </c>
      <c r="AX530" s="4">
        <f t="shared" ca="1" si="163"/>
        <v>0</v>
      </c>
    </row>
    <row r="531" spans="1:50" ht="15" customHeight="1">
      <c r="A531" s="347"/>
      <c r="D531" s="1005"/>
      <c r="E531" s="1041"/>
      <c r="F531" s="1041"/>
      <c r="G531" s="1041"/>
      <c r="H531" s="1041"/>
      <c r="I531" s="1041"/>
      <c r="J531" s="1041"/>
      <c r="K531" s="1041"/>
      <c r="L531" s="1041"/>
      <c r="M531" s="1041"/>
      <c r="N531" s="1041"/>
      <c r="O531" s="1041"/>
      <c r="P531" s="1041"/>
      <c r="Q531" s="1041"/>
      <c r="R531" s="1041"/>
      <c r="S531" s="1041"/>
      <c r="T531" s="1041"/>
      <c r="U531" s="1041"/>
      <c r="V531" s="1041"/>
      <c r="W531" s="1041"/>
      <c r="X531" s="1041"/>
      <c r="Y531" s="1041"/>
      <c r="Z531" s="1041"/>
      <c r="AA531" s="1041"/>
      <c r="AB531" s="1041"/>
      <c r="AC531" s="1041"/>
      <c r="AD531" s="1041"/>
      <c r="AE531" s="1041"/>
      <c r="AF531" s="1041"/>
      <c r="AG531" s="1041"/>
      <c r="AH531" s="1041"/>
      <c r="AI531" s="1041"/>
      <c r="AJ531" s="1041"/>
      <c r="AK531" s="1041"/>
      <c r="AL531" s="1041"/>
      <c r="AM531" s="1041"/>
      <c r="AN531" s="1041"/>
      <c r="AO531" s="1041"/>
      <c r="AP531" s="1041"/>
      <c r="AQ531" s="1041"/>
      <c r="AR531" s="1041"/>
      <c r="AS531" s="1041"/>
      <c r="AT531" s="1041"/>
      <c r="AU531" s="1041"/>
      <c r="AV531" s="1041"/>
      <c r="AW531" s="1041"/>
      <c r="AX531" s="1041"/>
    </row>
    <row r="532" spans="1:50" s="4" customFormat="1" ht="15" customHeight="1">
      <c r="A532" s="169" t="str">
        <f>Translate!$E$33</f>
        <v>VAT cashflow: Simplified approach assuming VAT is creditable</v>
      </c>
      <c r="B532" s="819"/>
      <c r="C532" s="820"/>
      <c r="D532" s="171"/>
      <c r="E532" s="169"/>
      <c r="F532" s="171"/>
      <c r="G532" s="169"/>
      <c r="H532" s="169"/>
      <c r="I532" s="169"/>
      <c r="J532" s="169"/>
      <c r="K532" s="169"/>
      <c r="L532" s="169"/>
      <c r="M532" s="169"/>
      <c r="N532" s="169"/>
      <c r="O532" s="169"/>
      <c r="P532" s="169"/>
      <c r="Q532" s="169"/>
      <c r="R532" s="169"/>
      <c r="S532" s="169"/>
      <c r="T532" s="169"/>
      <c r="U532" s="169"/>
      <c r="V532" s="169"/>
      <c r="W532" s="169"/>
      <c r="X532" s="169"/>
      <c r="Y532" s="169"/>
      <c r="Z532" s="169"/>
      <c r="AA532" s="169"/>
      <c r="AB532" s="169"/>
      <c r="AC532" s="169"/>
      <c r="AD532" s="169"/>
      <c r="AE532" s="169"/>
      <c r="AF532" s="169"/>
      <c r="AG532" s="169"/>
      <c r="AH532" s="169"/>
      <c r="AI532" s="169"/>
      <c r="AJ532" s="169"/>
      <c r="AK532" s="169"/>
      <c r="AL532" s="169"/>
      <c r="AM532" s="169"/>
      <c r="AN532" s="169"/>
      <c r="AO532" s="169"/>
      <c r="AP532" s="169"/>
      <c r="AQ532" s="169"/>
      <c r="AR532" s="169"/>
      <c r="AS532" s="169"/>
      <c r="AT532" s="169"/>
      <c r="AU532" s="169"/>
      <c r="AV532" s="169"/>
      <c r="AW532" s="169"/>
      <c r="AX532" s="169"/>
    </row>
    <row r="533" spans="1:50" s="4" customFormat="1" ht="15" customHeight="1">
      <c r="A533" s="73"/>
      <c r="B533" s="821"/>
      <c r="C533" s="822"/>
      <c r="D533" s="38"/>
      <c r="F533" s="38"/>
    </row>
    <row r="534" spans="1:50" s="4" customFormat="1" ht="15" customHeight="1">
      <c r="A534" s="73"/>
      <c r="B534" s="821" t="str">
        <f>Translate!$E$87</f>
        <v>VAT applicable periods</v>
      </c>
      <c r="C534" s="822"/>
      <c r="D534" s="38"/>
      <c r="E534" s="107"/>
      <c r="F534" s="38"/>
    </row>
    <row r="535" spans="1:50" s="4" customFormat="1" ht="15" customHeight="1">
      <c r="A535" s="73"/>
      <c r="B535" s="821"/>
      <c r="C535" s="822" t="str">
        <f>Translate!$E$113</f>
        <v>Flags from project cashflows</v>
      </c>
      <c r="D535" s="38"/>
      <c r="E535" s="107"/>
      <c r="F535" s="38"/>
    </row>
    <row r="536" spans="1:50" s="315" customFormat="1" ht="15" customHeight="1">
      <c r="A536" s="538"/>
      <c r="B536" s="535"/>
      <c r="C536" s="536"/>
      <c r="E536" s="823" t="str">
        <f xml:space="preserve"> ProjectCashflows!E$48</f>
        <v>Model calendar years</v>
      </c>
      <c r="F536" s="823">
        <f xml:space="preserve"> ProjectCashflows!F$48</f>
        <v>0</v>
      </c>
      <c r="G536" s="823" t="str">
        <f xml:space="preserve"> ProjectCashflows!G$48</f>
        <v>Years</v>
      </c>
      <c r="H536" s="823">
        <f xml:space="preserve"> ProjectCashflows!H$48</f>
        <v>0</v>
      </c>
      <c r="I536" s="823">
        <f xml:space="preserve"> ProjectCashflows!I$48</f>
        <v>0</v>
      </c>
      <c r="J536" s="823">
        <f xml:space="preserve"> ProjectCashflows!J$48</f>
        <v>0</v>
      </c>
      <c r="K536" s="823">
        <f xml:space="preserve"> ProjectCashflows!K$48</f>
        <v>2021</v>
      </c>
      <c r="L536" s="823">
        <f xml:space="preserve"> ProjectCashflows!L$48</f>
        <v>2022</v>
      </c>
      <c r="M536" s="823">
        <f xml:space="preserve"> ProjectCashflows!M$48</f>
        <v>2023</v>
      </c>
      <c r="N536" s="823">
        <f xml:space="preserve"> ProjectCashflows!N$48</f>
        <v>2024</v>
      </c>
      <c r="O536" s="823">
        <f xml:space="preserve"> ProjectCashflows!O$48</f>
        <v>2025</v>
      </c>
      <c r="P536" s="823">
        <f xml:space="preserve"> ProjectCashflows!P$48</f>
        <v>2026</v>
      </c>
      <c r="Q536" s="823">
        <f xml:space="preserve"> ProjectCashflows!Q$48</f>
        <v>2027</v>
      </c>
      <c r="R536" s="823">
        <f xml:space="preserve"> ProjectCashflows!R$48</f>
        <v>2028</v>
      </c>
      <c r="S536" s="823">
        <f xml:space="preserve"> ProjectCashflows!S$48</f>
        <v>2029</v>
      </c>
      <c r="T536" s="823">
        <f xml:space="preserve"> ProjectCashflows!T$48</f>
        <v>2030</v>
      </c>
      <c r="U536" s="823">
        <f xml:space="preserve"> ProjectCashflows!U$48</f>
        <v>2031</v>
      </c>
      <c r="V536" s="823">
        <f xml:space="preserve"> ProjectCashflows!V$48</f>
        <v>2032</v>
      </c>
      <c r="W536" s="823">
        <f xml:space="preserve"> ProjectCashflows!W$48</f>
        <v>2033</v>
      </c>
      <c r="X536" s="823">
        <f xml:space="preserve"> ProjectCashflows!X$48</f>
        <v>2034</v>
      </c>
      <c r="Y536" s="823">
        <f xml:space="preserve"> ProjectCashflows!Y$48</f>
        <v>2035</v>
      </c>
      <c r="Z536" s="823">
        <f xml:space="preserve"> ProjectCashflows!Z$48</f>
        <v>2036</v>
      </c>
      <c r="AA536" s="823">
        <f xml:space="preserve"> ProjectCashflows!AA$48</f>
        <v>2037</v>
      </c>
      <c r="AB536" s="823">
        <f xml:space="preserve"> ProjectCashflows!AB$48</f>
        <v>2038</v>
      </c>
      <c r="AC536" s="823">
        <f xml:space="preserve"> ProjectCashflows!AC$48</f>
        <v>2039</v>
      </c>
      <c r="AD536" s="823">
        <f xml:space="preserve"> ProjectCashflows!AD$48</f>
        <v>2040</v>
      </c>
      <c r="AE536" s="823">
        <f xml:space="preserve"> ProjectCashflows!AE$48</f>
        <v>2041</v>
      </c>
      <c r="AF536" s="823">
        <f xml:space="preserve"> ProjectCashflows!AF$48</f>
        <v>2042</v>
      </c>
      <c r="AG536" s="823">
        <f xml:space="preserve"> ProjectCashflows!AG$48</f>
        <v>2043</v>
      </c>
      <c r="AH536" s="823">
        <f xml:space="preserve"> ProjectCashflows!AH$48</f>
        <v>2044</v>
      </c>
      <c r="AI536" s="823">
        <f xml:space="preserve"> ProjectCashflows!AI$48</f>
        <v>2045</v>
      </c>
      <c r="AJ536" s="823">
        <f xml:space="preserve"> ProjectCashflows!AJ$48</f>
        <v>2046</v>
      </c>
      <c r="AK536" s="823">
        <f xml:space="preserve"> ProjectCashflows!AK$48</f>
        <v>2047</v>
      </c>
      <c r="AL536" s="823">
        <f xml:space="preserve"> ProjectCashflows!AL$48</f>
        <v>2048</v>
      </c>
      <c r="AM536" s="823">
        <f xml:space="preserve"> ProjectCashflows!AM$48</f>
        <v>2049</v>
      </c>
      <c r="AN536" s="823">
        <f xml:space="preserve"> ProjectCashflows!AN$48</f>
        <v>2050</v>
      </c>
      <c r="AO536" s="823">
        <f xml:space="preserve"> ProjectCashflows!AO$48</f>
        <v>2051</v>
      </c>
      <c r="AP536" s="823">
        <f xml:space="preserve"> ProjectCashflows!AP$48</f>
        <v>2052</v>
      </c>
      <c r="AQ536" s="823">
        <f xml:space="preserve"> ProjectCashflows!AQ$48</f>
        <v>2053</v>
      </c>
      <c r="AR536" s="823">
        <f xml:space="preserve"> ProjectCashflows!AR$48</f>
        <v>2054</v>
      </c>
      <c r="AS536" s="823">
        <f xml:space="preserve"> ProjectCashflows!AS$48</f>
        <v>2055</v>
      </c>
      <c r="AT536" s="823">
        <f xml:space="preserve"> ProjectCashflows!AT$48</f>
        <v>2056</v>
      </c>
      <c r="AU536" s="823">
        <f xml:space="preserve"> ProjectCashflows!AU$48</f>
        <v>2057</v>
      </c>
      <c r="AV536" s="823">
        <f xml:space="preserve"> ProjectCashflows!AV$48</f>
        <v>2058</v>
      </c>
      <c r="AW536" s="823">
        <f xml:space="preserve"> ProjectCashflows!AW$48</f>
        <v>2059</v>
      </c>
      <c r="AX536" s="823">
        <f xml:space="preserve"> ProjectCashflows!AX$48</f>
        <v>2060</v>
      </c>
    </row>
    <row r="537" spans="1:50" s="4" customFormat="1" ht="15" customHeight="1">
      <c r="A537" s="73"/>
      <c r="B537" s="821"/>
      <c r="C537" s="822"/>
      <c r="D537" s="38"/>
      <c r="E537" s="107" t="str">
        <f xml:space="preserve"> ProjectCashflows!E$185</f>
        <v>Cumulative project activity</v>
      </c>
      <c r="F537" s="107">
        <f xml:space="preserve"> ProjectCashflows!F$185</f>
        <v>0</v>
      </c>
      <c r="G537" s="107" t="str">
        <f xml:space="preserve"> ProjectCashflows!G$185</f>
        <v>Years</v>
      </c>
      <c r="H537" s="107">
        <f xml:space="preserve"> ProjectCashflows!H$185</f>
        <v>0</v>
      </c>
      <c r="I537" s="107">
        <f xml:space="preserve"> ProjectCashflows!I$185</f>
        <v>0</v>
      </c>
      <c r="J537" s="107">
        <f xml:space="preserve"> ProjectCashflows!J$185</f>
        <v>0</v>
      </c>
      <c r="K537" s="107">
        <f ca="1" xml:space="preserve"> ProjectCashflows!K$185</f>
        <v>1</v>
      </c>
      <c r="L537" s="107">
        <f ca="1" xml:space="preserve"> ProjectCashflows!L$185</f>
        <v>2</v>
      </c>
      <c r="M537" s="107">
        <f ca="1" xml:space="preserve"> ProjectCashflows!M$185</f>
        <v>3</v>
      </c>
      <c r="N537" s="107">
        <f ca="1" xml:space="preserve"> ProjectCashflows!N$185</f>
        <v>4</v>
      </c>
      <c r="O537" s="107">
        <f ca="1" xml:space="preserve"> ProjectCashflows!O$185</f>
        <v>5</v>
      </c>
      <c r="P537" s="107">
        <f ca="1" xml:space="preserve"> ProjectCashflows!P$185</f>
        <v>6</v>
      </c>
      <c r="Q537" s="107">
        <f ca="1" xml:space="preserve"> ProjectCashflows!Q$185</f>
        <v>7</v>
      </c>
      <c r="R537" s="107">
        <f ca="1" xml:space="preserve"> ProjectCashflows!R$185</f>
        <v>8</v>
      </c>
      <c r="S537" s="107">
        <f ca="1" xml:space="preserve"> ProjectCashflows!S$185</f>
        <v>9</v>
      </c>
      <c r="T537" s="107">
        <f ca="1" xml:space="preserve"> ProjectCashflows!T$185</f>
        <v>10</v>
      </c>
      <c r="U537" s="107">
        <f ca="1" xml:space="preserve"> ProjectCashflows!U$185</f>
        <v>11</v>
      </c>
      <c r="V537" s="107">
        <f ca="1" xml:space="preserve"> ProjectCashflows!V$185</f>
        <v>12</v>
      </c>
      <c r="W537" s="107">
        <f ca="1" xml:space="preserve"> ProjectCashflows!W$185</f>
        <v>13</v>
      </c>
      <c r="X537" s="107">
        <f ca="1" xml:space="preserve"> ProjectCashflows!X$185</f>
        <v>14</v>
      </c>
      <c r="Y537" s="107">
        <f ca="1" xml:space="preserve"> ProjectCashflows!Y$185</f>
        <v>15</v>
      </c>
      <c r="Z537" s="107">
        <f ca="1" xml:space="preserve"> ProjectCashflows!Z$185</f>
        <v>16</v>
      </c>
      <c r="AA537" s="107">
        <f ca="1" xml:space="preserve"> ProjectCashflows!AA$185</f>
        <v>17</v>
      </c>
      <c r="AB537" s="107">
        <f ca="1" xml:space="preserve"> ProjectCashflows!AB$185</f>
        <v>18</v>
      </c>
      <c r="AC537" s="107">
        <f ca="1" xml:space="preserve"> ProjectCashflows!AC$185</f>
        <v>19</v>
      </c>
      <c r="AD537" s="107">
        <f ca="1" xml:space="preserve"> ProjectCashflows!AD$185</f>
        <v>20</v>
      </c>
      <c r="AE537" s="107">
        <f ca="1" xml:space="preserve"> ProjectCashflows!AE$185</f>
        <v>21</v>
      </c>
      <c r="AF537" s="107">
        <f ca="1" xml:space="preserve"> ProjectCashflows!AF$185</f>
        <v>22</v>
      </c>
      <c r="AG537" s="107">
        <f ca="1" xml:space="preserve"> ProjectCashflows!AG$185</f>
        <v>0</v>
      </c>
      <c r="AH537" s="107">
        <f ca="1" xml:space="preserve"> ProjectCashflows!AH$185</f>
        <v>0</v>
      </c>
      <c r="AI537" s="107">
        <f ca="1" xml:space="preserve"> ProjectCashflows!AI$185</f>
        <v>0</v>
      </c>
      <c r="AJ537" s="107">
        <f ca="1" xml:space="preserve"> ProjectCashflows!AJ$185</f>
        <v>0</v>
      </c>
      <c r="AK537" s="107">
        <f ca="1" xml:space="preserve"> ProjectCashflows!AK$185</f>
        <v>0</v>
      </c>
      <c r="AL537" s="107">
        <f ca="1" xml:space="preserve"> ProjectCashflows!AL$185</f>
        <v>0</v>
      </c>
      <c r="AM537" s="107">
        <f ca="1" xml:space="preserve"> ProjectCashflows!AM$185</f>
        <v>0</v>
      </c>
      <c r="AN537" s="107">
        <f ca="1" xml:space="preserve"> ProjectCashflows!AN$185</f>
        <v>0</v>
      </c>
      <c r="AO537" s="107">
        <f ca="1" xml:space="preserve"> ProjectCashflows!AO$185</f>
        <v>0</v>
      </c>
      <c r="AP537" s="107">
        <f ca="1" xml:space="preserve"> ProjectCashflows!AP$185</f>
        <v>0</v>
      </c>
      <c r="AQ537" s="107">
        <f ca="1" xml:space="preserve"> ProjectCashflows!AQ$185</f>
        <v>0</v>
      </c>
      <c r="AR537" s="107">
        <f ca="1" xml:space="preserve"> ProjectCashflows!AR$185</f>
        <v>0</v>
      </c>
      <c r="AS537" s="107">
        <f ca="1" xml:space="preserve"> ProjectCashflows!AS$185</f>
        <v>0</v>
      </c>
      <c r="AT537" s="107">
        <f ca="1" xml:space="preserve"> ProjectCashflows!AT$185</f>
        <v>0</v>
      </c>
      <c r="AU537" s="107">
        <f ca="1" xml:space="preserve"> ProjectCashflows!AU$185</f>
        <v>0</v>
      </c>
      <c r="AV537" s="107">
        <f ca="1" xml:space="preserve"> ProjectCashflows!AV$185</f>
        <v>0</v>
      </c>
      <c r="AW537" s="107">
        <f ca="1" xml:space="preserve"> ProjectCashflows!AW$185</f>
        <v>0</v>
      </c>
      <c r="AX537" s="107">
        <f ca="1" xml:space="preserve"> ProjectCashflows!AX$185</f>
        <v>0</v>
      </c>
    </row>
    <row r="538" spans="1:50" s="4" customFormat="1" ht="15" customHeight="1">
      <c r="A538" s="73"/>
      <c r="B538" s="821"/>
      <c r="C538" s="822"/>
      <c r="D538" s="38"/>
      <c r="E538" s="107" t="str">
        <f xml:space="preserve"> ProjectCashflows!E$205</f>
        <v>Cumulative years from start of development</v>
      </c>
      <c r="F538" s="107">
        <f xml:space="preserve"> ProjectCashflows!F$205</f>
        <v>0</v>
      </c>
      <c r="G538" s="107" t="str">
        <f xml:space="preserve"> ProjectCashflows!G$205</f>
        <v>Years</v>
      </c>
      <c r="H538" s="107">
        <f xml:space="preserve"> ProjectCashflows!H$205</f>
        <v>0</v>
      </c>
      <c r="I538" s="107">
        <f xml:space="preserve"> ProjectCashflows!I$205</f>
        <v>0</v>
      </c>
      <c r="J538" s="107">
        <f xml:space="preserve"> ProjectCashflows!J$205</f>
        <v>0</v>
      </c>
      <c r="K538" s="107">
        <f ca="1" xml:space="preserve"> ProjectCashflows!K$205</f>
        <v>0</v>
      </c>
      <c r="L538" s="107">
        <f ca="1" xml:space="preserve"> ProjectCashflows!L$205</f>
        <v>0</v>
      </c>
      <c r="M538" s="107">
        <f ca="1" xml:space="preserve"> ProjectCashflows!M$205</f>
        <v>0</v>
      </c>
      <c r="N538" s="107">
        <f ca="1" xml:space="preserve"> ProjectCashflows!N$205</f>
        <v>1</v>
      </c>
      <c r="O538" s="107">
        <f ca="1" xml:space="preserve"> ProjectCashflows!O$205</f>
        <v>2</v>
      </c>
      <c r="P538" s="107">
        <f ca="1" xml:space="preserve"> ProjectCashflows!P$205</f>
        <v>3</v>
      </c>
      <c r="Q538" s="107">
        <f ca="1" xml:space="preserve"> ProjectCashflows!Q$205</f>
        <v>4</v>
      </c>
      <c r="R538" s="107">
        <f ca="1" xml:space="preserve"> ProjectCashflows!R$205</f>
        <v>5</v>
      </c>
      <c r="S538" s="107">
        <f ca="1" xml:space="preserve"> ProjectCashflows!S$205</f>
        <v>6</v>
      </c>
      <c r="T538" s="107">
        <f ca="1" xml:space="preserve"> ProjectCashflows!T$205</f>
        <v>7</v>
      </c>
      <c r="U538" s="107">
        <f ca="1" xml:space="preserve"> ProjectCashflows!U$205</f>
        <v>8</v>
      </c>
      <c r="V538" s="107">
        <f ca="1" xml:space="preserve"> ProjectCashflows!V$205</f>
        <v>9</v>
      </c>
      <c r="W538" s="107">
        <f ca="1" xml:space="preserve"> ProjectCashflows!W$205</f>
        <v>10</v>
      </c>
      <c r="X538" s="107">
        <f ca="1" xml:space="preserve"> ProjectCashflows!X$205</f>
        <v>11</v>
      </c>
      <c r="Y538" s="107">
        <f ca="1" xml:space="preserve"> ProjectCashflows!Y$205</f>
        <v>12</v>
      </c>
      <c r="Z538" s="107">
        <f ca="1" xml:space="preserve"> ProjectCashflows!Z$205</f>
        <v>13</v>
      </c>
      <c r="AA538" s="107">
        <f ca="1" xml:space="preserve"> ProjectCashflows!AA$205</f>
        <v>14</v>
      </c>
      <c r="AB538" s="107">
        <f ca="1" xml:space="preserve"> ProjectCashflows!AB$205</f>
        <v>15</v>
      </c>
      <c r="AC538" s="107">
        <f ca="1" xml:space="preserve"> ProjectCashflows!AC$205</f>
        <v>16</v>
      </c>
      <c r="AD538" s="107">
        <f ca="1" xml:space="preserve"> ProjectCashflows!AD$205</f>
        <v>17</v>
      </c>
      <c r="AE538" s="107">
        <f ca="1" xml:space="preserve"> ProjectCashflows!AE$205</f>
        <v>18</v>
      </c>
      <c r="AF538" s="107">
        <f ca="1" xml:space="preserve"> ProjectCashflows!AF$205</f>
        <v>19</v>
      </c>
      <c r="AG538" s="107">
        <f ca="1" xml:space="preserve"> ProjectCashflows!AG$205</f>
        <v>0</v>
      </c>
      <c r="AH538" s="107">
        <f ca="1" xml:space="preserve"> ProjectCashflows!AH$205</f>
        <v>0</v>
      </c>
      <c r="AI538" s="107">
        <f ca="1" xml:space="preserve"> ProjectCashflows!AI$205</f>
        <v>0</v>
      </c>
      <c r="AJ538" s="107">
        <f ca="1" xml:space="preserve"> ProjectCashflows!AJ$205</f>
        <v>0</v>
      </c>
      <c r="AK538" s="107">
        <f ca="1" xml:space="preserve"> ProjectCashflows!AK$205</f>
        <v>0</v>
      </c>
      <c r="AL538" s="107">
        <f ca="1" xml:space="preserve"> ProjectCashflows!AL$205</f>
        <v>0</v>
      </c>
      <c r="AM538" s="107">
        <f ca="1" xml:space="preserve"> ProjectCashflows!AM$205</f>
        <v>0</v>
      </c>
      <c r="AN538" s="107">
        <f ca="1" xml:space="preserve"> ProjectCashflows!AN$205</f>
        <v>0</v>
      </c>
      <c r="AO538" s="107">
        <f ca="1" xml:space="preserve"> ProjectCashflows!AO$205</f>
        <v>0</v>
      </c>
      <c r="AP538" s="107">
        <f ca="1" xml:space="preserve"> ProjectCashflows!AP$205</f>
        <v>0</v>
      </c>
      <c r="AQ538" s="107">
        <f ca="1" xml:space="preserve"> ProjectCashflows!AQ$205</f>
        <v>0</v>
      </c>
      <c r="AR538" s="107">
        <f ca="1" xml:space="preserve"> ProjectCashflows!AR$205</f>
        <v>0</v>
      </c>
      <c r="AS538" s="107">
        <f ca="1" xml:space="preserve"> ProjectCashflows!AS$205</f>
        <v>0</v>
      </c>
      <c r="AT538" s="107">
        <f ca="1" xml:space="preserve"> ProjectCashflows!AT$205</f>
        <v>0</v>
      </c>
      <c r="AU538" s="107">
        <f ca="1" xml:space="preserve"> ProjectCashflows!AU$205</f>
        <v>0</v>
      </c>
      <c r="AV538" s="107">
        <f ca="1" xml:space="preserve"> ProjectCashflows!AV$205</f>
        <v>0</v>
      </c>
      <c r="AW538" s="107">
        <f ca="1" xml:space="preserve"> ProjectCashflows!AW$205</f>
        <v>0</v>
      </c>
      <c r="AX538" s="107">
        <f ca="1" xml:space="preserve"> ProjectCashflows!AX$205</f>
        <v>0</v>
      </c>
    </row>
    <row r="539" spans="1:50" s="4" customFormat="1" ht="15" customHeight="1">
      <c r="A539" s="73"/>
      <c r="B539" s="821"/>
      <c r="C539" s="822"/>
      <c r="D539" s="38"/>
      <c r="E539" s="107" t="str">
        <f xml:space="preserve"> ProjectCashflows!E$193</f>
        <v>Cumulative production years</v>
      </c>
      <c r="F539" s="107">
        <f xml:space="preserve"> ProjectCashflows!F$193</f>
        <v>0</v>
      </c>
      <c r="G539" s="107" t="str">
        <f xml:space="preserve"> ProjectCashflows!G$193</f>
        <v>Years</v>
      </c>
      <c r="H539" s="107">
        <f xml:space="preserve"> ProjectCashflows!H$193</f>
        <v>0</v>
      </c>
      <c r="I539" s="107">
        <f xml:space="preserve"> ProjectCashflows!I$193</f>
        <v>0</v>
      </c>
      <c r="J539" s="107">
        <f xml:space="preserve"> ProjectCashflows!J$193</f>
        <v>0</v>
      </c>
      <c r="K539" s="107">
        <f ca="1" xml:space="preserve"> ProjectCashflows!K$193</f>
        <v>0</v>
      </c>
      <c r="L539" s="107">
        <f ca="1" xml:space="preserve"> ProjectCashflows!L$193</f>
        <v>0</v>
      </c>
      <c r="M539" s="107">
        <f ca="1" xml:space="preserve"> ProjectCashflows!M$193</f>
        <v>0</v>
      </c>
      <c r="N539" s="107">
        <f ca="1" xml:space="preserve"> ProjectCashflows!N$193</f>
        <v>0</v>
      </c>
      <c r="O539" s="107">
        <f ca="1" xml:space="preserve"> ProjectCashflows!O$193</f>
        <v>1</v>
      </c>
      <c r="P539" s="107">
        <f ca="1" xml:space="preserve"> ProjectCashflows!P$193</f>
        <v>2</v>
      </c>
      <c r="Q539" s="107">
        <f ca="1" xml:space="preserve"> ProjectCashflows!Q$193</f>
        <v>3</v>
      </c>
      <c r="R539" s="107">
        <f ca="1" xml:space="preserve"> ProjectCashflows!R$193</f>
        <v>4</v>
      </c>
      <c r="S539" s="107">
        <f ca="1" xml:space="preserve"> ProjectCashflows!S$193</f>
        <v>5</v>
      </c>
      <c r="T539" s="107">
        <f ca="1" xml:space="preserve"> ProjectCashflows!T$193</f>
        <v>6</v>
      </c>
      <c r="U539" s="107">
        <f ca="1" xml:space="preserve"> ProjectCashflows!U$193</f>
        <v>7</v>
      </c>
      <c r="V539" s="107">
        <f ca="1" xml:space="preserve"> ProjectCashflows!V$193</f>
        <v>8</v>
      </c>
      <c r="W539" s="107">
        <f ca="1" xml:space="preserve"> ProjectCashflows!W$193</f>
        <v>9</v>
      </c>
      <c r="X539" s="107">
        <f ca="1" xml:space="preserve"> ProjectCashflows!X$193</f>
        <v>10</v>
      </c>
      <c r="Y539" s="107">
        <f ca="1" xml:space="preserve"> ProjectCashflows!Y$193</f>
        <v>11</v>
      </c>
      <c r="Z539" s="107">
        <f ca="1" xml:space="preserve"> ProjectCashflows!Z$193</f>
        <v>12</v>
      </c>
      <c r="AA539" s="107">
        <f ca="1" xml:space="preserve"> ProjectCashflows!AA$193</f>
        <v>13</v>
      </c>
      <c r="AB539" s="107">
        <f ca="1" xml:space="preserve"> ProjectCashflows!AB$193</f>
        <v>14</v>
      </c>
      <c r="AC539" s="107">
        <f ca="1" xml:space="preserve"> ProjectCashflows!AC$193</f>
        <v>15</v>
      </c>
      <c r="AD539" s="107">
        <f ca="1" xml:space="preserve"> ProjectCashflows!AD$193</f>
        <v>16</v>
      </c>
      <c r="AE539" s="107">
        <f ca="1" xml:space="preserve"> ProjectCashflows!AE$193</f>
        <v>17</v>
      </c>
      <c r="AF539" s="107">
        <f ca="1" xml:space="preserve"> ProjectCashflows!AF$193</f>
        <v>0</v>
      </c>
      <c r="AG539" s="107">
        <f ca="1" xml:space="preserve"> ProjectCashflows!AG$193</f>
        <v>0</v>
      </c>
      <c r="AH539" s="107">
        <f ca="1" xml:space="preserve"> ProjectCashflows!AH$193</f>
        <v>0</v>
      </c>
      <c r="AI539" s="107">
        <f ca="1" xml:space="preserve"> ProjectCashflows!AI$193</f>
        <v>0</v>
      </c>
      <c r="AJ539" s="107">
        <f ca="1" xml:space="preserve"> ProjectCashflows!AJ$193</f>
        <v>0</v>
      </c>
      <c r="AK539" s="107">
        <f ca="1" xml:space="preserve"> ProjectCashflows!AK$193</f>
        <v>0</v>
      </c>
      <c r="AL539" s="107">
        <f ca="1" xml:space="preserve"> ProjectCashflows!AL$193</f>
        <v>0</v>
      </c>
      <c r="AM539" s="107">
        <f ca="1" xml:space="preserve"> ProjectCashflows!AM$193</f>
        <v>0</v>
      </c>
      <c r="AN539" s="107">
        <f ca="1" xml:space="preserve"> ProjectCashflows!AN$193</f>
        <v>0</v>
      </c>
      <c r="AO539" s="107">
        <f ca="1" xml:space="preserve"> ProjectCashflows!AO$193</f>
        <v>0</v>
      </c>
      <c r="AP539" s="107">
        <f ca="1" xml:space="preserve"> ProjectCashflows!AP$193</f>
        <v>0</v>
      </c>
      <c r="AQ539" s="107">
        <f ca="1" xml:space="preserve"> ProjectCashflows!AQ$193</f>
        <v>0</v>
      </c>
      <c r="AR539" s="107">
        <f ca="1" xml:space="preserve"> ProjectCashflows!AR$193</f>
        <v>0</v>
      </c>
      <c r="AS539" s="107">
        <f ca="1" xml:space="preserve"> ProjectCashflows!AS$193</f>
        <v>0</v>
      </c>
      <c r="AT539" s="107">
        <f ca="1" xml:space="preserve"> ProjectCashflows!AT$193</f>
        <v>0</v>
      </c>
      <c r="AU539" s="107">
        <f ca="1" xml:space="preserve"> ProjectCashflows!AU$193</f>
        <v>0</v>
      </c>
      <c r="AV539" s="107">
        <f ca="1" xml:space="preserve"> ProjectCashflows!AV$193</f>
        <v>0</v>
      </c>
      <c r="AW539" s="107">
        <f ca="1" xml:space="preserve"> ProjectCashflows!AW$193</f>
        <v>0</v>
      </c>
      <c r="AX539" s="107">
        <f ca="1" xml:space="preserve"> ProjectCashflows!AX$193</f>
        <v>0</v>
      </c>
    </row>
    <row r="540" spans="1:50" s="4" customFormat="1" ht="15" customHeight="1">
      <c r="A540" s="73"/>
      <c r="B540" s="821"/>
      <c r="C540" s="822"/>
      <c r="D540" s="38"/>
      <c r="E540" s="107"/>
      <c r="F540" s="38"/>
    </row>
    <row r="541" spans="1:50" s="4" customFormat="1" ht="15" customHeight="1">
      <c r="A541" s="73"/>
      <c r="B541" s="821"/>
      <c r="C541" s="822"/>
      <c r="D541" s="38"/>
      <c r="E541" s="824" t="str">
        <f xml:space="preserve"> E$66</f>
        <v>VAT applicable from</v>
      </c>
      <c r="F541" s="824">
        <f xml:space="preserve"> F$66</f>
        <v>0</v>
      </c>
      <c r="G541" s="824" t="str">
        <f xml:space="preserve"> G$66</f>
        <v>selected</v>
      </c>
    </row>
    <row r="542" spans="1:50" s="4" customFormat="1" ht="15" customHeight="1">
      <c r="A542" s="73"/>
      <c r="B542" s="821"/>
      <c r="C542" s="822"/>
      <c r="D542" s="38"/>
      <c r="E542" s="107"/>
      <c r="F542" s="818" t="str">
        <f xml:space="preserve"> Translate!E$562</f>
        <v>Exploration</v>
      </c>
      <c r="G542" s="4" t="str">
        <f>Translate!$E$351</f>
        <v>Option</v>
      </c>
    </row>
    <row r="543" spans="1:50" s="4" customFormat="1" ht="15" customHeight="1">
      <c r="A543" s="73"/>
      <c r="B543" s="821"/>
      <c r="C543" s="822"/>
      <c r="D543" s="38"/>
      <c r="E543" s="107"/>
      <c r="F543" s="818" t="str">
        <f xml:space="preserve"> Translate!E$563</f>
        <v>FID</v>
      </c>
      <c r="G543" s="4" t="str">
        <f>Translate!$E$351</f>
        <v>Option</v>
      </c>
    </row>
    <row r="544" spans="1:50" s="4" customFormat="1" ht="15" customHeight="1">
      <c r="A544" s="73"/>
      <c r="B544" s="821"/>
      <c r="C544" s="822"/>
      <c r="D544" s="38"/>
      <c r="E544" s="107"/>
      <c r="F544" s="818" t="str">
        <f xml:space="preserve"> Translate!E$564</f>
        <v>Production</v>
      </c>
      <c r="G544" s="4" t="str">
        <f>Translate!$E$351</f>
        <v>Option</v>
      </c>
    </row>
    <row r="545" spans="1:50" s="304" customFormat="1" ht="15" customHeight="1">
      <c r="A545" s="307"/>
      <c r="B545" s="821"/>
      <c r="C545" s="825"/>
      <c r="D545" s="826"/>
      <c r="E545" s="303" t="str">
        <f>Translate!$E$239</f>
        <v>Selected VAT start period</v>
      </c>
      <c r="F545" t="e">
        <f xml:space="preserve"> MATCH(F541, F542:F544, 0)</f>
        <v>#N/A</v>
      </c>
      <c r="G545" s="304" t="str">
        <f xml:space="preserve"> Translate!E$363</f>
        <v>selected</v>
      </c>
    </row>
    <row r="546" spans="1:50" s="4" customFormat="1" ht="15" customHeight="1">
      <c r="A546" s="73"/>
      <c r="B546" s="821"/>
      <c r="C546" s="822"/>
      <c r="D546" s="38"/>
      <c r="E546" s="107"/>
      <c r="F546"/>
    </row>
    <row r="547" spans="1:50" s="4" customFormat="1" ht="15" customHeight="1">
      <c r="A547" s="73"/>
      <c r="B547" s="821"/>
      <c r="C547" s="822" t="str">
        <f>Translate!$E$114</f>
        <v>Start year for each alternative</v>
      </c>
      <c r="D547" s="38"/>
      <c r="E547" s="107"/>
      <c r="F547" s="38"/>
    </row>
    <row r="548" spans="1:50" s="304" customFormat="1" ht="15" customHeight="1">
      <c r="A548" s="307"/>
      <c r="B548" s="821"/>
      <c r="C548" s="825"/>
      <c r="D548" s="826"/>
      <c r="E548" s="303" t="str">
        <f>Translate!$E$240</f>
        <v>Exploration start year</v>
      </c>
      <c r="F548" s="827">
        <f ca="1" xml:space="preserve"> SUM(K548:AX548)</f>
        <v>2021</v>
      </c>
      <c r="G548" s="304" t="str">
        <f>Translate!$E$365</f>
        <v>Year</v>
      </c>
      <c r="K548" s="827">
        <f t="shared" ref="K548:AX548" ca="1" si="164" xml:space="preserve"> (K537 = 1) * K536</f>
        <v>2021</v>
      </c>
      <c r="L548" s="827">
        <f t="shared" ca="1" si="164"/>
        <v>0</v>
      </c>
      <c r="M548" s="827">
        <f t="shared" ca="1" si="164"/>
        <v>0</v>
      </c>
      <c r="N548" s="827">
        <f t="shared" ca="1" si="164"/>
        <v>0</v>
      </c>
      <c r="O548" s="827">
        <f t="shared" ca="1" si="164"/>
        <v>0</v>
      </c>
      <c r="P548" s="827">
        <f t="shared" ca="1" si="164"/>
        <v>0</v>
      </c>
      <c r="Q548" s="827">
        <f t="shared" ca="1" si="164"/>
        <v>0</v>
      </c>
      <c r="R548" s="827">
        <f t="shared" ca="1" si="164"/>
        <v>0</v>
      </c>
      <c r="S548" s="827">
        <f t="shared" ca="1" si="164"/>
        <v>0</v>
      </c>
      <c r="T548" s="827">
        <f t="shared" ca="1" si="164"/>
        <v>0</v>
      </c>
      <c r="U548" s="827">
        <f t="shared" ca="1" si="164"/>
        <v>0</v>
      </c>
      <c r="V548" s="827">
        <f t="shared" ca="1" si="164"/>
        <v>0</v>
      </c>
      <c r="W548" s="827">
        <f t="shared" ca="1" si="164"/>
        <v>0</v>
      </c>
      <c r="X548" s="827">
        <f t="shared" ca="1" si="164"/>
        <v>0</v>
      </c>
      <c r="Y548" s="827">
        <f t="shared" ca="1" si="164"/>
        <v>0</v>
      </c>
      <c r="Z548" s="827">
        <f t="shared" ca="1" si="164"/>
        <v>0</v>
      </c>
      <c r="AA548" s="827">
        <f t="shared" ca="1" si="164"/>
        <v>0</v>
      </c>
      <c r="AB548" s="827">
        <f t="shared" ca="1" si="164"/>
        <v>0</v>
      </c>
      <c r="AC548" s="827">
        <f t="shared" ca="1" si="164"/>
        <v>0</v>
      </c>
      <c r="AD548" s="827">
        <f t="shared" ca="1" si="164"/>
        <v>0</v>
      </c>
      <c r="AE548" s="827">
        <f t="shared" ca="1" si="164"/>
        <v>0</v>
      </c>
      <c r="AF548" s="827">
        <f t="shared" ca="1" si="164"/>
        <v>0</v>
      </c>
      <c r="AG548" s="827">
        <f t="shared" ca="1" si="164"/>
        <v>0</v>
      </c>
      <c r="AH548" s="827">
        <f t="shared" ca="1" si="164"/>
        <v>0</v>
      </c>
      <c r="AI548" s="827">
        <f t="shared" ca="1" si="164"/>
        <v>0</v>
      </c>
      <c r="AJ548" s="827">
        <f t="shared" ca="1" si="164"/>
        <v>0</v>
      </c>
      <c r="AK548" s="827">
        <f t="shared" ca="1" si="164"/>
        <v>0</v>
      </c>
      <c r="AL548" s="827">
        <f t="shared" ca="1" si="164"/>
        <v>0</v>
      </c>
      <c r="AM548" s="827">
        <f t="shared" ca="1" si="164"/>
        <v>0</v>
      </c>
      <c r="AN548" s="827">
        <f t="shared" ca="1" si="164"/>
        <v>0</v>
      </c>
      <c r="AO548" s="827">
        <f t="shared" ca="1" si="164"/>
        <v>0</v>
      </c>
      <c r="AP548" s="827">
        <f t="shared" ca="1" si="164"/>
        <v>0</v>
      </c>
      <c r="AQ548" s="827">
        <f t="shared" ca="1" si="164"/>
        <v>0</v>
      </c>
      <c r="AR548" s="827">
        <f t="shared" ca="1" si="164"/>
        <v>0</v>
      </c>
      <c r="AS548" s="827">
        <f t="shared" ca="1" si="164"/>
        <v>0</v>
      </c>
      <c r="AT548" s="827">
        <f t="shared" ca="1" si="164"/>
        <v>0</v>
      </c>
      <c r="AU548" s="827">
        <f t="shared" ca="1" si="164"/>
        <v>0</v>
      </c>
      <c r="AV548" s="827">
        <f t="shared" ca="1" si="164"/>
        <v>0</v>
      </c>
      <c r="AW548" s="827">
        <f t="shared" ca="1" si="164"/>
        <v>0</v>
      </c>
      <c r="AX548" s="827">
        <f t="shared" ca="1" si="164"/>
        <v>0</v>
      </c>
    </row>
    <row r="549" spans="1:50" s="4" customFormat="1" ht="15" customHeight="1">
      <c r="A549" s="73"/>
      <c r="B549" s="821"/>
      <c r="C549" s="822"/>
      <c r="D549" s="38"/>
      <c r="E549" s="303" t="str">
        <f>Translate!$E$241</f>
        <v>FID year</v>
      </c>
      <c r="F549" s="827">
        <f ca="1" xml:space="preserve"> SUM(K549:AX549)</f>
        <v>2024</v>
      </c>
      <c r="G549" s="304" t="str">
        <f>Translate!$E$365</f>
        <v>Year</v>
      </c>
      <c r="K549" s="827">
        <f t="shared" ref="K549:AX549" ca="1" si="165" xml:space="preserve"> (K538 = 1) * K536</f>
        <v>0</v>
      </c>
      <c r="L549" s="827">
        <f t="shared" ca="1" si="165"/>
        <v>0</v>
      </c>
      <c r="M549" s="827">
        <f t="shared" ca="1" si="165"/>
        <v>0</v>
      </c>
      <c r="N549" s="827">
        <f t="shared" ca="1" si="165"/>
        <v>2024</v>
      </c>
      <c r="O549" s="827">
        <f t="shared" ca="1" si="165"/>
        <v>0</v>
      </c>
      <c r="P549" s="827">
        <f t="shared" ca="1" si="165"/>
        <v>0</v>
      </c>
      <c r="Q549" s="827">
        <f t="shared" ca="1" si="165"/>
        <v>0</v>
      </c>
      <c r="R549" s="827">
        <f t="shared" ca="1" si="165"/>
        <v>0</v>
      </c>
      <c r="S549" s="827">
        <f t="shared" ca="1" si="165"/>
        <v>0</v>
      </c>
      <c r="T549" s="827">
        <f t="shared" ca="1" si="165"/>
        <v>0</v>
      </c>
      <c r="U549" s="827">
        <f t="shared" ca="1" si="165"/>
        <v>0</v>
      </c>
      <c r="V549" s="827">
        <f t="shared" ca="1" si="165"/>
        <v>0</v>
      </c>
      <c r="W549" s="827">
        <f t="shared" ca="1" si="165"/>
        <v>0</v>
      </c>
      <c r="X549" s="827">
        <f t="shared" ca="1" si="165"/>
        <v>0</v>
      </c>
      <c r="Y549" s="827">
        <f t="shared" ca="1" si="165"/>
        <v>0</v>
      </c>
      <c r="Z549" s="827">
        <f t="shared" ca="1" si="165"/>
        <v>0</v>
      </c>
      <c r="AA549" s="827">
        <f t="shared" ca="1" si="165"/>
        <v>0</v>
      </c>
      <c r="AB549" s="827">
        <f t="shared" ca="1" si="165"/>
        <v>0</v>
      </c>
      <c r="AC549" s="827">
        <f t="shared" ca="1" si="165"/>
        <v>0</v>
      </c>
      <c r="AD549" s="827">
        <f t="shared" ca="1" si="165"/>
        <v>0</v>
      </c>
      <c r="AE549" s="827">
        <f t="shared" ca="1" si="165"/>
        <v>0</v>
      </c>
      <c r="AF549" s="827">
        <f t="shared" ca="1" si="165"/>
        <v>0</v>
      </c>
      <c r="AG549" s="827">
        <f t="shared" ca="1" si="165"/>
        <v>0</v>
      </c>
      <c r="AH549" s="827">
        <f t="shared" ca="1" si="165"/>
        <v>0</v>
      </c>
      <c r="AI549" s="827">
        <f t="shared" ca="1" si="165"/>
        <v>0</v>
      </c>
      <c r="AJ549" s="827">
        <f t="shared" ca="1" si="165"/>
        <v>0</v>
      </c>
      <c r="AK549" s="827">
        <f t="shared" ca="1" si="165"/>
        <v>0</v>
      </c>
      <c r="AL549" s="827">
        <f t="shared" ca="1" si="165"/>
        <v>0</v>
      </c>
      <c r="AM549" s="827">
        <f t="shared" ca="1" si="165"/>
        <v>0</v>
      </c>
      <c r="AN549" s="827">
        <f t="shared" ca="1" si="165"/>
        <v>0</v>
      </c>
      <c r="AO549" s="827">
        <f t="shared" ca="1" si="165"/>
        <v>0</v>
      </c>
      <c r="AP549" s="827">
        <f t="shared" ca="1" si="165"/>
        <v>0</v>
      </c>
      <c r="AQ549" s="827">
        <f t="shared" ca="1" si="165"/>
        <v>0</v>
      </c>
      <c r="AR549" s="827">
        <f t="shared" ca="1" si="165"/>
        <v>0</v>
      </c>
      <c r="AS549" s="827">
        <f t="shared" ca="1" si="165"/>
        <v>0</v>
      </c>
      <c r="AT549" s="827">
        <f t="shared" ca="1" si="165"/>
        <v>0</v>
      </c>
      <c r="AU549" s="827">
        <f t="shared" ca="1" si="165"/>
        <v>0</v>
      </c>
      <c r="AV549" s="827">
        <f t="shared" ca="1" si="165"/>
        <v>0</v>
      </c>
      <c r="AW549" s="827">
        <f t="shared" ca="1" si="165"/>
        <v>0</v>
      </c>
      <c r="AX549" s="827">
        <f t="shared" ca="1" si="165"/>
        <v>0</v>
      </c>
    </row>
    <row r="550" spans="1:50" s="304" customFormat="1" ht="15" customHeight="1">
      <c r="A550" s="307"/>
      <c r="B550" s="821"/>
      <c r="C550" s="825"/>
      <c r="D550" s="826"/>
      <c r="E550" s="303" t="str">
        <f>Translate!$E$242</f>
        <v>Production start year</v>
      </c>
      <c r="F550" s="827">
        <f ca="1" xml:space="preserve"> SUM(K550:AX550)</f>
        <v>2025</v>
      </c>
      <c r="G550" s="304" t="str">
        <f>Translate!$E$365</f>
        <v>Year</v>
      </c>
      <c r="K550" s="827">
        <f t="shared" ref="K550:AX550" ca="1" si="166" xml:space="preserve"> (K539 = 1) * K536</f>
        <v>0</v>
      </c>
      <c r="L550" s="827">
        <f t="shared" ca="1" si="166"/>
        <v>0</v>
      </c>
      <c r="M550" s="827">
        <f t="shared" ca="1" si="166"/>
        <v>0</v>
      </c>
      <c r="N550" s="827">
        <f t="shared" ca="1" si="166"/>
        <v>0</v>
      </c>
      <c r="O550" s="827">
        <f t="shared" ca="1" si="166"/>
        <v>2025</v>
      </c>
      <c r="P550" s="827">
        <f t="shared" ca="1" si="166"/>
        <v>0</v>
      </c>
      <c r="Q550" s="827">
        <f t="shared" ca="1" si="166"/>
        <v>0</v>
      </c>
      <c r="R550" s="827">
        <f t="shared" ca="1" si="166"/>
        <v>0</v>
      </c>
      <c r="S550" s="827">
        <f t="shared" ca="1" si="166"/>
        <v>0</v>
      </c>
      <c r="T550" s="827">
        <f t="shared" ca="1" si="166"/>
        <v>0</v>
      </c>
      <c r="U550" s="827">
        <f t="shared" ca="1" si="166"/>
        <v>0</v>
      </c>
      <c r="V550" s="827">
        <f t="shared" ca="1" si="166"/>
        <v>0</v>
      </c>
      <c r="W550" s="827">
        <f t="shared" ca="1" si="166"/>
        <v>0</v>
      </c>
      <c r="X550" s="827">
        <f t="shared" ca="1" si="166"/>
        <v>0</v>
      </c>
      <c r="Y550" s="827">
        <f t="shared" ca="1" si="166"/>
        <v>0</v>
      </c>
      <c r="Z550" s="827">
        <f t="shared" ca="1" si="166"/>
        <v>0</v>
      </c>
      <c r="AA550" s="827">
        <f t="shared" ca="1" si="166"/>
        <v>0</v>
      </c>
      <c r="AB550" s="827">
        <f t="shared" ca="1" si="166"/>
        <v>0</v>
      </c>
      <c r="AC550" s="827">
        <f t="shared" ca="1" si="166"/>
        <v>0</v>
      </c>
      <c r="AD550" s="827">
        <f t="shared" ca="1" si="166"/>
        <v>0</v>
      </c>
      <c r="AE550" s="827">
        <f t="shared" ca="1" si="166"/>
        <v>0</v>
      </c>
      <c r="AF550" s="827">
        <f t="shared" ca="1" si="166"/>
        <v>0</v>
      </c>
      <c r="AG550" s="827">
        <f t="shared" ca="1" si="166"/>
        <v>0</v>
      </c>
      <c r="AH550" s="827">
        <f t="shared" ca="1" si="166"/>
        <v>0</v>
      </c>
      <c r="AI550" s="827">
        <f t="shared" ca="1" si="166"/>
        <v>0</v>
      </c>
      <c r="AJ550" s="827">
        <f t="shared" ca="1" si="166"/>
        <v>0</v>
      </c>
      <c r="AK550" s="827">
        <f t="shared" ca="1" si="166"/>
        <v>0</v>
      </c>
      <c r="AL550" s="827">
        <f t="shared" ca="1" si="166"/>
        <v>0</v>
      </c>
      <c r="AM550" s="827">
        <f t="shared" ca="1" si="166"/>
        <v>0</v>
      </c>
      <c r="AN550" s="827">
        <f t="shared" ca="1" si="166"/>
        <v>0</v>
      </c>
      <c r="AO550" s="827">
        <f t="shared" ca="1" si="166"/>
        <v>0</v>
      </c>
      <c r="AP550" s="827">
        <f t="shared" ca="1" si="166"/>
        <v>0</v>
      </c>
      <c r="AQ550" s="827">
        <f t="shared" ca="1" si="166"/>
        <v>0</v>
      </c>
      <c r="AR550" s="827">
        <f t="shared" ca="1" si="166"/>
        <v>0</v>
      </c>
      <c r="AS550" s="827">
        <f t="shared" ca="1" si="166"/>
        <v>0</v>
      </c>
      <c r="AT550" s="827">
        <f t="shared" ca="1" si="166"/>
        <v>0</v>
      </c>
      <c r="AU550" s="827">
        <f t="shared" ca="1" si="166"/>
        <v>0</v>
      </c>
      <c r="AV550" s="827">
        <f t="shared" ca="1" si="166"/>
        <v>0</v>
      </c>
      <c r="AW550" s="827">
        <f t="shared" ca="1" si="166"/>
        <v>0</v>
      </c>
      <c r="AX550" s="827">
        <f t="shared" ca="1" si="166"/>
        <v>0</v>
      </c>
    </row>
    <row r="551" spans="1:50" s="4" customFormat="1" ht="15" customHeight="1">
      <c r="A551" s="73"/>
      <c r="B551" s="821"/>
      <c r="C551" s="822"/>
      <c r="D551" s="38"/>
      <c r="E551" s="107"/>
      <c r="F551" s="38"/>
    </row>
    <row r="552" spans="1:50" s="4" customFormat="1" ht="15" customHeight="1">
      <c r="A552" s="73"/>
      <c r="B552" s="821"/>
      <c r="C552" s="822" t="str">
        <f>Translate!$E$115</f>
        <v>VAT applicable flag</v>
      </c>
      <c r="D552" s="38"/>
      <c r="E552" s="107"/>
      <c r="F552" s="38"/>
    </row>
    <row r="553" spans="1:50" s="304" customFormat="1" ht="15" customHeight="1">
      <c r="A553" s="307"/>
      <c r="B553" s="821"/>
      <c r="C553" s="825"/>
      <c r="D553" s="826"/>
      <c r="E553" s="303" t="str">
        <f xml:space="preserve"> Translate!$E$165 &amp; ": " &amp; F541</f>
        <v>VAT applicable from: 0</v>
      </c>
      <c r="F553" s="827" t="e" cm="1">
        <f t="array" ref="F553" xml:space="preserve"> INDEX(F548:F550, F545)</f>
        <v>#N/A</v>
      </c>
      <c r="G553" s="304" t="str">
        <f>Translate!$E$586</f>
        <v>Flag</v>
      </c>
      <c r="K553" s="304">
        <f t="shared" ref="K553:AX553" si="167" xml:space="preserve"> IFERROR((K536 &gt;= $F553) * 1, 0)</f>
        <v>0</v>
      </c>
      <c r="L553" s="304">
        <f t="shared" si="167"/>
        <v>0</v>
      </c>
      <c r="M553" s="304">
        <f t="shared" si="167"/>
        <v>0</v>
      </c>
      <c r="N553" s="304">
        <f t="shared" si="167"/>
        <v>0</v>
      </c>
      <c r="O553" s="304">
        <f t="shared" si="167"/>
        <v>0</v>
      </c>
      <c r="P553" s="304">
        <f t="shared" si="167"/>
        <v>0</v>
      </c>
      <c r="Q553" s="304">
        <f t="shared" si="167"/>
        <v>0</v>
      </c>
      <c r="R553" s="304">
        <f t="shared" si="167"/>
        <v>0</v>
      </c>
      <c r="S553" s="304">
        <f t="shared" si="167"/>
        <v>0</v>
      </c>
      <c r="T553" s="304">
        <f t="shared" si="167"/>
        <v>0</v>
      </c>
      <c r="U553" s="304">
        <f t="shared" si="167"/>
        <v>0</v>
      </c>
      <c r="V553" s="304">
        <f t="shared" si="167"/>
        <v>0</v>
      </c>
      <c r="W553" s="304">
        <f t="shared" si="167"/>
        <v>0</v>
      </c>
      <c r="X553" s="304">
        <f t="shared" si="167"/>
        <v>0</v>
      </c>
      <c r="Y553" s="304">
        <f t="shared" si="167"/>
        <v>0</v>
      </c>
      <c r="Z553" s="304">
        <f t="shared" si="167"/>
        <v>0</v>
      </c>
      <c r="AA553" s="304">
        <f t="shared" si="167"/>
        <v>0</v>
      </c>
      <c r="AB553" s="304">
        <f t="shared" si="167"/>
        <v>0</v>
      </c>
      <c r="AC553" s="304">
        <f t="shared" si="167"/>
        <v>0</v>
      </c>
      <c r="AD553" s="304">
        <f t="shared" si="167"/>
        <v>0</v>
      </c>
      <c r="AE553" s="304">
        <f t="shared" si="167"/>
        <v>0</v>
      </c>
      <c r="AF553" s="304">
        <f t="shared" si="167"/>
        <v>0</v>
      </c>
      <c r="AG553" s="304">
        <f t="shared" si="167"/>
        <v>0</v>
      </c>
      <c r="AH553" s="304">
        <f t="shared" si="167"/>
        <v>0</v>
      </c>
      <c r="AI553" s="304">
        <f t="shared" si="167"/>
        <v>0</v>
      </c>
      <c r="AJ553" s="304">
        <f t="shared" si="167"/>
        <v>0</v>
      </c>
      <c r="AK553" s="304">
        <f t="shared" si="167"/>
        <v>0</v>
      </c>
      <c r="AL553" s="304">
        <f t="shared" si="167"/>
        <v>0</v>
      </c>
      <c r="AM553" s="304">
        <f t="shared" si="167"/>
        <v>0</v>
      </c>
      <c r="AN553" s="304">
        <f t="shared" si="167"/>
        <v>0</v>
      </c>
      <c r="AO553" s="304">
        <f t="shared" si="167"/>
        <v>0</v>
      </c>
      <c r="AP553" s="304">
        <f t="shared" si="167"/>
        <v>0</v>
      </c>
      <c r="AQ553" s="304">
        <f t="shared" si="167"/>
        <v>0</v>
      </c>
      <c r="AR553" s="304">
        <f t="shared" si="167"/>
        <v>0</v>
      </c>
      <c r="AS553" s="304">
        <f t="shared" si="167"/>
        <v>0</v>
      </c>
      <c r="AT553" s="304">
        <f t="shared" si="167"/>
        <v>0</v>
      </c>
      <c r="AU553" s="304">
        <f t="shared" si="167"/>
        <v>0</v>
      </c>
      <c r="AV553" s="304">
        <f t="shared" si="167"/>
        <v>0</v>
      </c>
      <c r="AW553" s="304">
        <f t="shared" si="167"/>
        <v>0</v>
      </c>
      <c r="AX553" s="304">
        <f t="shared" si="167"/>
        <v>0</v>
      </c>
    </row>
    <row r="554" spans="1:50" s="4" customFormat="1" ht="15" customHeight="1">
      <c r="A554" s="73"/>
      <c r="B554" s="821"/>
      <c r="C554" s="822"/>
      <c r="D554" s="38"/>
      <c r="E554" s="107"/>
      <c r="F554" s="38"/>
    </row>
    <row r="555" spans="1:50" s="4" customFormat="1" ht="15" customHeight="1">
      <c r="A555" s="73"/>
      <c r="B555" s="821" t="str">
        <f>Translate!$E$379</f>
        <v>Project costs</v>
      </c>
      <c r="C555" s="822"/>
      <c r="D555" s="38"/>
      <c r="F555" s="38"/>
    </row>
    <row r="556" spans="1:50" s="34" customFormat="1" ht="15" customHeight="1">
      <c r="A556" s="106"/>
      <c r="B556" s="828"/>
      <c r="C556" s="829"/>
      <c r="D556" s="830"/>
      <c r="E556" s="107" t="str">
        <f xml:space="preserve"> ProjectCashflows!E$238</f>
        <v>Exploration costs, after ELT</v>
      </c>
      <c r="F556" s="107">
        <f xml:space="preserve"> ProjectCashflows!F$238</f>
        <v>0</v>
      </c>
      <c r="G556" s="107" t="str">
        <f xml:space="preserve"> ProjectCashflows!G$238</f>
        <v>US$ mn</v>
      </c>
      <c r="H556" s="107">
        <f xml:space="preserve"> ProjectCashflows!H$238</f>
        <v>0</v>
      </c>
      <c r="I556" s="107">
        <f ca="1" xml:space="preserve"> ProjectCashflows!I$238</f>
        <v>30.603999999999999</v>
      </c>
      <c r="J556" s="107">
        <f xml:space="preserve"> ProjectCashflows!J$238</f>
        <v>0</v>
      </c>
      <c r="K556" s="107">
        <f ca="1" xml:space="preserve"> ProjectCashflows!K$238</f>
        <v>10</v>
      </c>
      <c r="L556" s="107">
        <f ca="1" xml:space="preserve"> ProjectCashflows!L$238</f>
        <v>10.199999999999999</v>
      </c>
      <c r="M556" s="107">
        <f ca="1" xml:space="preserve"> ProjectCashflows!M$238</f>
        <v>10.404</v>
      </c>
      <c r="N556" s="107">
        <f ca="1" xml:space="preserve"> ProjectCashflows!N$238</f>
        <v>0</v>
      </c>
      <c r="O556" s="107">
        <f ca="1" xml:space="preserve"> ProjectCashflows!O$238</f>
        <v>0</v>
      </c>
      <c r="P556" s="107">
        <f ca="1" xml:space="preserve"> ProjectCashflows!P$238</f>
        <v>0</v>
      </c>
      <c r="Q556" s="107">
        <f ca="1" xml:space="preserve"> ProjectCashflows!Q$238</f>
        <v>0</v>
      </c>
      <c r="R556" s="107">
        <f ca="1" xml:space="preserve"> ProjectCashflows!R$238</f>
        <v>0</v>
      </c>
      <c r="S556" s="107">
        <f ca="1" xml:space="preserve"> ProjectCashflows!S$238</f>
        <v>0</v>
      </c>
      <c r="T556" s="107">
        <f ca="1" xml:space="preserve"> ProjectCashflows!T$238</f>
        <v>0</v>
      </c>
      <c r="U556" s="107">
        <f ca="1" xml:space="preserve"> ProjectCashflows!U$238</f>
        <v>0</v>
      </c>
      <c r="V556" s="107">
        <f ca="1" xml:space="preserve"> ProjectCashflows!V$238</f>
        <v>0</v>
      </c>
      <c r="W556" s="107">
        <f ca="1" xml:space="preserve"> ProjectCashflows!W$238</f>
        <v>0</v>
      </c>
      <c r="X556" s="107">
        <f ca="1" xml:space="preserve"> ProjectCashflows!X$238</f>
        <v>0</v>
      </c>
      <c r="Y556" s="107">
        <f ca="1" xml:space="preserve"> ProjectCashflows!Y$238</f>
        <v>0</v>
      </c>
      <c r="Z556" s="107">
        <f ca="1" xml:space="preserve"> ProjectCashflows!Z$238</f>
        <v>0</v>
      </c>
      <c r="AA556" s="107">
        <f ca="1" xml:space="preserve"> ProjectCashflows!AA$238</f>
        <v>0</v>
      </c>
      <c r="AB556" s="107">
        <f ca="1" xml:space="preserve"> ProjectCashflows!AB$238</f>
        <v>0</v>
      </c>
      <c r="AC556" s="107">
        <f ca="1" xml:space="preserve"> ProjectCashflows!AC$238</f>
        <v>0</v>
      </c>
      <c r="AD556" s="107">
        <f ca="1" xml:space="preserve"> ProjectCashflows!AD$238</f>
        <v>0</v>
      </c>
      <c r="AE556" s="107">
        <f ca="1" xml:space="preserve"> ProjectCashflows!AE$238</f>
        <v>0</v>
      </c>
      <c r="AF556" s="107">
        <f ca="1" xml:space="preserve"> ProjectCashflows!AF$238</f>
        <v>0</v>
      </c>
      <c r="AG556" s="107">
        <f ca="1" xml:space="preserve"> ProjectCashflows!AG$238</f>
        <v>0</v>
      </c>
      <c r="AH556" s="107">
        <f ca="1" xml:space="preserve"> ProjectCashflows!AH$238</f>
        <v>0</v>
      </c>
      <c r="AI556" s="107">
        <f ca="1" xml:space="preserve"> ProjectCashflows!AI$238</f>
        <v>0</v>
      </c>
      <c r="AJ556" s="107">
        <f ca="1" xml:space="preserve"> ProjectCashflows!AJ$238</f>
        <v>0</v>
      </c>
      <c r="AK556" s="107">
        <f ca="1" xml:space="preserve"> ProjectCashflows!AK$238</f>
        <v>0</v>
      </c>
      <c r="AL556" s="107">
        <f ca="1" xml:space="preserve"> ProjectCashflows!AL$238</f>
        <v>0</v>
      </c>
      <c r="AM556" s="107">
        <f ca="1" xml:space="preserve"> ProjectCashflows!AM$238</f>
        <v>0</v>
      </c>
      <c r="AN556" s="107">
        <f ca="1" xml:space="preserve"> ProjectCashflows!AN$238</f>
        <v>0</v>
      </c>
      <c r="AO556" s="107">
        <f ca="1" xml:space="preserve"> ProjectCashflows!AO$238</f>
        <v>0</v>
      </c>
      <c r="AP556" s="107">
        <f ca="1" xml:space="preserve"> ProjectCashflows!AP$238</f>
        <v>0</v>
      </c>
      <c r="AQ556" s="107">
        <f ca="1" xml:space="preserve"> ProjectCashflows!AQ$238</f>
        <v>0</v>
      </c>
      <c r="AR556" s="107">
        <f ca="1" xml:space="preserve"> ProjectCashflows!AR$238</f>
        <v>0</v>
      </c>
      <c r="AS556" s="107">
        <f ca="1" xml:space="preserve"> ProjectCashflows!AS$238</f>
        <v>0</v>
      </c>
      <c r="AT556" s="107">
        <f ca="1" xml:space="preserve"> ProjectCashflows!AT$238</f>
        <v>0</v>
      </c>
      <c r="AU556" s="107">
        <f ca="1" xml:space="preserve"> ProjectCashflows!AU$238</f>
        <v>0</v>
      </c>
      <c r="AV556" s="107">
        <f ca="1" xml:space="preserve"> ProjectCashflows!AV$238</f>
        <v>0</v>
      </c>
      <c r="AW556" s="107">
        <f ca="1" xml:space="preserve"> ProjectCashflows!AW$238</f>
        <v>0</v>
      </c>
      <c r="AX556" s="107">
        <f ca="1" xml:space="preserve"> ProjectCashflows!AX$238</f>
        <v>0</v>
      </c>
    </row>
    <row r="557" spans="1:50" s="34" customFormat="1" ht="15" customHeight="1">
      <c r="A557" s="106"/>
      <c r="B557" s="828"/>
      <c r="C557" s="829"/>
      <c r="D557" s="830"/>
      <c r="E557" s="107" t="str">
        <f xml:space="preserve"> ProjectCashflows!E$239</f>
        <v>Development costs, after ELT</v>
      </c>
      <c r="F557" s="107">
        <f xml:space="preserve"> ProjectCashflows!F$239</f>
        <v>0</v>
      </c>
      <c r="G557" s="107" t="str">
        <f xml:space="preserve"> ProjectCashflows!G$239</f>
        <v>US$ mn</v>
      </c>
      <c r="H557" s="107">
        <f xml:space="preserve"> ProjectCashflows!H$239</f>
        <v>0</v>
      </c>
      <c r="I557" s="107">
        <f ca="1" xml:space="preserve"> ProjectCashflows!I$239</f>
        <v>434.07652032000004</v>
      </c>
      <c r="J557" s="107">
        <f xml:space="preserve"> ProjectCashflows!J$239</f>
        <v>0</v>
      </c>
      <c r="K557" s="107">
        <f ca="1" xml:space="preserve"> ProjectCashflows!K$239</f>
        <v>0</v>
      </c>
      <c r="L557" s="107">
        <f ca="1" xml:space="preserve"> ProjectCashflows!L$239</f>
        <v>0</v>
      </c>
      <c r="M557" s="107">
        <f ca="1" xml:space="preserve"> ProjectCashflows!M$239</f>
        <v>0</v>
      </c>
      <c r="N557" s="107">
        <f ca="1" xml:space="preserve"> ProjectCashflows!N$239</f>
        <v>53.060399999999994</v>
      </c>
      <c r="O557" s="107">
        <f ca="1" xml:space="preserve"> ProjectCashflows!O$239</f>
        <v>270.60804000000002</v>
      </c>
      <c r="P557" s="107">
        <f ca="1" xml:space="preserve"> ProjectCashflows!P$239</f>
        <v>110.40808032</v>
      </c>
      <c r="Q557" s="107">
        <f ca="1" xml:space="preserve"> ProjectCashflows!Q$239</f>
        <v>0</v>
      </c>
      <c r="R557" s="107">
        <f ca="1" xml:space="preserve"> ProjectCashflows!R$239</f>
        <v>0</v>
      </c>
      <c r="S557" s="107">
        <f ca="1" xml:space="preserve"> ProjectCashflows!S$239</f>
        <v>0</v>
      </c>
      <c r="T557" s="107">
        <f ca="1" xml:space="preserve"> ProjectCashflows!T$239</f>
        <v>0</v>
      </c>
      <c r="U557" s="107">
        <f ca="1" xml:space="preserve"> ProjectCashflows!U$239</f>
        <v>0</v>
      </c>
      <c r="V557" s="107">
        <f ca="1" xml:space="preserve"> ProjectCashflows!V$239</f>
        <v>0</v>
      </c>
      <c r="W557" s="107">
        <f ca="1" xml:space="preserve"> ProjectCashflows!W$239</f>
        <v>0</v>
      </c>
      <c r="X557" s="107">
        <f ca="1" xml:space="preserve"> ProjectCashflows!X$239</f>
        <v>0</v>
      </c>
      <c r="Y557" s="107">
        <f ca="1" xml:space="preserve"> ProjectCashflows!Y$239</f>
        <v>0</v>
      </c>
      <c r="Z557" s="107">
        <f ca="1" xml:space="preserve"> ProjectCashflows!Z$239</f>
        <v>0</v>
      </c>
      <c r="AA557" s="107">
        <f ca="1" xml:space="preserve"> ProjectCashflows!AA$239</f>
        <v>0</v>
      </c>
      <c r="AB557" s="107">
        <f ca="1" xml:space="preserve"> ProjectCashflows!AB$239</f>
        <v>0</v>
      </c>
      <c r="AC557" s="107">
        <f ca="1" xml:space="preserve"> ProjectCashflows!AC$239</f>
        <v>0</v>
      </c>
      <c r="AD557" s="107">
        <f ca="1" xml:space="preserve"> ProjectCashflows!AD$239</f>
        <v>0</v>
      </c>
      <c r="AE557" s="107">
        <f ca="1" xml:space="preserve"> ProjectCashflows!AE$239</f>
        <v>0</v>
      </c>
      <c r="AF557" s="107">
        <f ca="1" xml:space="preserve"> ProjectCashflows!AF$239</f>
        <v>0</v>
      </c>
      <c r="AG557" s="107">
        <f ca="1" xml:space="preserve"> ProjectCashflows!AG$239</f>
        <v>0</v>
      </c>
      <c r="AH557" s="107">
        <f ca="1" xml:space="preserve"> ProjectCashflows!AH$239</f>
        <v>0</v>
      </c>
      <c r="AI557" s="107">
        <f ca="1" xml:space="preserve"> ProjectCashflows!AI$239</f>
        <v>0</v>
      </c>
      <c r="AJ557" s="107">
        <f ca="1" xml:space="preserve"> ProjectCashflows!AJ$239</f>
        <v>0</v>
      </c>
      <c r="AK557" s="107">
        <f ca="1" xml:space="preserve"> ProjectCashflows!AK$239</f>
        <v>0</v>
      </c>
      <c r="AL557" s="107">
        <f ca="1" xml:space="preserve"> ProjectCashflows!AL$239</f>
        <v>0</v>
      </c>
      <c r="AM557" s="107">
        <f ca="1" xml:space="preserve"> ProjectCashflows!AM$239</f>
        <v>0</v>
      </c>
      <c r="AN557" s="107">
        <f ca="1" xml:space="preserve"> ProjectCashflows!AN$239</f>
        <v>0</v>
      </c>
      <c r="AO557" s="107">
        <f ca="1" xml:space="preserve"> ProjectCashflows!AO$239</f>
        <v>0</v>
      </c>
      <c r="AP557" s="107">
        <f ca="1" xml:space="preserve"> ProjectCashflows!AP$239</f>
        <v>0</v>
      </c>
      <c r="AQ557" s="107">
        <f ca="1" xml:space="preserve"> ProjectCashflows!AQ$239</f>
        <v>0</v>
      </c>
      <c r="AR557" s="107">
        <f ca="1" xml:space="preserve"> ProjectCashflows!AR$239</f>
        <v>0</v>
      </c>
      <c r="AS557" s="107">
        <f ca="1" xml:space="preserve"> ProjectCashflows!AS$239</f>
        <v>0</v>
      </c>
      <c r="AT557" s="107">
        <f ca="1" xml:space="preserve"> ProjectCashflows!AT$239</f>
        <v>0</v>
      </c>
      <c r="AU557" s="107">
        <f ca="1" xml:space="preserve"> ProjectCashflows!AU$239</f>
        <v>0</v>
      </c>
      <c r="AV557" s="107">
        <f ca="1" xml:space="preserve"> ProjectCashflows!AV$239</f>
        <v>0</v>
      </c>
      <c r="AW557" s="107">
        <f ca="1" xml:space="preserve"> ProjectCashflows!AW$239</f>
        <v>0</v>
      </c>
      <c r="AX557" s="107">
        <f ca="1" xml:space="preserve"> ProjectCashflows!AX$239</f>
        <v>0</v>
      </c>
    </row>
    <row r="558" spans="1:50" s="34" customFormat="1" ht="15" customHeight="1">
      <c r="A558" s="106"/>
      <c r="B558" s="828"/>
      <c r="C558" s="829"/>
      <c r="D558" s="830"/>
      <c r="E558" s="107" t="str">
        <f xml:space="preserve"> ProjectCashflows!E$240</f>
        <v>Replacement capital costs, after ELT</v>
      </c>
      <c r="F558" s="107">
        <f xml:space="preserve"> ProjectCashflows!F$240</f>
        <v>0</v>
      </c>
      <c r="G558" s="107" t="str">
        <f xml:space="preserve"> ProjectCashflows!G$240</f>
        <v>US$ mn</v>
      </c>
      <c r="H558" s="107">
        <f xml:space="preserve"> ProjectCashflows!H$240</f>
        <v>0</v>
      </c>
      <c r="I558" s="107">
        <f ca="1" xml:space="preserve"> ProjectCashflows!I$240</f>
        <v>118.46424639696978</v>
      </c>
      <c r="J558" s="107">
        <f xml:space="preserve"> ProjectCashflows!J$240</f>
        <v>0</v>
      </c>
      <c r="K558" s="107">
        <f ca="1" xml:space="preserve"> ProjectCashflows!K$240</f>
        <v>0</v>
      </c>
      <c r="L558" s="107">
        <f ca="1" xml:space="preserve"> ProjectCashflows!L$240</f>
        <v>0</v>
      </c>
      <c r="M558" s="107">
        <f ca="1" xml:space="preserve"> ProjectCashflows!M$240</f>
        <v>0</v>
      </c>
      <c r="N558" s="107">
        <f ca="1" xml:space="preserve"> ProjectCashflows!N$240</f>
        <v>0</v>
      </c>
      <c r="O558" s="107">
        <f ca="1" xml:space="preserve"> ProjectCashflows!O$240</f>
        <v>0</v>
      </c>
      <c r="P558" s="107">
        <f ca="1" xml:space="preserve"> ProjectCashflows!P$240</f>
        <v>8.8326464256000001</v>
      </c>
      <c r="Q558" s="107">
        <f ca="1" xml:space="preserve"> ProjectCashflows!Q$240</f>
        <v>9.0092993541120006</v>
      </c>
      <c r="R558" s="107">
        <f ca="1" xml:space="preserve"> ProjectCashflows!R$240</f>
        <v>9.1894853411942403</v>
      </c>
      <c r="S558" s="107">
        <f ca="1" xml:space="preserve"> ProjectCashflows!S$240</f>
        <v>9.3732750480181259</v>
      </c>
      <c r="T558" s="107">
        <f ca="1" xml:space="preserve"> ProjectCashflows!T$240</f>
        <v>9.5607405489784885</v>
      </c>
      <c r="U558" s="107">
        <f ca="1" xml:space="preserve"> ProjectCashflows!U$240</f>
        <v>9.7519553599580586</v>
      </c>
      <c r="V558" s="107">
        <f ca="1" xml:space="preserve"> ProjectCashflows!V$240</f>
        <v>9.9469944671572197</v>
      </c>
      <c r="W558" s="107">
        <f ca="1" xml:space="preserve"> ProjectCashflows!W$240</f>
        <v>10.145934356500364</v>
      </c>
      <c r="X558" s="107">
        <f ca="1" xml:space="preserve"> ProjectCashflows!X$240</f>
        <v>10.348853043630371</v>
      </c>
      <c r="Y558" s="107">
        <f ca="1" xml:space="preserve"> ProjectCashflows!Y$240</f>
        <v>10.555830104502979</v>
      </c>
      <c r="Z558" s="107">
        <f ca="1" xml:space="preserve"> ProjectCashflows!Z$240</f>
        <v>10.766946706593039</v>
      </c>
      <c r="AA558" s="107">
        <f ca="1" xml:space="preserve"> ProjectCashflows!AA$240</f>
        <v>10.9822856407249</v>
      </c>
      <c r="AB558" s="107">
        <f ca="1" xml:space="preserve"> ProjectCashflows!AB$240</f>
        <v>0</v>
      </c>
      <c r="AC558" s="107">
        <f ca="1" xml:space="preserve"> ProjectCashflows!AC$240</f>
        <v>0</v>
      </c>
      <c r="AD558" s="107">
        <f ca="1" xml:space="preserve"> ProjectCashflows!AD$240</f>
        <v>0</v>
      </c>
      <c r="AE558" s="107">
        <f ca="1" xml:space="preserve"> ProjectCashflows!AE$240</f>
        <v>0</v>
      </c>
      <c r="AF558" s="107">
        <f ca="1" xml:space="preserve"> ProjectCashflows!AF$240</f>
        <v>0</v>
      </c>
      <c r="AG558" s="107">
        <f ca="1" xml:space="preserve"> ProjectCashflows!AG$240</f>
        <v>0</v>
      </c>
      <c r="AH558" s="107">
        <f ca="1" xml:space="preserve"> ProjectCashflows!AH$240</f>
        <v>0</v>
      </c>
      <c r="AI558" s="107">
        <f ca="1" xml:space="preserve"> ProjectCashflows!AI$240</f>
        <v>0</v>
      </c>
      <c r="AJ558" s="107">
        <f ca="1" xml:space="preserve"> ProjectCashflows!AJ$240</f>
        <v>0</v>
      </c>
      <c r="AK558" s="107">
        <f ca="1" xml:space="preserve"> ProjectCashflows!AK$240</f>
        <v>0</v>
      </c>
      <c r="AL558" s="107">
        <f ca="1" xml:space="preserve"> ProjectCashflows!AL$240</f>
        <v>0</v>
      </c>
      <c r="AM558" s="107">
        <f ca="1" xml:space="preserve"> ProjectCashflows!AM$240</f>
        <v>0</v>
      </c>
      <c r="AN558" s="107">
        <f ca="1" xml:space="preserve"> ProjectCashflows!AN$240</f>
        <v>0</v>
      </c>
      <c r="AO558" s="107">
        <f ca="1" xml:space="preserve"> ProjectCashflows!AO$240</f>
        <v>0</v>
      </c>
      <c r="AP558" s="107">
        <f ca="1" xml:space="preserve"> ProjectCashflows!AP$240</f>
        <v>0</v>
      </c>
      <c r="AQ558" s="107">
        <f ca="1" xml:space="preserve"> ProjectCashflows!AQ$240</f>
        <v>0</v>
      </c>
      <c r="AR558" s="107">
        <f ca="1" xml:space="preserve"> ProjectCashflows!AR$240</f>
        <v>0</v>
      </c>
      <c r="AS558" s="107">
        <f ca="1" xml:space="preserve"> ProjectCashflows!AS$240</f>
        <v>0</v>
      </c>
      <c r="AT558" s="107">
        <f ca="1" xml:space="preserve"> ProjectCashflows!AT$240</f>
        <v>0</v>
      </c>
      <c r="AU558" s="107">
        <f ca="1" xml:space="preserve"> ProjectCashflows!AU$240</f>
        <v>0</v>
      </c>
      <c r="AV558" s="107">
        <f ca="1" xml:space="preserve"> ProjectCashflows!AV$240</f>
        <v>0</v>
      </c>
      <c r="AW558" s="107">
        <f ca="1" xml:space="preserve"> ProjectCashflows!AW$240</f>
        <v>0</v>
      </c>
      <c r="AX558" s="107">
        <f ca="1" xml:space="preserve"> ProjectCashflows!AX$240</f>
        <v>0</v>
      </c>
    </row>
    <row r="559" spans="1:50" s="34" customFormat="1" ht="15" customHeight="1">
      <c r="A559" s="106"/>
      <c r="B559" s="828"/>
      <c r="C559" s="829"/>
      <c r="D559" s="830"/>
      <c r="E559" s="107" t="str">
        <f xml:space="preserve"> ProjectCashflows!E$241</f>
        <v>Operating costs, after ELT</v>
      </c>
      <c r="F559" s="107">
        <f xml:space="preserve"> ProjectCashflows!F$241</f>
        <v>0</v>
      </c>
      <c r="G559" s="107" t="str">
        <f xml:space="preserve"> ProjectCashflows!G$241</f>
        <v>US$ mn</v>
      </c>
      <c r="H559" s="107">
        <f xml:space="preserve"> ProjectCashflows!H$241</f>
        <v>0</v>
      </c>
      <c r="I559" s="107">
        <f ca="1" xml:space="preserve"> ProjectCashflows!I$241</f>
        <v>1138.9661753294727</v>
      </c>
      <c r="J559" s="107">
        <f xml:space="preserve"> ProjectCashflows!J$241</f>
        <v>0</v>
      </c>
      <c r="K559" s="107">
        <f ca="1" xml:space="preserve"> ProjectCashflows!K$241</f>
        <v>0</v>
      </c>
      <c r="L559" s="107">
        <f ca="1" xml:space="preserve"> ProjectCashflows!L$241</f>
        <v>0</v>
      </c>
      <c r="M559" s="107">
        <f ca="1" xml:space="preserve"> ProjectCashflows!M$241</f>
        <v>0</v>
      </c>
      <c r="N559" s="107">
        <f ca="1" xml:space="preserve"> ProjectCashflows!N$241</f>
        <v>0</v>
      </c>
      <c r="O559" s="107">
        <f ca="1" xml:space="preserve"> ProjectCashflows!O$241</f>
        <v>4.8709447199999998</v>
      </c>
      <c r="P559" s="107">
        <f ca="1" xml:space="preserve"> ProjectCashflows!P$241</f>
        <v>37.262727108</v>
      </c>
      <c r="Q559" s="107">
        <f ca="1" xml:space="preserve"> ProjectCashflows!Q$241</f>
        <v>76.01596330032001</v>
      </c>
      <c r="R559" s="107">
        <f ca="1" xml:space="preserve"> ProjectCashflows!R$241</f>
        <v>77.536282566326406</v>
      </c>
      <c r="S559" s="107">
        <f ca="1" xml:space="preserve"> ProjectCashflows!S$241</f>
        <v>79.087008217652937</v>
      </c>
      <c r="T559" s="107">
        <f ca="1" xml:space="preserve"> ProjectCashflows!T$241</f>
        <v>80.668748382006001</v>
      </c>
      <c r="U559" s="107">
        <f ca="1" xml:space="preserve"> ProjectCashflows!U$241</f>
        <v>82.282123349646113</v>
      </c>
      <c r="V559" s="107">
        <f ca="1" xml:space="preserve"> ProjectCashflows!V$241</f>
        <v>83.927765816639038</v>
      </c>
      <c r="W559" s="107">
        <f ca="1" xml:space="preserve"> ProjectCashflows!W$241</f>
        <v>85.606321132971814</v>
      </c>
      <c r="X559" s="107">
        <f ca="1" xml:space="preserve"> ProjectCashflows!X$241</f>
        <v>87.318447555631252</v>
      </c>
      <c r="Y559" s="107">
        <f ca="1" xml:space="preserve"> ProjectCashflows!Y$241</f>
        <v>89.064816506743881</v>
      </c>
      <c r="Z559" s="107">
        <f ca="1" xml:space="preserve"> ProjectCashflows!Z$241</f>
        <v>90.846112836878774</v>
      </c>
      <c r="AA559" s="107">
        <f ca="1" xml:space="preserve"> ProjectCashflows!AA$241</f>
        <v>77.219195911346958</v>
      </c>
      <c r="AB559" s="107">
        <f ca="1" xml:space="preserve"> ProjectCashflows!AB$241</f>
        <v>63.010863863659118</v>
      </c>
      <c r="AC559" s="107">
        <f ca="1" xml:space="preserve"> ProjectCashflows!AC$241</f>
        <v>48.203310855699229</v>
      </c>
      <c r="AD559" s="107">
        <f ca="1" xml:space="preserve"> ProjectCashflows!AD$241</f>
        <v>42.611726796438113</v>
      </c>
      <c r="AE559" s="107">
        <f ca="1" xml:space="preserve"> ProjectCashflows!AE$241</f>
        <v>33.433816409512986</v>
      </c>
      <c r="AF559" s="107">
        <f ca="1" xml:space="preserve"> ProjectCashflows!AF$241</f>
        <v>0</v>
      </c>
      <c r="AG559" s="107">
        <f ca="1" xml:space="preserve"> ProjectCashflows!AG$241</f>
        <v>0</v>
      </c>
      <c r="AH559" s="107">
        <f ca="1" xml:space="preserve"> ProjectCashflows!AH$241</f>
        <v>0</v>
      </c>
      <c r="AI559" s="107">
        <f ca="1" xml:space="preserve"> ProjectCashflows!AI$241</f>
        <v>0</v>
      </c>
      <c r="AJ559" s="107">
        <f ca="1" xml:space="preserve"> ProjectCashflows!AJ$241</f>
        <v>0</v>
      </c>
      <c r="AK559" s="107">
        <f ca="1" xml:space="preserve"> ProjectCashflows!AK$241</f>
        <v>0</v>
      </c>
      <c r="AL559" s="107">
        <f ca="1" xml:space="preserve"> ProjectCashflows!AL$241</f>
        <v>0</v>
      </c>
      <c r="AM559" s="107">
        <f ca="1" xml:space="preserve"> ProjectCashflows!AM$241</f>
        <v>0</v>
      </c>
      <c r="AN559" s="107">
        <f ca="1" xml:space="preserve"> ProjectCashflows!AN$241</f>
        <v>0</v>
      </c>
      <c r="AO559" s="107">
        <f ca="1" xml:space="preserve"> ProjectCashflows!AO$241</f>
        <v>0</v>
      </c>
      <c r="AP559" s="107">
        <f ca="1" xml:space="preserve"> ProjectCashflows!AP$241</f>
        <v>0</v>
      </c>
      <c r="AQ559" s="107">
        <f ca="1" xml:space="preserve"> ProjectCashflows!AQ$241</f>
        <v>0</v>
      </c>
      <c r="AR559" s="107">
        <f ca="1" xml:space="preserve"> ProjectCashflows!AR$241</f>
        <v>0</v>
      </c>
      <c r="AS559" s="107">
        <f ca="1" xml:space="preserve"> ProjectCashflows!AS$241</f>
        <v>0</v>
      </c>
      <c r="AT559" s="107">
        <f ca="1" xml:space="preserve"> ProjectCashflows!AT$241</f>
        <v>0</v>
      </c>
      <c r="AU559" s="107">
        <f ca="1" xml:space="preserve"> ProjectCashflows!AU$241</f>
        <v>0</v>
      </c>
      <c r="AV559" s="107">
        <f ca="1" xml:space="preserve"> ProjectCashflows!AV$241</f>
        <v>0</v>
      </c>
      <c r="AW559" s="107">
        <f ca="1" xml:space="preserve"> ProjectCashflows!AW$241</f>
        <v>0</v>
      </c>
      <c r="AX559" s="107">
        <f ca="1" xml:space="preserve"> ProjectCashflows!AX$241</f>
        <v>0</v>
      </c>
    </row>
    <row r="560" spans="1:50" s="34" customFormat="1" ht="15" customHeight="1">
      <c r="A560" s="106"/>
      <c r="B560" s="828"/>
      <c r="C560" s="829"/>
      <c r="D560" s="830"/>
      <c r="E560" s="107" t="str">
        <f xml:space="preserve"> ProjectCashflows!E$242</f>
        <v>Decommissioning costs, after ELT</v>
      </c>
      <c r="F560" s="107">
        <f xml:space="preserve"> ProjectCashflows!F$242</f>
        <v>0</v>
      </c>
      <c r="G560" s="107" t="str">
        <f xml:space="preserve"> ProjectCashflows!G$242</f>
        <v>US$ mn</v>
      </c>
      <c r="H560" s="107">
        <f xml:space="preserve"> ProjectCashflows!H$242</f>
        <v>0</v>
      </c>
      <c r="I560" s="107">
        <f ca="1" xml:space="preserve"> ProjectCashflows!I$242</f>
        <v>30.313326877958442</v>
      </c>
      <c r="J560" s="107">
        <f xml:space="preserve"> ProjectCashflows!J$242</f>
        <v>0</v>
      </c>
      <c r="K560" s="107">
        <f ca="1" xml:space="preserve"> ProjectCashflows!K$242</f>
        <v>0</v>
      </c>
      <c r="L560" s="107">
        <f ca="1" xml:space="preserve"> ProjectCashflows!L$242</f>
        <v>0</v>
      </c>
      <c r="M560" s="107">
        <f ca="1" xml:space="preserve"> ProjectCashflows!M$242</f>
        <v>0</v>
      </c>
      <c r="N560" s="107">
        <f ca="1" xml:space="preserve"> ProjectCashflows!N$242</f>
        <v>0</v>
      </c>
      <c r="O560" s="107">
        <f ca="1" xml:space="preserve"> ProjectCashflows!O$242</f>
        <v>0</v>
      </c>
      <c r="P560" s="107">
        <f ca="1" xml:space="preserve"> ProjectCashflows!P$242</f>
        <v>0</v>
      </c>
      <c r="Q560" s="107">
        <f ca="1" xml:space="preserve"> ProjectCashflows!Q$242</f>
        <v>0</v>
      </c>
      <c r="R560" s="107">
        <f ca="1" xml:space="preserve"> ProjectCashflows!R$242</f>
        <v>0</v>
      </c>
      <c r="S560" s="107">
        <f ca="1" xml:space="preserve"> ProjectCashflows!S$242</f>
        <v>0</v>
      </c>
      <c r="T560" s="107">
        <f ca="1" xml:space="preserve"> ProjectCashflows!T$242</f>
        <v>0</v>
      </c>
      <c r="U560" s="107">
        <f ca="1" xml:space="preserve"> ProjectCashflows!U$242</f>
        <v>0</v>
      </c>
      <c r="V560" s="107">
        <f ca="1" xml:space="preserve"> ProjectCashflows!V$242</f>
        <v>0</v>
      </c>
      <c r="W560" s="107">
        <f ca="1" xml:space="preserve"> ProjectCashflows!W$242</f>
        <v>0</v>
      </c>
      <c r="X560" s="107">
        <f ca="1" xml:space="preserve"> ProjectCashflows!X$242</f>
        <v>0</v>
      </c>
      <c r="Y560" s="107">
        <f ca="1" xml:space="preserve"> ProjectCashflows!Y$242</f>
        <v>0</v>
      </c>
      <c r="Z560" s="107">
        <f ca="1" xml:space="preserve"> ProjectCashflows!Z$242</f>
        <v>0</v>
      </c>
      <c r="AA560" s="107">
        <f ca="1" xml:space="preserve"> ProjectCashflows!AA$242</f>
        <v>0</v>
      </c>
      <c r="AB560" s="107">
        <f ca="1" xml:space="preserve"> ProjectCashflows!AB$242</f>
        <v>0</v>
      </c>
      <c r="AC560" s="107">
        <f ca="1" xml:space="preserve"> ProjectCashflows!AC$242</f>
        <v>0</v>
      </c>
      <c r="AD560" s="107">
        <f ca="1" xml:space="preserve"> ProjectCashflows!AD$242</f>
        <v>0</v>
      </c>
      <c r="AE560" s="107">
        <f ca="1" xml:space="preserve"> ProjectCashflows!AE$242</f>
        <v>0</v>
      </c>
      <c r="AF560" s="107">
        <f ca="1" xml:space="preserve"> ProjectCashflows!AF$242</f>
        <v>30.313326877958442</v>
      </c>
      <c r="AG560" s="107">
        <f ca="1" xml:space="preserve"> ProjectCashflows!AG$242</f>
        <v>0</v>
      </c>
      <c r="AH560" s="107">
        <f ca="1" xml:space="preserve"> ProjectCashflows!AH$242</f>
        <v>0</v>
      </c>
      <c r="AI560" s="107">
        <f ca="1" xml:space="preserve"> ProjectCashflows!AI$242</f>
        <v>0</v>
      </c>
      <c r="AJ560" s="107">
        <f ca="1" xml:space="preserve"> ProjectCashflows!AJ$242</f>
        <v>0</v>
      </c>
      <c r="AK560" s="107">
        <f ca="1" xml:space="preserve"> ProjectCashflows!AK$242</f>
        <v>0</v>
      </c>
      <c r="AL560" s="107">
        <f ca="1" xml:space="preserve"> ProjectCashflows!AL$242</f>
        <v>0</v>
      </c>
      <c r="AM560" s="107">
        <f ca="1" xml:space="preserve"> ProjectCashflows!AM$242</f>
        <v>0</v>
      </c>
      <c r="AN560" s="107">
        <f ca="1" xml:space="preserve"> ProjectCashflows!AN$242</f>
        <v>0</v>
      </c>
      <c r="AO560" s="107">
        <f ca="1" xml:space="preserve"> ProjectCashflows!AO$242</f>
        <v>0</v>
      </c>
      <c r="AP560" s="107">
        <f ca="1" xml:space="preserve"> ProjectCashflows!AP$242</f>
        <v>0</v>
      </c>
      <c r="AQ560" s="107">
        <f ca="1" xml:space="preserve"> ProjectCashflows!AQ$242</f>
        <v>0</v>
      </c>
      <c r="AR560" s="107">
        <f ca="1" xml:space="preserve"> ProjectCashflows!AR$242</f>
        <v>0</v>
      </c>
      <c r="AS560" s="107">
        <f ca="1" xml:space="preserve"> ProjectCashflows!AS$242</f>
        <v>0</v>
      </c>
      <c r="AT560" s="107">
        <f ca="1" xml:space="preserve"> ProjectCashflows!AT$242</f>
        <v>0</v>
      </c>
      <c r="AU560" s="107">
        <f ca="1" xml:space="preserve"> ProjectCashflows!AU$242</f>
        <v>0</v>
      </c>
      <c r="AV560" s="107">
        <f ca="1" xml:space="preserve"> ProjectCashflows!AV$242</f>
        <v>0</v>
      </c>
      <c r="AW560" s="107">
        <f ca="1" xml:space="preserve"> ProjectCashflows!AW$242</f>
        <v>0</v>
      </c>
      <c r="AX560" s="107">
        <f ca="1" xml:space="preserve"> ProjectCashflows!AX$242</f>
        <v>0</v>
      </c>
    </row>
    <row r="561" spans="1:50" s="4" customFormat="1" ht="15" customHeight="1">
      <c r="A561" s="73"/>
      <c r="B561" s="821"/>
      <c r="C561" s="822"/>
      <c r="D561" s="38"/>
      <c r="E561" s="107"/>
      <c r="F561" s="38"/>
    </row>
    <row r="562" spans="1:50" s="4" customFormat="1" ht="15" customHeight="1">
      <c r="A562" s="73"/>
      <c r="B562" s="821"/>
      <c r="C562" s="822"/>
      <c r="D562" s="38"/>
      <c r="E562" s="831" t="str">
        <f xml:space="preserve"> E$62</f>
        <v>VAT Rate</v>
      </c>
      <c r="F562" s="831">
        <f xml:space="preserve"> F$62</f>
        <v>0</v>
      </c>
      <c r="G562" s="831" t="str">
        <f xml:space="preserve"> G$62</f>
        <v>%</v>
      </c>
    </row>
    <row r="563" spans="1:50" s="4" customFormat="1" ht="15" customHeight="1">
      <c r="A563" s="73"/>
      <c r="B563" s="821"/>
      <c r="C563" s="822"/>
      <c r="D563" s="38"/>
      <c r="E563" s="831" t="str">
        <f xml:space="preserve"> E$63</f>
        <v>% Exploration &amp; capex subject to VAT</v>
      </c>
      <c r="F563" s="831">
        <f xml:space="preserve"> F$63</f>
        <v>0</v>
      </c>
      <c r="G563" s="831" t="str">
        <f xml:space="preserve"> G$63</f>
        <v>%</v>
      </c>
    </row>
    <row r="564" spans="1:50" s="4" customFormat="1" ht="15" customHeight="1">
      <c r="A564" s="73"/>
      <c r="B564" s="821"/>
      <c r="C564" s="822"/>
      <c r="D564" s="38"/>
      <c r="E564" s="831" t="str">
        <f xml:space="preserve"> E$64</f>
        <v>% opex subject to VAT</v>
      </c>
      <c r="F564" s="831">
        <f xml:space="preserve"> F$64</f>
        <v>0</v>
      </c>
      <c r="G564" s="831" t="str">
        <f xml:space="preserve"> G$64</f>
        <v>%</v>
      </c>
    </row>
    <row r="565" spans="1:50" s="4" customFormat="1" ht="15" customHeight="1">
      <c r="A565" s="73"/>
      <c r="B565" s="821"/>
      <c r="C565" s="822"/>
      <c r="D565" s="38"/>
      <c r="E565" s="831"/>
      <c r="F565" s="831"/>
      <c r="G565" s="831"/>
    </row>
    <row r="566" spans="1:50" s="304" customFormat="1" ht="15" customHeight="1">
      <c r="A566" s="307"/>
      <c r="B566" s="821"/>
      <c r="C566" s="825"/>
      <c r="D566" s="826"/>
      <c r="E566" s="832" t="str">
        <f xml:space="preserve"> E556 &amp; ": " &amp; Translate!$E$463</f>
        <v>Exploration costs, after ELT: VAT charged</v>
      </c>
      <c r="F566" s="832"/>
      <c r="G566" s="832" t="str">
        <f xml:space="preserve"> G556</f>
        <v>US$ mn</v>
      </c>
      <c r="I566" s="304">
        <f t="shared" ref="I566:I571" ca="1" si="168" xml:space="preserve"> SUM(K566:AX566)</f>
        <v>0</v>
      </c>
      <c r="K566" s="304">
        <f ca="1" xml:space="preserve"> K556 * $F563 * K$553 * $F562</f>
        <v>0</v>
      </c>
      <c r="L566" s="304">
        <f t="shared" ref="L566:AX566" ca="1" si="169" xml:space="preserve"> L556 * $F563 * L$553 * $F562</f>
        <v>0</v>
      </c>
      <c r="M566" s="304">
        <f t="shared" ca="1" si="169"/>
        <v>0</v>
      </c>
      <c r="N566" s="304">
        <f t="shared" ca="1" si="169"/>
        <v>0</v>
      </c>
      <c r="O566" s="304">
        <f t="shared" ca="1" si="169"/>
        <v>0</v>
      </c>
      <c r="P566" s="304">
        <f t="shared" ca="1" si="169"/>
        <v>0</v>
      </c>
      <c r="Q566" s="304">
        <f t="shared" ca="1" si="169"/>
        <v>0</v>
      </c>
      <c r="R566" s="304">
        <f t="shared" ca="1" si="169"/>
        <v>0</v>
      </c>
      <c r="S566" s="304">
        <f t="shared" ca="1" si="169"/>
        <v>0</v>
      </c>
      <c r="T566" s="304">
        <f t="shared" ca="1" si="169"/>
        <v>0</v>
      </c>
      <c r="U566" s="304">
        <f t="shared" ca="1" si="169"/>
        <v>0</v>
      </c>
      <c r="V566" s="304">
        <f t="shared" ca="1" si="169"/>
        <v>0</v>
      </c>
      <c r="W566" s="304">
        <f t="shared" ca="1" si="169"/>
        <v>0</v>
      </c>
      <c r="X566" s="304">
        <f t="shared" ca="1" si="169"/>
        <v>0</v>
      </c>
      <c r="Y566" s="304">
        <f t="shared" ca="1" si="169"/>
        <v>0</v>
      </c>
      <c r="Z566" s="304">
        <f t="shared" ca="1" si="169"/>
        <v>0</v>
      </c>
      <c r="AA566" s="304">
        <f t="shared" ca="1" si="169"/>
        <v>0</v>
      </c>
      <c r="AB566" s="304">
        <f t="shared" ca="1" si="169"/>
        <v>0</v>
      </c>
      <c r="AC566" s="304">
        <f t="shared" ca="1" si="169"/>
        <v>0</v>
      </c>
      <c r="AD566" s="304">
        <f t="shared" ca="1" si="169"/>
        <v>0</v>
      </c>
      <c r="AE566" s="304">
        <f t="shared" ca="1" si="169"/>
        <v>0</v>
      </c>
      <c r="AF566" s="304">
        <f t="shared" ca="1" si="169"/>
        <v>0</v>
      </c>
      <c r="AG566" s="304">
        <f t="shared" ca="1" si="169"/>
        <v>0</v>
      </c>
      <c r="AH566" s="304">
        <f t="shared" ca="1" si="169"/>
        <v>0</v>
      </c>
      <c r="AI566" s="304">
        <f t="shared" ca="1" si="169"/>
        <v>0</v>
      </c>
      <c r="AJ566" s="304">
        <f t="shared" ca="1" si="169"/>
        <v>0</v>
      </c>
      <c r="AK566" s="304">
        <f t="shared" ca="1" si="169"/>
        <v>0</v>
      </c>
      <c r="AL566" s="304">
        <f t="shared" ca="1" si="169"/>
        <v>0</v>
      </c>
      <c r="AM566" s="304">
        <f t="shared" ca="1" si="169"/>
        <v>0</v>
      </c>
      <c r="AN566" s="304">
        <f t="shared" ca="1" si="169"/>
        <v>0</v>
      </c>
      <c r="AO566" s="304">
        <f t="shared" ca="1" si="169"/>
        <v>0</v>
      </c>
      <c r="AP566" s="304">
        <f t="shared" ca="1" si="169"/>
        <v>0</v>
      </c>
      <c r="AQ566" s="304">
        <f t="shared" ca="1" si="169"/>
        <v>0</v>
      </c>
      <c r="AR566" s="304">
        <f t="shared" ca="1" si="169"/>
        <v>0</v>
      </c>
      <c r="AS566" s="304">
        <f t="shared" ca="1" si="169"/>
        <v>0</v>
      </c>
      <c r="AT566" s="304">
        <f t="shared" ca="1" si="169"/>
        <v>0</v>
      </c>
      <c r="AU566" s="304">
        <f t="shared" ca="1" si="169"/>
        <v>0</v>
      </c>
      <c r="AV566" s="304">
        <f t="shared" ca="1" si="169"/>
        <v>0</v>
      </c>
      <c r="AW566" s="304">
        <f t="shared" ca="1" si="169"/>
        <v>0</v>
      </c>
      <c r="AX566" s="304">
        <f t="shared" ca="1" si="169"/>
        <v>0</v>
      </c>
    </row>
    <row r="567" spans="1:50" s="4" customFormat="1" ht="15" customHeight="1">
      <c r="A567" s="73"/>
      <c r="B567" s="821"/>
      <c r="C567" s="822"/>
      <c r="D567" s="38"/>
      <c r="E567" s="832" t="str">
        <f xml:space="preserve"> E557 &amp; ": " &amp; Translate!$E$463</f>
        <v>Development costs, after ELT: VAT charged</v>
      </c>
      <c r="F567" s="832"/>
      <c r="G567" s="832" t="str">
        <f xml:space="preserve"> G557</f>
        <v>US$ mn</v>
      </c>
      <c r="I567" s="304">
        <f t="shared" ca="1" si="168"/>
        <v>0</v>
      </c>
      <c r="K567" s="304">
        <f ca="1" xml:space="preserve"> K557 * $F563 * K$553 * $F562</f>
        <v>0</v>
      </c>
      <c r="L567" s="304">
        <f t="shared" ref="L567:AX567" ca="1" si="170" xml:space="preserve"> L557 * $F563 * L$553 * $F562</f>
        <v>0</v>
      </c>
      <c r="M567" s="304">
        <f t="shared" ca="1" si="170"/>
        <v>0</v>
      </c>
      <c r="N567" s="304">
        <f t="shared" ca="1" si="170"/>
        <v>0</v>
      </c>
      <c r="O567" s="304">
        <f t="shared" ca="1" si="170"/>
        <v>0</v>
      </c>
      <c r="P567" s="304">
        <f t="shared" ca="1" si="170"/>
        <v>0</v>
      </c>
      <c r="Q567" s="304">
        <f t="shared" ca="1" si="170"/>
        <v>0</v>
      </c>
      <c r="R567" s="304">
        <f t="shared" ca="1" si="170"/>
        <v>0</v>
      </c>
      <c r="S567" s="304">
        <f t="shared" ca="1" si="170"/>
        <v>0</v>
      </c>
      <c r="T567" s="304">
        <f t="shared" ca="1" si="170"/>
        <v>0</v>
      </c>
      <c r="U567" s="304">
        <f t="shared" ca="1" si="170"/>
        <v>0</v>
      </c>
      <c r="V567" s="304">
        <f t="shared" ca="1" si="170"/>
        <v>0</v>
      </c>
      <c r="W567" s="304">
        <f t="shared" ca="1" si="170"/>
        <v>0</v>
      </c>
      <c r="X567" s="304">
        <f t="shared" ca="1" si="170"/>
        <v>0</v>
      </c>
      <c r="Y567" s="304">
        <f t="shared" ca="1" si="170"/>
        <v>0</v>
      </c>
      <c r="Z567" s="304">
        <f t="shared" ca="1" si="170"/>
        <v>0</v>
      </c>
      <c r="AA567" s="304">
        <f t="shared" ca="1" si="170"/>
        <v>0</v>
      </c>
      <c r="AB567" s="304">
        <f t="shared" ca="1" si="170"/>
        <v>0</v>
      </c>
      <c r="AC567" s="304">
        <f t="shared" ca="1" si="170"/>
        <v>0</v>
      </c>
      <c r="AD567" s="304">
        <f t="shared" ca="1" si="170"/>
        <v>0</v>
      </c>
      <c r="AE567" s="304">
        <f t="shared" ca="1" si="170"/>
        <v>0</v>
      </c>
      <c r="AF567" s="304">
        <f t="shared" ca="1" si="170"/>
        <v>0</v>
      </c>
      <c r="AG567" s="304">
        <f t="shared" ca="1" si="170"/>
        <v>0</v>
      </c>
      <c r="AH567" s="304">
        <f t="shared" ca="1" si="170"/>
        <v>0</v>
      </c>
      <c r="AI567" s="304">
        <f t="shared" ca="1" si="170"/>
        <v>0</v>
      </c>
      <c r="AJ567" s="304">
        <f t="shared" ca="1" si="170"/>
        <v>0</v>
      </c>
      <c r="AK567" s="304">
        <f t="shared" ca="1" si="170"/>
        <v>0</v>
      </c>
      <c r="AL567" s="304">
        <f t="shared" ca="1" si="170"/>
        <v>0</v>
      </c>
      <c r="AM567" s="304">
        <f t="shared" ca="1" si="170"/>
        <v>0</v>
      </c>
      <c r="AN567" s="304">
        <f t="shared" ca="1" si="170"/>
        <v>0</v>
      </c>
      <c r="AO567" s="304">
        <f t="shared" ca="1" si="170"/>
        <v>0</v>
      </c>
      <c r="AP567" s="304">
        <f t="shared" ca="1" si="170"/>
        <v>0</v>
      </c>
      <c r="AQ567" s="304">
        <f t="shared" ca="1" si="170"/>
        <v>0</v>
      </c>
      <c r="AR567" s="304">
        <f t="shared" ca="1" si="170"/>
        <v>0</v>
      </c>
      <c r="AS567" s="304">
        <f t="shared" ca="1" si="170"/>
        <v>0</v>
      </c>
      <c r="AT567" s="304">
        <f t="shared" ca="1" si="170"/>
        <v>0</v>
      </c>
      <c r="AU567" s="304">
        <f t="shared" ca="1" si="170"/>
        <v>0</v>
      </c>
      <c r="AV567" s="304">
        <f t="shared" ca="1" si="170"/>
        <v>0</v>
      </c>
      <c r="AW567" s="304">
        <f t="shared" ca="1" si="170"/>
        <v>0</v>
      </c>
      <c r="AX567" s="304">
        <f t="shared" ca="1" si="170"/>
        <v>0</v>
      </c>
    </row>
    <row r="568" spans="1:50" s="4" customFormat="1" ht="15" customHeight="1">
      <c r="A568" s="73"/>
      <c r="B568" s="821"/>
      <c r="C568" s="822"/>
      <c r="D568" s="38"/>
      <c r="E568" s="832" t="str">
        <f xml:space="preserve"> E558 &amp; ": " &amp; Translate!$E$463</f>
        <v>Replacement capital costs, after ELT: VAT charged</v>
      </c>
      <c r="F568" s="832"/>
      <c r="G568" s="832" t="str">
        <f xml:space="preserve"> G558</f>
        <v>US$ mn</v>
      </c>
      <c r="I568" s="304">
        <f t="shared" ca="1" si="168"/>
        <v>0</v>
      </c>
      <c r="K568" s="304">
        <f ca="1" xml:space="preserve"> K558 * $F563 * K$553 * $F562</f>
        <v>0</v>
      </c>
      <c r="L568" s="304">
        <f t="shared" ref="L568:AX568" ca="1" si="171" xml:space="preserve"> L558 * $F563 * L$553 * $F562</f>
        <v>0</v>
      </c>
      <c r="M568" s="304">
        <f t="shared" ca="1" si="171"/>
        <v>0</v>
      </c>
      <c r="N568" s="304">
        <f t="shared" ca="1" si="171"/>
        <v>0</v>
      </c>
      <c r="O568" s="304">
        <f t="shared" ca="1" si="171"/>
        <v>0</v>
      </c>
      <c r="P568" s="304">
        <f t="shared" ca="1" si="171"/>
        <v>0</v>
      </c>
      <c r="Q568" s="304">
        <f t="shared" ca="1" si="171"/>
        <v>0</v>
      </c>
      <c r="R568" s="304">
        <f t="shared" ca="1" si="171"/>
        <v>0</v>
      </c>
      <c r="S568" s="304">
        <f t="shared" ca="1" si="171"/>
        <v>0</v>
      </c>
      <c r="T568" s="304">
        <f t="shared" ca="1" si="171"/>
        <v>0</v>
      </c>
      <c r="U568" s="304">
        <f t="shared" ca="1" si="171"/>
        <v>0</v>
      </c>
      <c r="V568" s="304">
        <f t="shared" ca="1" si="171"/>
        <v>0</v>
      </c>
      <c r="W568" s="304">
        <f t="shared" ca="1" si="171"/>
        <v>0</v>
      </c>
      <c r="X568" s="304">
        <f t="shared" ca="1" si="171"/>
        <v>0</v>
      </c>
      <c r="Y568" s="304">
        <f t="shared" ca="1" si="171"/>
        <v>0</v>
      </c>
      <c r="Z568" s="304">
        <f t="shared" ca="1" si="171"/>
        <v>0</v>
      </c>
      <c r="AA568" s="304">
        <f t="shared" ca="1" si="171"/>
        <v>0</v>
      </c>
      <c r="AB568" s="304">
        <f t="shared" ca="1" si="171"/>
        <v>0</v>
      </c>
      <c r="AC568" s="304">
        <f t="shared" ca="1" si="171"/>
        <v>0</v>
      </c>
      <c r="AD568" s="304">
        <f t="shared" ca="1" si="171"/>
        <v>0</v>
      </c>
      <c r="AE568" s="304">
        <f t="shared" ca="1" si="171"/>
        <v>0</v>
      </c>
      <c r="AF568" s="304">
        <f t="shared" ca="1" si="171"/>
        <v>0</v>
      </c>
      <c r="AG568" s="304">
        <f t="shared" ca="1" si="171"/>
        <v>0</v>
      </c>
      <c r="AH568" s="304">
        <f t="shared" ca="1" si="171"/>
        <v>0</v>
      </c>
      <c r="AI568" s="304">
        <f t="shared" ca="1" si="171"/>
        <v>0</v>
      </c>
      <c r="AJ568" s="304">
        <f t="shared" ca="1" si="171"/>
        <v>0</v>
      </c>
      <c r="AK568" s="304">
        <f t="shared" ca="1" si="171"/>
        <v>0</v>
      </c>
      <c r="AL568" s="304">
        <f t="shared" ca="1" si="171"/>
        <v>0</v>
      </c>
      <c r="AM568" s="304">
        <f t="shared" ca="1" si="171"/>
        <v>0</v>
      </c>
      <c r="AN568" s="304">
        <f t="shared" ca="1" si="171"/>
        <v>0</v>
      </c>
      <c r="AO568" s="304">
        <f t="shared" ca="1" si="171"/>
        <v>0</v>
      </c>
      <c r="AP568" s="304">
        <f t="shared" ca="1" si="171"/>
        <v>0</v>
      </c>
      <c r="AQ568" s="304">
        <f t="shared" ca="1" si="171"/>
        <v>0</v>
      </c>
      <c r="AR568" s="304">
        <f t="shared" ca="1" si="171"/>
        <v>0</v>
      </c>
      <c r="AS568" s="304">
        <f t="shared" ca="1" si="171"/>
        <v>0</v>
      </c>
      <c r="AT568" s="304">
        <f t="shared" ca="1" si="171"/>
        <v>0</v>
      </c>
      <c r="AU568" s="304">
        <f t="shared" ca="1" si="171"/>
        <v>0</v>
      </c>
      <c r="AV568" s="304">
        <f t="shared" ca="1" si="171"/>
        <v>0</v>
      </c>
      <c r="AW568" s="304">
        <f t="shared" ca="1" si="171"/>
        <v>0</v>
      </c>
      <c r="AX568" s="304">
        <f t="shared" ca="1" si="171"/>
        <v>0</v>
      </c>
    </row>
    <row r="569" spans="1:50" s="4" customFormat="1" ht="15" customHeight="1">
      <c r="A569" s="73"/>
      <c r="B569" s="821"/>
      <c r="C569" s="822"/>
      <c r="D569" s="38"/>
      <c r="E569" s="832" t="str">
        <f xml:space="preserve"> E559 &amp; ": " &amp; Translate!$E$463</f>
        <v>Operating costs, after ELT: VAT charged</v>
      </c>
      <c r="F569" s="832"/>
      <c r="G569" s="832" t="str">
        <f xml:space="preserve"> G559</f>
        <v>US$ mn</v>
      </c>
      <c r="I569" s="304">
        <f t="shared" ca="1" si="168"/>
        <v>0</v>
      </c>
      <c r="K569" s="304">
        <f ca="1" xml:space="preserve"> K559 * $F564 * K$553 * $F562</f>
        <v>0</v>
      </c>
      <c r="L569" s="304">
        <f t="shared" ref="L569:AX569" ca="1" si="172" xml:space="preserve"> L559 * $F564 * L$553 * $F562</f>
        <v>0</v>
      </c>
      <c r="M569" s="304">
        <f t="shared" ca="1" si="172"/>
        <v>0</v>
      </c>
      <c r="N569" s="304">
        <f t="shared" ca="1" si="172"/>
        <v>0</v>
      </c>
      <c r="O569" s="304">
        <f t="shared" ca="1" si="172"/>
        <v>0</v>
      </c>
      <c r="P569" s="304">
        <f t="shared" ca="1" si="172"/>
        <v>0</v>
      </c>
      <c r="Q569" s="304">
        <f t="shared" ca="1" si="172"/>
        <v>0</v>
      </c>
      <c r="R569" s="304">
        <f t="shared" ca="1" si="172"/>
        <v>0</v>
      </c>
      <c r="S569" s="304">
        <f t="shared" ca="1" si="172"/>
        <v>0</v>
      </c>
      <c r="T569" s="304">
        <f t="shared" ca="1" si="172"/>
        <v>0</v>
      </c>
      <c r="U569" s="304">
        <f t="shared" ca="1" si="172"/>
        <v>0</v>
      </c>
      <c r="V569" s="304">
        <f t="shared" ca="1" si="172"/>
        <v>0</v>
      </c>
      <c r="W569" s="304">
        <f t="shared" ca="1" si="172"/>
        <v>0</v>
      </c>
      <c r="X569" s="304">
        <f t="shared" ca="1" si="172"/>
        <v>0</v>
      </c>
      <c r="Y569" s="304">
        <f t="shared" ca="1" si="172"/>
        <v>0</v>
      </c>
      <c r="Z569" s="304">
        <f t="shared" ca="1" si="172"/>
        <v>0</v>
      </c>
      <c r="AA569" s="304">
        <f t="shared" ca="1" si="172"/>
        <v>0</v>
      </c>
      <c r="AB569" s="304">
        <f t="shared" ca="1" si="172"/>
        <v>0</v>
      </c>
      <c r="AC569" s="304">
        <f t="shared" ca="1" si="172"/>
        <v>0</v>
      </c>
      <c r="AD569" s="304">
        <f t="shared" ca="1" si="172"/>
        <v>0</v>
      </c>
      <c r="AE569" s="304">
        <f t="shared" ca="1" si="172"/>
        <v>0</v>
      </c>
      <c r="AF569" s="304">
        <f t="shared" ca="1" si="172"/>
        <v>0</v>
      </c>
      <c r="AG569" s="304">
        <f t="shared" ca="1" si="172"/>
        <v>0</v>
      </c>
      <c r="AH569" s="304">
        <f t="shared" ca="1" si="172"/>
        <v>0</v>
      </c>
      <c r="AI569" s="304">
        <f t="shared" ca="1" si="172"/>
        <v>0</v>
      </c>
      <c r="AJ569" s="304">
        <f t="shared" ca="1" si="172"/>
        <v>0</v>
      </c>
      <c r="AK569" s="304">
        <f t="shared" ca="1" si="172"/>
        <v>0</v>
      </c>
      <c r="AL569" s="304">
        <f t="shared" ca="1" si="172"/>
        <v>0</v>
      </c>
      <c r="AM569" s="304">
        <f t="shared" ca="1" si="172"/>
        <v>0</v>
      </c>
      <c r="AN569" s="304">
        <f t="shared" ca="1" si="172"/>
        <v>0</v>
      </c>
      <c r="AO569" s="304">
        <f t="shared" ca="1" si="172"/>
        <v>0</v>
      </c>
      <c r="AP569" s="304">
        <f t="shared" ca="1" si="172"/>
        <v>0</v>
      </c>
      <c r="AQ569" s="304">
        <f t="shared" ca="1" si="172"/>
        <v>0</v>
      </c>
      <c r="AR569" s="304">
        <f t="shared" ca="1" si="172"/>
        <v>0</v>
      </c>
      <c r="AS569" s="304">
        <f t="shared" ca="1" si="172"/>
        <v>0</v>
      </c>
      <c r="AT569" s="304">
        <f t="shared" ca="1" si="172"/>
        <v>0</v>
      </c>
      <c r="AU569" s="304">
        <f t="shared" ca="1" si="172"/>
        <v>0</v>
      </c>
      <c r="AV569" s="304">
        <f t="shared" ca="1" si="172"/>
        <v>0</v>
      </c>
      <c r="AW569" s="304">
        <f t="shared" ca="1" si="172"/>
        <v>0</v>
      </c>
      <c r="AX569" s="304">
        <f t="shared" ca="1" si="172"/>
        <v>0</v>
      </c>
    </row>
    <row r="570" spans="1:50" s="4" customFormat="1" ht="15" customHeight="1">
      <c r="A570" s="73"/>
      <c r="B570" s="821"/>
      <c r="C570" s="822"/>
      <c r="D570" s="38"/>
      <c r="E570" s="832" t="str">
        <f xml:space="preserve"> E560 &amp; ": " &amp; Translate!$E$463</f>
        <v>Decommissioning costs, after ELT: VAT charged</v>
      </c>
      <c r="F570" s="832"/>
      <c r="G570" s="832" t="str">
        <f xml:space="preserve"> G560</f>
        <v>US$ mn</v>
      </c>
      <c r="I570" s="304">
        <f t="shared" ca="1" si="168"/>
        <v>0</v>
      </c>
      <c r="K570" s="304">
        <f ca="1" xml:space="preserve"> K560 * $F563 * K$553 * $F562</f>
        <v>0</v>
      </c>
      <c r="L570" s="304">
        <f t="shared" ref="L570:AX570" ca="1" si="173" xml:space="preserve"> L560 * $F563 * L$553 * $F562</f>
        <v>0</v>
      </c>
      <c r="M570" s="304">
        <f t="shared" ca="1" si="173"/>
        <v>0</v>
      </c>
      <c r="N570" s="304">
        <f t="shared" ca="1" si="173"/>
        <v>0</v>
      </c>
      <c r="O570" s="304">
        <f t="shared" ca="1" si="173"/>
        <v>0</v>
      </c>
      <c r="P570" s="304">
        <f t="shared" ca="1" si="173"/>
        <v>0</v>
      </c>
      <c r="Q570" s="304">
        <f t="shared" ca="1" si="173"/>
        <v>0</v>
      </c>
      <c r="R570" s="304">
        <f t="shared" ca="1" si="173"/>
        <v>0</v>
      </c>
      <c r="S570" s="304">
        <f t="shared" ca="1" si="173"/>
        <v>0</v>
      </c>
      <c r="T570" s="304">
        <f t="shared" ca="1" si="173"/>
        <v>0</v>
      </c>
      <c r="U570" s="304">
        <f t="shared" ca="1" si="173"/>
        <v>0</v>
      </c>
      <c r="V570" s="304">
        <f t="shared" ca="1" si="173"/>
        <v>0</v>
      </c>
      <c r="W570" s="304">
        <f t="shared" ca="1" si="173"/>
        <v>0</v>
      </c>
      <c r="X570" s="304">
        <f t="shared" ca="1" si="173"/>
        <v>0</v>
      </c>
      <c r="Y570" s="304">
        <f t="shared" ca="1" si="173"/>
        <v>0</v>
      </c>
      <c r="Z570" s="304">
        <f t="shared" ca="1" si="173"/>
        <v>0</v>
      </c>
      <c r="AA570" s="304">
        <f t="shared" ca="1" si="173"/>
        <v>0</v>
      </c>
      <c r="AB570" s="304">
        <f t="shared" ca="1" si="173"/>
        <v>0</v>
      </c>
      <c r="AC570" s="304">
        <f t="shared" ca="1" si="173"/>
        <v>0</v>
      </c>
      <c r="AD570" s="304">
        <f t="shared" ca="1" si="173"/>
        <v>0</v>
      </c>
      <c r="AE570" s="304">
        <f t="shared" ca="1" si="173"/>
        <v>0</v>
      </c>
      <c r="AF570" s="304">
        <f t="shared" ca="1" si="173"/>
        <v>0</v>
      </c>
      <c r="AG570" s="304">
        <f t="shared" ca="1" si="173"/>
        <v>0</v>
      </c>
      <c r="AH570" s="304">
        <f t="shared" ca="1" si="173"/>
        <v>0</v>
      </c>
      <c r="AI570" s="304">
        <f t="shared" ca="1" si="173"/>
        <v>0</v>
      </c>
      <c r="AJ570" s="304">
        <f t="shared" ca="1" si="173"/>
        <v>0</v>
      </c>
      <c r="AK570" s="304">
        <f t="shared" ca="1" si="173"/>
        <v>0</v>
      </c>
      <c r="AL570" s="304">
        <f t="shared" ca="1" si="173"/>
        <v>0</v>
      </c>
      <c r="AM570" s="304">
        <f t="shared" ca="1" si="173"/>
        <v>0</v>
      </c>
      <c r="AN570" s="304">
        <f t="shared" ca="1" si="173"/>
        <v>0</v>
      </c>
      <c r="AO570" s="304">
        <f t="shared" ca="1" si="173"/>
        <v>0</v>
      </c>
      <c r="AP570" s="304">
        <f t="shared" ca="1" si="173"/>
        <v>0</v>
      </c>
      <c r="AQ570" s="304">
        <f t="shared" ca="1" si="173"/>
        <v>0</v>
      </c>
      <c r="AR570" s="304">
        <f t="shared" ca="1" si="173"/>
        <v>0</v>
      </c>
      <c r="AS570" s="304">
        <f t="shared" ca="1" si="173"/>
        <v>0</v>
      </c>
      <c r="AT570" s="304">
        <f t="shared" ca="1" si="173"/>
        <v>0</v>
      </c>
      <c r="AU570" s="304">
        <f t="shared" ca="1" si="173"/>
        <v>0</v>
      </c>
      <c r="AV570" s="304">
        <f t="shared" ca="1" si="173"/>
        <v>0</v>
      </c>
      <c r="AW570" s="304">
        <f t="shared" ca="1" si="173"/>
        <v>0</v>
      </c>
      <c r="AX570" s="304">
        <f t="shared" ca="1" si="173"/>
        <v>0</v>
      </c>
    </row>
    <row r="571" spans="1:50" s="838" customFormat="1" ht="15" customHeight="1">
      <c r="A571" s="833"/>
      <c r="B571" s="834"/>
      <c r="C571" s="835"/>
      <c r="D571" s="836"/>
      <c r="E571" s="837" t="str">
        <f>Translate!$E$243</f>
        <v>Input VAT charged</v>
      </c>
      <c r="F571" s="837"/>
      <c r="G571" s="837" t="str">
        <f xml:space="preserve"> Translate!E$10</f>
        <v>US$ mn</v>
      </c>
      <c r="I571" s="838">
        <f t="shared" ca="1" si="168"/>
        <v>0</v>
      </c>
      <c r="K571" s="838">
        <f t="shared" ref="K571:AX571" ca="1" si="174">SUM(K566:K570)</f>
        <v>0</v>
      </c>
      <c r="L571" s="838">
        <f t="shared" ca="1" si="174"/>
        <v>0</v>
      </c>
      <c r="M571" s="838">
        <f t="shared" ca="1" si="174"/>
        <v>0</v>
      </c>
      <c r="N571" s="838">
        <f t="shared" ca="1" si="174"/>
        <v>0</v>
      </c>
      <c r="O571" s="838">
        <f t="shared" ca="1" si="174"/>
        <v>0</v>
      </c>
      <c r="P571" s="838">
        <f t="shared" ca="1" si="174"/>
        <v>0</v>
      </c>
      <c r="Q571" s="838">
        <f t="shared" ca="1" si="174"/>
        <v>0</v>
      </c>
      <c r="R571" s="838">
        <f t="shared" ca="1" si="174"/>
        <v>0</v>
      </c>
      <c r="S571" s="838">
        <f t="shared" ca="1" si="174"/>
        <v>0</v>
      </c>
      <c r="T571" s="838">
        <f t="shared" ca="1" si="174"/>
        <v>0</v>
      </c>
      <c r="U571" s="838">
        <f t="shared" ca="1" si="174"/>
        <v>0</v>
      </c>
      <c r="V571" s="838">
        <f t="shared" ca="1" si="174"/>
        <v>0</v>
      </c>
      <c r="W571" s="838">
        <f t="shared" ca="1" si="174"/>
        <v>0</v>
      </c>
      <c r="X571" s="838">
        <f t="shared" ca="1" si="174"/>
        <v>0</v>
      </c>
      <c r="Y571" s="838">
        <f t="shared" ca="1" si="174"/>
        <v>0</v>
      </c>
      <c r="Z571" s="838">
        <f t="shared" ca="1" si="174"/>
        <v>0</v>
      </c>
      <c r="AA571" s="838">
        <f t="shared" ca="1" si="174"/>
        <v>0</v>
      </c>
      <c r="AB571" s="838">
        <f t="shared" ca="1" si="174"/>
        <v>0</v>
      </c>
      <c r="AC571" s="838">
        <f t="shared" ca="1" si="174"/>
        <v>0</v>
      </c>
      <c r="AD571" s="838">
        <f t="shared" ca="1" si="174"/>
        <v>0</v>
      </c>
      <c r="AE571" s="838">
        <f t="shared" ca="1" si="174"/>
        <v>0</v>
      </c>
      <c r="AF571" s="838">
        <f t="shared" ca="1" si="174"/>
        <v>0</v>
      </c>
      <c r="AG571" s="838">
        <f t="shared" ca="1" si="174"/>
        <v>0</v>
      </c>
      <c r="AH571" s="838">
        <f t="shared" ca="1" si="174"/>
        <v>0</v>
      </c>
      <c r="AI571" s="838">
        <f t="shared" ca="1" si="174"/>
        <v>0</v>
      </c>
      <c r="AJ571" s="838">
        <f t="shared" ca="1" si="174"/>
        <v>0</v>
      </c>
      <c r="AK571" s="838">
        <f t="shared" ca="1" si="174"/>
        <v>0</v>
      </c>
      <c r="AL571" s="838">
        <f t="shared" ca="1" si="174"/>
        <v>0</v>
      </c>
      <c r="AM571" s="838">
        <f t="shared" ca="1" si="174"/>
        <v>0</v>
      </c>
      <c r="AN571" s="838">
        <f t="shared" ca="1" si="174"/>
        <v>0</v>
      </c>
      <c r="AO571" s="838">
        <f t="shared" ca="1" si="174"/>
        <v>0</v>
      </c>
      <c r="AP571" s="838">
        <f t="shared" ca="1" si="174"/>
        <v>0</v>
      </c>
      <c r="AQ571" s="838">
        <f t="shared" ca="1" si="174"/>
        <v>0</v>
      </c>
      <c r="AR571" s="838">
        <f t="shared" ca="1" si="174"/>
        <v>0</v>
      </c>
      <c r="AS571" s="838">
        <f t="shared" ca="1" si="174"/>
        <v>0</v>
      </c>
      <c r="AT571" s="838">
        <f t="shared" ca="1" si="174"/>
        <v>0</v>
      </c>
      <c r="AU571" s="838">
        <f t="shared" ca="1" si="174"/>
        <v>0</v>
      </c>
      <c r="AV571" s="838">
        <f t="shared" ca="1" si="174"/>
        <v>0</v>
      </c>
      <c r="AW571" s="838">
        <f t="shared" ca="1" si="174"/>
        <v>0</v>
      </c>
      <c r="AX571" s="838">
        <f t="shared" ca="1" si="174"/>
        <v>0</v>
      </c>
    </row>
    <row r="572" spans="1:50" s="4" customFormat="1" ht="15" customHeight="1">
      <c r="A572" s="73"/>
      <c r="B572" s="821"/>
      <c r="C572" s="822"/>
      <c r="D572" s="38"/>
      <c r="E572" s="831"/>
      <c r="F572" s="831"/>
      <c r="G572" s="831"/>
    </row>
    <row r="573" spans="1:50" s="304" customFormat="1" ht="15" customHeight="1">
      <c r="A573" s="307"/>
      <c r="B573" s="821"/>
      <c r="C573" s="825"/>
      <c r="D573" s="826"/>
      <c r="E573" s="832" t="str">
        <f>Translate!$E$244</f>
        <v>Input VAT refund due</v>
      </c>
      <c r="F573" s="832"/>
      <c r="G573" s="832" t="str">
        <f xml:space="preserve"> Translate!E$10</f>
        <v>US$ mn</v>
      </c>
      <c r="H573" s="304" t="str">
        <f>Translate!$E$308</f>
        <v>assumes 100% is creditable / refundable</v>
      </c>
      <c r="I573" s="304">
        <f ca="1" xml:space="preserve"> SUM(K573:AX573)</f>
        <v>0</v>
      </c>
      <c r="K573" s="304">
        <f t="shared" ref="K573:AX573" ca="1" si="175" xml:space="preserve"> K571</f>
        <v>0</v>
      </c>
      <c r="L573" s="304">
        <f t="shared" ca="1" si="175"/>
        <v>0</v>
      </c>
      <c r="M573" s="304">
        <f t="shared" ca="1" si="175"/>
        <v>0</v>
      </c>
      <c r="N573" s="304">
        <f t="shared" ca="1" si="175"/>
        <v>0</v>
      </c>
      <c r="O573" s="304">
        <f t="shared" ca="1" si="175"/>
        <v>0</v>
      </c>
      <c r="P573" s="304">
        <f t="shared" ca="1" si="175"/>
        <v>0</v>
      </c>
      <c r="Q573" s="304">
        <f t="shared" ca="1" si="175"/>
        <v>0</v>
      </c>
      <c r="R573" s="304">
        <f t="shared" ca="1" si="175"/>
        <v>0</v>
      </c>
      <c r="S573" s="304">
        <f t="shared" ca="1" si="175"/>
        <v>0</v>
      </c>
      <c r="T573" s="304">
        <f t="shared" ca="1" si="175"/>
        <v>0</v>
      </c>
      <c r="U573" s="304">
        <f t="shared" ca="1" si="175"/>
        <v>0</v>
      </c>
      <c r="V573" s="304">
        <f t="shared" ca="1" si="175"/>
        <v>0</v>
      </c>
      <c r="W573" s="304">
        <f t="shared" ca="1" si="175"/>
        <v>0</v>
      </c>
      <c r="X573" s="304">
        <f t="shared" ca="1" si="175"/>
        <v>0</v>
      </c>
      <c r="Y573" s="304">
        <f t="shared" ca="1" si="175"/>
        <v>0</v>
      </c>
      <c r="Z573" s="304">
        <f t="shared" ca="1" si="175"/>
        <v>0</v>
      </c>
      <c r="AA573" s="304">
        <f t="shared" ca="1" si="175"/>
        <v>0</v>
      </c>
      <c r="AB573" s="304">
        <f t="shared" ca="1" si="175"/>
        <v>0</v>
      </c>
      <c r="AC573" s="304">
        <f t="shared" ca="1" si="175"/>
        <v>0</v>
      </c>
      <c r="AD573" s="304">
        <f t="shared" ca="1" si="175"/>
        <v>0</v>
      </c>
      <c r="AE573" s="304">
        <f t="shared" ca="1" si="175"/>
        <v>0</v>
      </c>
      <c r="AF573" s="304">
        <f t="shared" ca="1" si="175"/>
        <v>0</v>
      </c>
      <c r="AG573" s="304">
        <f t="shared" ca="1" si="175"/>
        <v>0</v>
      </c>
      <c r="AH573" s="304">
        <f t="shared" ca="1" si="175"/>
        <v>0</v>
      </c>
      <c r="AI573" s="304">
        <f t="shared" ca="1" si="175"/>
        <v>0</v>
      </c>
      <c r="AJ573" s="304">
        <f t="shared" ca="1" si="175"/>
        <v>0</v>
      </c>
      <c r="AK573" s="304">
        <f t="shared" ca="1" si="175"/>
        <v>0</v>
      </c>
      <c r="AL573" s="304">
        <f t="shared" ca="1" si="175"/>
        <v>0</v>
      </c>
      <c r="AM573" s="304">
        <f t="shared" ca="1" si="175"/>
        <v>0</v>
      </c>
      <c r="AN573" s="304">
        <f t="shared" ca="1" si="175"/>
        <v>0</v>
      </c>
      <c r="AO573" s="304">
        <f t="shared" ca="1" si="175"/>
        <v>0</v>
      </c>
      <c r="AP573" s="304">
        <f t="shared" ca="1" si="175"/>
        <v>0</v>
      </c>
      <c r="AQ573" s="304">
        <f t="shared" ca="1" si="175"/>
        <v>0</v>
      </c>
      <c r="AR573" s="304">
        <f t="shared" ca="1" si="175"/>
        <v>0</v>
      </c>
      <c r="AS573" s="304">
        <f t="shared" ca="1" si="175"/>
        <v>0</v>
      </c>
      <c r="AT573" s="304">
        <f t="shared" ca="1" si="175"/>
        <v>0</v>
      </c>
      <c r="AU573" s="304">
        <f t="shared" ca="1" si="175"/>
        <v>0</v>
      </c>
      <c r="AV573" s="304">
        <f t="shared" ca="1" si="175"/>
        <v>0</v>
      </c>
      <c r="AW573" s="304">
        <f t="shared" ca="1" si="175"/>
        <v>0</v>
      </c>
      <c r="AX573" s="304">
        <f t="shared" ca="1" si="175"/>
        <v>0</v>
      </c>
    </row>
    <row r="574" spans="1:50" s="4" customFormat="1" ht="15" customHeight="1">
      <c r="A574" s="73"/>
      <c r="B574" s="821"/>
      <c r="C574" s="822"/>
      <c r="D574" s="38"/>
      <c r="E574" s="831"/>
      <c r="F574" s="831"/>
      <c r="G574" s="831"/>
    </row>
    <row r="575" spans="1:50" s="4" customFormat="1" ht="15" customHeight="1">
      <c r="A575" s="73"/>
      <c r="B575" s="821"/>
      <c r="C575" s="822"/>
      <c r="D575" s="38"/>
      <c r="E575" s="824" t="str">
        <f xml:space="preserve"> E$65</f>
        <v>VAT refund delay</v>
      </c>
      <c r="F575" s="824">
        <f xml:space="preserve"> F$65</f>
        <v>0</v>
      </c>
      <c r="G575" s="824" t="str">
        <f xml:space="preserve"> G$65</f>
        <v>Months</v>
      </c>
    </row>
    <row r="576" spans="1:50" customFormat="1">
      <c r="B576" s="839"/>
      <c r="C576" s="840"/>
      <c r="D576" s="841"/>
      <c r="E576" s="1041" t="str">
        <f>Translate!$E$245</f>
        <v>VAT refund months</v>
      </c>
      <c r="F576" s="1113">
        <f xml:space="preserve"> MOD(F575, 12)</f>
        <v>0</v>
      </c>
      <c r="G576" s="4" t="str">
        <f xml:space="preserve"> Translate!E$362</f>
        <v>Months</v>
      </c>
    </row>
    <row r="577" spans="1:60" customFormat="1">
      <c r="B577" s="839"/>
      <c r="C577" s="840"/>
      <c r="D577" s="841"/>
      <c r="E577" s="1041" t="str">
        <f>Translate!$E$246</f>
        <v>VAT refunds years</v>
      </c>
      <c r="F577" s="1113">
        <f xml:space="preserve"> INT(F575 / 12)</f>
        <v>0</v>
      </c>
      <c r="G577" s="4" t="str">
        <f xml:space="preserve"> Translate!E$358</f>
        <v>Years</v>
      </c>
    </row>
    <row r="578" spans="1:60" s="764" customFormat="1">
      <c r="A578" s="1041"/>
      <c r="B578" s="1"/>
      <c r="C578" s="381"/>
      <c r="D578" s="1005"/>
      <c r="E578" s="1041"/>
      <c r="F578" s="1005"/>
      <c r="G578" s="4"/>
      <c r="H578" s="1041"/>
      <c r="I578" s="1041"/>
      <c r="J578" s="1041"/>
      <c r="K578" s="1041"/>
      <c r="L578" s="1041"/>
      <c r="M578" s="1041"/>
      <c r="N578" s="1041"/>
      <c r="O578" s="1041"/>
      <c r="P578" s="1041"/>
      <c r="Q578" s="1041"/>
      <c r="R578" s="1041"/>
      <c r="S578" s="1041"/>
      <c r="T578" s="1041"/>
      <c r="U578" s="1041"/>
      <c r="V578" s="1041"/>
      <c r="W578" s="1041"/>
      <c r="X578" s="1041"/>
      <c r="Y578" s="1041"/>
      <c r="Z578" s="1041"/>
      <c r="AA578" s="1041"/>
      <c r="AB578" s="1041"/>
      <c r="AC578" s="1041"/>
      <c r="AD578" s="1041"/>
      <c r="AE578" s="1041"/>
      <c r="AF578" s="1041"/>
      <c r="AG578" s="1041"/>
      <c r="AH578" s="1041"/>
      <c r="AI578" s="1041"/>
      <c r="AJ578" s="1041"/>
      <c r="AK578" s="1041"/>
      <c r="AL578" s="1041"/>
      <c r="AM578" s="1041"/>
      <c r="AN578" s="1041"/>
      <c r="AO578" s="1041"/>
      <c r="AP578" s="1041"/>
      <c r="AQ578" s="1041"/>
      <c r="AR578" s="1041"/>
      <c r="AS578" s="1041"/>
      <c r="AT578" s="1041"/>
      <c r="AU578" s="1041"/>
      <c r="AV578" s="1041"/>
      <c r="AW578" s="1041"/>
      <c r="AX578" s="1041"/>
      <c r="AY578" s="1041"/>
      <c r="AZ578" s="1041"/>
      <c r="BA578" s="1041"/>
      <c r="BB578" s="1041"/>
      <c r="BC578" s="1041"/>
      <c r="BD578" s="1041"/>
      <c r="BE578" s="1041"/>
      <c r="BF578" s="1041"/>
      <c r="BG578" s="1041"/>
      <c r="BH578" s="1041"/>
    </row>
    <row r="579" spans="1:60" s="764" customFormat="1">
      <c r="A579" s="1041"/>
      <c r="B579" s="1"/>
      <c r="C579" s="842" t="str">
        <f>Translate!$E$116</f>
        <v>Scheduled refunds</v>
      </c>
      <c r="D579" s="1005"/>
      <c r="E579" s="1041"/>
      <c r="F579" s="1005"/>
      <c r="G579" s="4"/>
      <c r="H579" s="1041"/>
      <c r="I579" s="1041"/>
      <c r="J579" s="1041"/>
      <c r="K579" s="1041"/>
      <c r="L579" s="1041"/>
      <c r="M579" s="1041"/>
      <c r="N579" s="1041"/>
      <c r="O579" s="1041"/>
      <c r="P579" s="1041"/>
      <c r="Q579" s="1041"/>
      <c r="R579" s="1041"/>
      <c r="S579" s="1041"/>
      <c r="T579" s="1041"/>
      <c r="U579" s="1041"/>
      <c r="V579" s="1041"/>
      <c r="W579" s="1041"/>
      <c r="X579" s="1041"/>
      <c r="Y579" s="1041"/>
      <c r="Z579" s="1041"/>
      <c r="AA579" s="1041"/>
      <c r="AB579" s="1041"/>
      <c r="AC579" s="1041"/>
      <c r="AD579" s="1041"/>
      <c r="AE579" s="1041"/>
      <c r="AF579" s="1041"/>
      <c r="AG579" s="1041"/>
      <c r="AH579" s="1041"/>
      <c r="AI579" s="1041"/>
      <c r="AJ579" s="1041"/>
      <c r="AK579" s="1041"/>
      <c r="AL579" s="1041"/>
      <c r="AM579" s="1041"/>
      <c r="AN579" s="1041"/>
      <c r="AO579" s="1041"/>
      <c r="AP579" s="1041"/>
      <c r="AQ579" s="1041"/>
      <c r="AR579" s="1041"/>
      <c r="AS579" s="1041"/>
      <c r="AT579" s="1041"/>
      <c r="AU579" s="1041"/>
      <c r="AV579" s="1041"/>
      <c r="AW579" s="1041"/>
      <c r="AX579" s="1041"/>
      <c r="AY579" s="1041"/>
      <c r="AZ579" s="1041"/>
      <c r="BA579" s="1041"/>
      <c r="BB579" s="1041"/>
      <c r="BC579" s="1041"/>
      <c r="BD579" s="1041"/>
      <c r="BE579" s="1041"/>
      <c r="BF579" s="1041"/>
      <c r="BG579" s="1041"/>
      <c r="BH579" s="1041"/>
    </row>
    <row r="580" spans="1:60" s="366" customFormat="1">
      <c r="B580" s="1024"/>
      <c r="E580" s="366" t="str">
        <f xml:space="preserve"> ProjectCashflows!E$45</f>
        <v>Model years</v>
      </c>
      <c r="F580" s="366">
        <f xml:space="preserve"> ProjectCashflows!F$45</f>
        <v>0</v>
      </c>
      <c r="G580" s="366" t="str">
        <f xml:space="preserve"> ProjectCashflows!G$45</f>
        <v>Columns</v>
      </c>
      <c r="H580" s="366">
        <f xml:space="preserve"> ProjectCashflows!H$45</f>
        <v>0</v>
      </c>
      <c r="I580" s="366">
        <f xml:space="preserve"> ProjectCashflows!I$45</f>
        <v>0</v>
      </c>
      <c r="J580" s="366">
        <f xml:space="preserve"> ProjectCashflows!J$45</f>
        <v>0</v>
      </c>
      <c r="K580" s="366">
        <f xml:space="preserve"> ProjectCashflows!K$45</f>
        <v>1</v>
      </c>
      <c r="L580" s="366">
        <f xml:space="preserve"> ProjectCashflows!L$45</f>
        <v>2</v>
      </c>
      <c r="M580" s="366">
        <f xml:space="preserve"> ProjectCashflows!M$45</f>
        <v>3</v>
      </c>
      <c r="N580" s="366">
        <f xml:space="preserve"> ProjectCashflows!N$45</f>
        <v>4</v>
      </c>
      <c r="O580" s="366">
        <f xml:space="preserve"> ProjectCashflows!O$45</f>
        <v>5</v>
      </c>
      <c r="P580" s="366">
        <f xml:space="preserve"> ProjectCashflows!P$45</f>
        <v>6</v>
      </c>
      <c r="Q580" s="366">
        <f xml:space="preserve"> ProjectCashflows!Q$45</f>
        <v>7</v>
      </c>
      <c r="R580" s="366">
        <f xml:space="preserve"> ProjectCashflows!R$45</f>
        <v>8</v>
      </c>
      <c r="S580" s="366">
        <f xml:space="preserve"> ProjectCashflows!S$45</f>
        <v>9</v>
      </c>
      <c r="T580" s="366">
        <f xml:space="preserve"> ProjectCashflows!T$45</f>
        <v>10</v>
      </c>
      <c r="U580" s="366">
        <f xml:space="preserve"> ProjectCashflows!U$45</f>
        <v>11</v>
      </c>
      <c r="V580" s="366">
        <f xml:space="preserve"> ProjectCashflows!V$45</f>
        <v>12</v>
      </c>
      <c r="W580" s="366">
        <f xml:space="preserve"> ProjectCashflows!W$45</f>
        <v>13</v>
      </c>
      <c r="X580" s="366">
        <f xml:space="preserve"> ProjectCashflows!X$45</f>
        <v>14</v>
      </c>
      <c r="Y580" s="366">
        <f xml:space="preserve"> ProjectCashflows!Y$45</f>
        <v>15</v>
      </c>
      <c r="Z580" s="366">
        <f xml:space="preserve"> ProjectCashflows!Z$45</f>
        <v>16</v>
      </c>
      <c r="AA580" s="366">
        <f xml:space="preserve"> ProjectCashflows!AA$45</f>
        <v>17</v>
      </c>
      <c r="AB580" s="366">
        <f xml:space="preserve"> ProjectCashflows!AB$45</f>
        <v>18</v>
      </c>
      <c r="AC580" s="366">
        <f xml:space="preserve"> ProjectCashflows!AC$45</f>
        <v>19</v>
      </c>
      <c r="AD580" s="366">
        <f xml:space="preserve"> ProjectCashflows!AD$45</f>
        <v>20</v>
      </c>
      <c r="AE580" s="366">
        <f xml:space="preserve"> ProjectCashflows!AE$45</f>
        <v>21</v>
      </c>
      <c r="AF580" s="366">
        <f xml:space="preserve"> ProjectCashflows!AF$45</f>
        <v>22</v>
      </c>
      <c r="AG580" s="366">
        <f xml:space="preserve"> ProjectCashflows!AG$45</f>
        <v>23</v>
      </c>
      <c r="AH580" s="366">
        <f xml:space="preserve"> ProjectCashflows!AH$45</f>
        <v>24</v>
      </c>
      <c r="AI580" s="366">
        <f xml:space="preserve"> ProjectCashflows!AI$45</f>
        <v>25</v>
      </c>
      <c r="AJ580" s="366">
        <f xml:space="preserve"> ProjectCashflows!AJ$45</f>
        <v>26</v>
      </c>
      <c r="AK580" s="366">
        <f xml:space="preserve"> ProjectCashflows!AK$45</f>
        <v>27</v>
      </c>
      <c r="AL580" s="366">
        <f xml:space="preserve"> ProjectCashflows!AL$45</f>
        <v>28</v>
      </c>
      <c r="AM580" s="366">
        <f xml:space="preserve"> ProjectCashflows!AM$45</f>
        <v>29</v>
      </c>
      <c r="AN580" s="366">
        <f xml:space="preserve"> ProjectCashflows!AN$45</f>
        <v>30</v>
      </c>
      <c r="AO580" s="366">
        <f xml:space="preserve"> ProjectCashflows!AO$45</f>
        <v>31</v>
      </c>
      <c r="AP580" s="366">
        <f xml:space="preserve"> ProjectCashflows!AP$45</f>
        <v>32</v>
      </c>
      <c r="AQ580" s="366">
        <f xml:space="preserve"> ProjectCashflows!AQ$45</f>
        <v>33</v>
      </c>
      <c r="AR580" s="366">
        <f xml:space="preserve"> ProjectCashflows!AR$45</f>
        <v>34</v>
      </c>
      <c r="AS580" s="366">
        <f xml:space="preserve"> ProjectCashflows!AS$45</f>
        <v>35</v>
      </c>
      <c r="AT580" s="366">
        <f xml:space="preserve"> ProjectCashflows!AT$45</f>
        <v>36</v>
      </c>
      <c r="AU580" s="366">
        <f xml:space="preserve"> ProjectCashflows!AU$45</f>
        <v>37</v>
      </c>
      <c r="AV580" s="366">
        <f xml:space="preserve"> ProjectCashflows!AV$45</f>
        <v>38</v>
      </c>
      <c r="AW580" s="366">
        <f xml:space="preserve"> ProjectCashflows!AW$45</f>
        <v>39</v>
      </c>
      <c r="AX580" s="366">
        <f xml:space="preserve"> ProjectCashflows!AX$45</f>
        <v>40</v>
      </c>
      <c r="AY580" s="366">
        <f t="shared" ref="AY580:BH580" si="176" xml:space="preserve"> AY$14</f>
        <v>0</v>
      </c>
      <c r="AZ580" s="366">
        <f t="shared" si="176"/>
        <v>0</v>
      </c>
      <c r="BA580" s="366">
        <f t="shared" si="176"/>
        <v>0</v>
      </c>
      <c r="BB580" s="366">
        <f t="shared" si="176"/>
        <v>0</v>
      </c>
      <c r="BC580" s="366">
        <f t="shared" si="176"/>
        <v>0</v>
      </c>
      <c r="BD580" s="366">
        <f t="shared" si="176"/>
        <v>0</v>
      </c>
      <c r="BE580" s="366">
        <f t="shared" si="176"/>
        <v>0</v>
      </c>
      <c r="BF580" s="366">
        <f t="shared" si="176"/>
        <v>0</v>
      </c>
      <c r="BG580" s="366">
        <f t="shared" si="176"/>
        <v>0</v>
      </c>
      <c r="BH580" s="366">
        <f t="shared" si="176"/>
        <v>0</v>
      </c>
    </row>
    <row r="581" spans="1:60" s="764" customFormat="1">
      <c r="A581" s="1041"/>
      <c r="B581" s="1"/>
      <c r="C581" s="381"/>
      <c r="D581" s="1005"/>
      <c r="E581" s="438" t="str">
        <f>Translate!$E$248 &amp; ": " &amp; Translate!$E$247</f>
        <v>VAT refunds paid: interim calc. applying month delay</v>
      </c>
      <c r="F581" s="1005"/>
      <c r="G581" s="4" t="str">
        <f xml:space="preserve"> G573</f>
        <v>US$ mn</v>
      </c>
      <c r="H581" s="1041"/>
      <c r="I581" s="1041">
        <f ca="1" xml:space="preserve"> SUM(K581:BH581)</f>
        <v>0</v>
      </c>
      <c r="J581" s="1041"/>
      <c r="K581" s="1041">
        <f t="shared" ref="K581:BH581" ca="1" si="177" xml:space="preserve"> J573 * $F576 / 12 + K573 * (12 - $F576) / 12</f>
        <v>0</v>
      </c>
      <c r="L581" s="1041">
        <f t="shared" ca="1" si="177"/>
        <v>0</v>
      </c>
      <c r="M581" s="1041">
        <f t="shared" ca="1" si="177"/>
        <v>0</v>
      </c>
      <c r="N581" s="1041">
        <f t="shared" ca="1" si="177"/>
        <v>0</v>
      </c>
      <c r="O581" s="1041">
        <f t="shared" ca="1" si="177"/>
        <v>0</v>
      </c>
      <c r="P581" s="1041">
        <f t="shared" ca="1" si="177"/>
        <v>0</v>
      </c>
      <c r="Q581" s="1041">
        <f t="shared" ca="1" si="177"/>
        <v>0</v>
      </c>
      <c r="R581" s="1041">
        <f t="shared" ca="1" si="177"/>
        <v>0</v>
      </c>
      <c r="S581" s="1041">
        <f t="shared" ca="1" si="177"/>
        <v>0</v>
      </c>
      <c r="T581" s="1041">
        <f t="shared" ca="1" si="177"/>
        <v>0</v>
      </c>
      <c r="U581" s="1041">
        <f t="shared" ca="1" si="177"/>
        <v>0</v>
      </c>
      <c r="V581" s="1041">
        <f t="shared" ca="1" si="177"/>
        <v>0</v>
      </c>
      <c r="W581" s="1041">
        <f t="shared" ca="1" si="177"/>
        <v>0</v>
      </c>
      <c r="X581" s="1041">
        <f t="shared" ca="1" si="177"/>
        <v>0</v>
      </c>
      <c r="Y581" s="1041">
        <f t="shared" ca="1" si="177"/>
        <v>0</v>
      </c>
      <c r="Z581" s="1041">
        <f t="shared" ca="1" si="177"/>
        <v>0</v>
      </c>
      <c r="AA581" s="1041">
        <f t="shared" ca="1" si="177"/>
        <v>0</v>
      </c>
      <c r="AB581" s="1041">
        <f t="shared" ca="1" si="177"/>
        <v>0</v>
      </c>
      <c r="AC581" s="1041">
        <f t="shared" ca="1" si="177"/>
        <v>0</v>
      </c>
      <c r="AD581" s="1041">
        <f t="shared" ca="1" si="177"/>
        <v>0</v>
      </c>
      <c r="AE581" s="1041">
        <f t="shared" ca="1" si="177"/>
        <v>0</v>
      </c>
      <c r="AF581" s="1041">
        <f t="shared" ca="1" si="177"/>
        <v>0</v>
      </c>
      <c r="AG581" s="1041">
        <f t="shared" ca="1" si="177"/>
        <v>0</v>
      </c>
      <c r="AH581" s="1041">
        <f t="shared" ca="1" si="177"/>
        <v>0</v>
      </c>
      <c r="AI581" s="1041">
        <f t="shared" ca="1" si="177"/>
        <v>0</v>
      </c>
      <c r="AJ581" s="1041">
        <f t="shared" ca="1" si="177"/>
        <v>0</v>
      </c>
      <c r="AK581" s="1041">
        <f t="shared" ca="1" si="177"/>
        <v>0</v>
      </c>
      <c r="AL581" s="1041">
        <f t="shared" ca="1" si="177"/>
        <v>0</v>
      </c>
      <c r="AM581" s="1041">
        <f t="shared" ca="1" si="177"/>
        <v>0</v>
      </c>
      <c r="AN581" s="1041">
        <f t="shared" ca="1" si="177"/>
        <v>0</v>
      </c>
      <c r="AO581" s="1041">
        <f t="shared" ca="1" si="177"/>
        <v>0</v>
      </c>
      <c r="AP581" s="1041">
        <f t="shared" ca="1" si="177"/>
        <v>0</v>
      </c>
      <c r="AQ581" s="1041">
        <f t="shared" ca="1" si="177"/>
        <v>0</v>
      </c>
      <c r="AR581" s="1041">
        <f t="shared" ca="1" si="177"/>
        <v>0</v>
      </c>
      <c r="AS581" s="1041">
        <f t="shared" ca="1" si="177"/>
        <v>0</v>
      </c>
      <c r="AT581" s="1041">
        <f t="shared" ca="1" si="177"/>
        <v>0</v>
      </c>
      <c r="AU581" s="1041">
        <f t="shared" ca="1" si="177"/>
        <v>0</v>
      </c>
      <c r="AV581" s="1041">
        <f t="shared" ca="1" si="177"/>
        <v>0</v>
      </c>
      <c r="AW581" s="1041">
        <f t="shared" ca="1" si="177"/>
        <v>0</v>
      </c>
      <c r="AX581" s="1041">
        <f t="shared" ca="1" si="177"/>
        <v>0</v>
      </c>
      <c r="AY581" s="1041">
        <f t="shared" ca="1" si="177"/>
        <v>0</v>
      </c>
      <c r="AZ581" s="1041">
        <f t="shared" si="177"/>
        <v>0</v>
      </c>
      <c r="BA581" s="1041">
        <f t="shared" si="177"/>
        <v>0</v>
      </c>
      <c r="BB581" s="1041">
        <f t="shared" si="177"/>
        <v>0</v>
      </c>
      <c r="BC581" s="1041">
        <f t="shared" si="177"/>
        <v>0</v>
      </c>
      <c r="BD581" s="1041">
        <f t="shared" si="177"/>
        <v>0</v>
      </c>
      <c r="BE581" s="1041">
        <f t="shared" si="177"/>
        <v>0</v>
      </c>
      <c r="BF581" s="1041">
        <f t="shared" si="177"/>
        <v>0</v>
      </c>
      <c r="BG581" s="1041">
        <f t="shared" si="177"/>
        <v>0</v>
      </c>
      <c r="BH581" s="1041">
        <f t="shared" si="177"/>
        <v>0</v>
      </c>
    </row>
    <row r="582" spans="1:60" s="764" customFormat="1">
      <c r="A582" s="1041"/>
      <c r="B582" s="1"/>
      <c r="C582" s="381"/>
      <c r="D582" s="1005"/>
      <c r="E582" s="438" t="str">
        <f>Translate!$E$248</f>
        <v>VAT refunds paid</v>
      </c>
      <c r="F582" s="1005"/>
      <c r="G582" s="4" t="str">
        <f xml:space="preserve"> Translate!E$10</f>
        <v>US$ mn</v>
      </c>
      <c r="H582" s="1041"/>
      <c r="I582" s="1041">
        <f ca="1" xml:space="preserve"> SUM(K582:BH582)</f>
        <v>0</v>
      </c>
      <c r="J582" s="1041"/>
      <c r="K582" s="1041">
        <f t="shared" ref="K582:BH582" ca="1" si="178" xml:space="preserve"> SUMIFS($K581:$BH581, $K580:$BH580, K580 - $F577)</f>
        <v>0</v>
      </c>
      <c r="L582" s="1041">
        <f t="shared" ca="1" si="178"/>
        <v>0</v>
      </c>
      <c r="M582" s="1041">
        <f t="shared" ca="1" si="178"/>
        <v>0</v>
      </c>
      <c r="N582" s="1041">
        <f t="shared" ca="1" si="178"/>
        <v>0</v>
      </c>
      <c r="O582" s="1041">
        <f t="shared" ca="1" si="178"/>
        <v>0</v>
      </c>
      <c r="P582" s="1041">
        <f t="shared" ca="1" si="178"/>
        <v>0</v>
      </c>
      <c r="Q582" s="1041">
        <f t="shared" ca="1" si="178"/>
        <v>0</v>
      </c>
      <c r="R582" s="1041">
        <f t="shared" ca="1" si="178"/>
        <v>0</v>
      </c>
      <c r="S582" s="1041">
        <f t="shared" ca="1" si="178"/>
        <v>0</v>
      </c>
      <c r="T582" s="1041">
        <f t="shared" ca="1" si="178"/>
        <v>0</v>
      </c>
      <c r="U582" s="1041">
        <f t="shared" ca="1" si="178"/>
        <v>0</v>
      </c>
      <c r="V582" s="1041">
        <f t="shared" ca="1" si="178"/>
        <v>0</v>
      </c>
      <c r="W582" s="1041">
        <f t="shared" ca="1" si="178"/>
        <v>0</v>
      </c>
      <c r="X582" s="1041">
        <f t="shared" ca="1" si="178"/>
        <v>0</v>
      </c>
      <c r="Y582" s="1041">
        <f t="shared" ca="1" si="178"/>
        <v>0</v>
      </c>
      <c r="Z582" s="1041">
        <f t="shared" ca="1" si="178"/>
        <v>0</v>
      </c>
      <c r="AA582" s="1041">
        <f t="shared" ca="1" si="178"/>
        <v>0</v>
      </c>
      <c r="AB582" s="1041">
        <f t="shared" ca="1" si="178"/>
        <v>0</v>
      </c>
      <c r="AC582" s="1041">
        <f t="shared" ca="1" si="178"/>
        <v>0</v>
      </c>
      <c r="AD582" s="1041">
        <f t="shared" ca="1" si="178"/>
        <v>0</v>
      </c>
      <c r="AE582" s="1041">
        <f t="shared" ca="1" si="178"/>
        <v>0</v>
      </c>
      <c r="AF582" s="1041">
        <f t="shared" ca="1" si="178"/>
        <v>0</v>
      </c>
      <c r="AG582" s="1041">
        <f t="shared" ca="1" si="178"/>
        <v>0</v>
      </c>
      <c r="AH582" s="1041">
        <f t="shared" ca="1" si="178"/>
        <v>0</v>
      </c>
      <c r="AI582" s="1041">
        <f t="shared" ca="1" si="178"/>
        <v>0</v>
      </c>
      <c r="AJ582" s="1041">
        <f t="shared" ca="1" si="178"/>
        <v>0</v>
      </c>
      <c r="AK582" s="1041">
        <f t="shared" ca="1" si="178"/>
        <v>0</v>
      </c>
      <c r="AL582" s="1041">
        <f t="shared" ca="1" si="178"/>
        <v>0</v>
      </c>
      <c r="AM582" s="1041">
        <f t="shared" ca="1" si="178"/>
        <v>0</v>
      </c>
      <c r="AN582" s="1041">
        <f t="shared" ca="1" si="178"/>
        <v>0</v>
      </c>
      <c r="AO582" s="1041">
        <f t="shared" ca="1" si="178"/>
        <v>0</v>
      </c>
      <c r="AP582" s="1041">
        <f t="shared" ca="1" si="178"/>
        <v>0</v>
      </c>
      <c r="AQ582" s="1041">
        <f t="shared" ca="1" si="178"/>
        <v>0</v>
      </c>
      <c r="AR582" s="1041">
        <f t="shared" ca="1" si="178"/>
        <v>0</v>
      </c>
      <c r="AS582" s="1041">
        <f t="shared" ca="1" si="178"/>
        <v>0</v>
      </c>
      <c r="AT582" s="1041">
        <f t="shared" ca="1" si="178"/>
        <v>0</v>
      </c>
      <c r="AU582" s="1041">
        <f t="shared" ca="1" si="178"/>
        <v>0</v>
      </c>
      <c r="AV582" s="1041">
        <f t="shared" ca="1" si="178"/>
        <v>0</v>
      </c>
      <c r="AW582" s="1041">
        <f t="shared" ca="1" si="178"/>
        <v>0</v>
      </c>
      <c r="AX582" s="1041">
        <f t="shared" ca="1" si="178"/>
        <v>0</v>
      </c>
      <c r="AY582" s="1041">
        <f t="shared" ca="1" si="178"/>
        <v>0</v>
      </c>
      <c r="AZ582" s="1041">
        <f t="shared" ca="1" si="178"/>
        <v>0</v>
      </c>
      <c r="BA582" s="1041">
        <f t="shared" ca="1" si="178"/>
        <v>0</v>
      </c>
      <c r="BB582" s="1041">
        <f t="shared" ca="1" si="178"/>
        <v>0</v>
      </c>
      <c r="BC582" s="1041">
        <f t="shared" ca="1" si="178"/>
        <v>0</v>
      </c>
      <c r="BD582" s="1041">
        <f t="shared" ca="1" si="178"/>
        <v>0</v>
      </c>
      <c r="BE582" s="1041">
        <f t="shared" ca="1" si="178"/>
        <v>0</v>
      </c>
      <c r="BF582" s="1041">
        <f t="shared" ca="1" si="178"/>
        <v>0</v>
      </c>
      <c r="BG582" s="1041">
        <f t="shared" ca="1" si="178"/>
        <v>0</v>
      </c>
      <c r="BH582" s="1041">
        <f t="shared" ca="1" si="178"/>
        <v>0</v>
      </c>
    </row>
    <row r="583" spans="1:60" s="4" customFormat="1" ht="15" customHeight="1">
      <c r="A583" s="73"/>
      <c r="B583" s="821"/>
      <c r="C583" s="822"/>
      <c r="D583" s="38"/>
      <c r="F583" s="38"/>
    </row>
    <row r="584" spans="1:60" s="4" customFormat="1" ht="15" customHeight="1">
      <c r="A584" s="73"/>
      <c r="B584" s="821" t="str">
        <f>Translate!$E$88</f>
        <v>VAT cashflow</v>
      </c>
      <c r="C584" s="822"/>
      <c r="D584" s="38"/>
      <c r="F584" s="38"/>
    </row>
    <row r="585" spans="1:60" s="4" customFormat="1" ht="15" customHeight="1">
      <c r="A585" s="73"/>
      <c r="B585" s="821"/>
      <c r="C585" s="822"/>
      <c r="D585" s="38"/>
      <c r="E585" s="4" t="str">
        <f xml:space="preserve"> E$571</f>
        <v>Input VAT charged</v>
      </c>
      <c r="F585" s="4">
        <f t="shared" ref="F585:AX585" si="179" xml:space="preserve"> F$571</f>
        <v>0</v>
      </c>
      <c r="G585" s="4" t="str">
        <f t="shared" si="179"/>
        <v>US$ mn</v>
      </c>
      <c r="H585" s="4">
        <f t="shared" si="179"/>
        <v>0</v>
      </c>
      <c r="I585" s="4">
        <f t="shared" ca="1" si="179"/>
        <v>0</v>
      </c>
      <c r="J585" s="4">
        <f t="shared" si="179"/>
        <v>0</v>
      </c>
      <c r="K585" s="4">
        <f t="shared" ca="1" si="179"/>
        <v>0</v>
      </c>
      <c r="L585" s="4">
        <f t="shared" ca="1" si="179"/>
        <v>0</v>
      </c>
      <c r="M585" s="4">
        <f t="shared" ca="1" si="179"/>
        <v>0</v>
      </c>
      <c r="N585" s="4">
        <f t="shared" ca="1" si="179"/>
        <v>0</v>
      </c>
      <c r="O585" s="4">
        <f t="shared" ca="1" si="179"/>
        <v>0</v>
      </c>
      <c r="P585" s="4">
        <f t="shared" ca="1" si="179"/>
        <v>0</v>
      </c>
      <c r="Q585" s="4">
        <f t="shared" ca="1" si="179"/>
        <v>0</v>
      </c>
      <c r="R585" s="4">
        <f t="shared" ca="1" si="179"/>
        <v>0</v>
      </c>
      <c r="S585" s="4">
        <f t="shared" ca="1" si="179"/>
        <v>0</v>
      </c>
      <c r="T585" s="4">
        <f t="shared" ca="1" si="179"/>
        <v>0</v>
      </c>
      <c r="U585" s="4">
        <f t="shared" ca="1" si="179"/>
        <v>0</v>
      </c>
      <c r="V585" s="4">
        <f t="shared" ca="1" si="179"/>
        <v>0</v>
      </c>
      <c r="W585" s="4">
        <f t="shared" ca="1" si="179"/>
        <v>0</v>
      </c>
      <c r="X585" s="4">
        <f t="shared" ca="1" si="179"/>
        <v>0</v>
      </c>
      <c r="Y585" s="4">
        <f t="shared" ca="1" si="179"/>
        <v>0</v>
      </c>
      <c r="Z585" s="4">
        <f t="shared" ca="1" si="179"/>
        <v>0</v>
      </c>
      <c r="AA585" s="4">
        <f t="shared" ca="1" si="179"/>
        <v>0</v>
      </c>
      <c r="AB585" s="4">
        <f t="shared" ca="1" si="179"/>
        <v>0</v>
      </c>
      <c r="AC585" s="4">
        <f t="shared" ca="1" si="179"/>
        <v>0</v>
      </c>
      <c r="AD585" s="4">
        <f t="shared" ca="1" si="179"/>
        <v>0</v>
      </c>
      <c r="AE585" s="4">
        <f t="shared" ca="1" si="179"/>
        <v>0</v>
      </c>
      <c r="AF585" s="4">
        <f t="shared" ca="1" si="179"/>
        <v>0</v>
      </c>
      <c r="AG585" s="4">
        <f t="shared" ca="1" si="179"/>
        <v>0</v>
      </c>
      <c r="AH585" s="4">
        <f t="shared" ca="1" si="179"/>
        <v>0</v>
      </c>
      <c r="AI585" s="4">
        <f t="shared" ca="1" si="179"/>
        <v>0</v>
      </c>
      <c r="AJ585" s="4">
        <f t="shared" ca="1" si="179"/>
        <v>0</v>
      </c>
      <c r="AK585" s="4">
        <f t="shared" ca="1" si="179"/>
        <v>0</v>
      </c>
      <c r="AL585" s="4">
        <f t="shared" ca="1" si="179"/>
        <v>0</v>
      </c>
      <c r="AM585" s="4">
        <f t="shared" ca="1" si="179"/>
        <v>0</v>
      </c>
      <c r="AN585" s="4">
        <f t="shared" ca="1" si="179"/>
        <v>0</v>
      </c>
      <c r="AO585" s="4">
        <f t="shared" ca="1" si="179"/>
        <v>0</v>
      </c>
      <c r="AP585" s="4">
        <f t="shared" ca="1" si="179"/>
        <v>0</v>
      </c>
      <c r="AQ585" s="4">
        <f t="shared" ca="1" si="179"/>
        <v>0</v>
      </c>
      <c r="AR585" s="4">
        <f t="shared" ca="1" si="179"/>
        <v>0</v>
      </c>
      <c r="AS585" s="4">
        <f t="shared" ca="1" si="179"/>
        <v>0</v>
      </c>
      <c r="AT585" s="4">
        <f t="shared" ca="1" si="179"/>
        <v>0</v>
      </c>
      <c r="AU585" s="4">
        <f t="shared" ca="1" si="179"/>
        <v>0</v>
      </c>
      <c r="AV585" s="4">
        <f t="shared" ca="1" si="179"/>
        <v>0</v>
      </c>
      <c r="AW585" s="4">
        <f t="shared" ca="1" si="179"/>
        <v>0</v>
      </c>
      <c r="AX585" s="4">
        <f t="shared" ca="1" si="179"/>
        <v>0</v>
      </c>
    </row>
    <row r="586" spans="1:60" s="4" customFormat="1" ht="15" customHeight="1">
      <c r="A586" s="73"/>
      <c r="B586" s="821"/>
      <c r="C586" s="822"/>
      <c r="D586" s="38"/>
      <c r="E586" s="4" t="str">
        <f xml:space="preserve"> E$582</f>
        <v>VAT refunds paid</v>
      </c>
      <c r="F586" s="4">
        <f t="shared" ref="F586:AX586" si="180" xml:space="preserve"> F$582</f>
        <v>0</v>
      </c>
      <c r="G586" s="4" t="str">
        <f t="shared" si="180"/>
        <v>US$ mn</v>
      </c>
      <c r="H586" s="4">
        <f t="shared" si="180"/>
        <v>0</v>
      </c>
      <c r="I586" s="4">
        <f t="shared" ca="1" si="180"/>
        <v>0</v>
      </c>
      <c r="J586" s="4">
        <f t="shared" si="180"/>
        <v>0</v>
      </c>
      <c r="K586" s="4">
        <f t="shared" ca="1" si="180"/>
        <v>0</v>
      </c>
      <c r="L586" s="4">
        <f t="shared" ca="1" si="180"/>
        <v>0</v>
      </c>
      <c r="M586" s="4">
        <f t="shared" ca="1" si="180"/>
        <v>0</v>
      </c>
      <c r="N586" s="4">
        <f t="shared" ca="1" si="180"/>
        <v>0</v>
      </c>
      <c r="O586" s="4">
        <f t="shared" ca="1" si="180"/>
        <v>0</v>
      </c>
      <c r="P586" s="4">
        <f t="shared" ca="1" si="180"/>
        <v>0</v>
      </c>
      <c r="Q586" s="4">
        <f t="shared" ca="1" si="180"/>
        <v>0</v>
      </c>
      <c r="R586" s="4">
        <f t="shared" ca="1" si="180"/>
        <v>0</v>
      </c>
      <c r="S586" s="4">
        <f t="shared" ca="1" si="180"/>
        <v>0</v>
      </c>
      <c r="T586" s="4">
        <f t="shared" ca="1" si="180"/>
        <v>0</v>
      </c>
      <c r="U586" s="4">
        <f t="shared" ca="1" si="180"/>
        <v>0</v>
      </c>
      <c r="V586" s="4">
        <f t="shared" ca="1" si="180"/>
        <v>0</v>
      </c>
      <c r="W586" s="4">
        <f t="shared" ca="1" si="180"/>
        <v>0</v>
      </c>
      <c r="X586" s="4">
        <f t="shared" ca="1" si="180"/>
        <v>0</v>
      </c>
      <c r="Y586" s="4">
        <f t="shared" ca="1" si="180"/>
        <v>0</v>
      </c>
      <c r="Z586" s="4">
        <f t="shared" ca="1" si="180"/>
        <v>0</v>
      </c>
      <c r="AA586" s="4">
        <f t="shared" ca="1" si="180"/>
        <v>0</v>
      </c>
      <c r="AB586" s="4">
        <f t="shared" ca="1" si="180"/>
        <v>0</v>
      </c>
      <c r="AC586" s="4">
        <f t="shared" ca="1" si="180"/>
        <v>0</v>
      </c>
      <c r="AD586" s="4">
        <f t="shared" ca="1" si="180"/>
        <v>0</v>
      </c>
      <c r="AE586" s="4">
        <f t="shared" ca="1" si="180"/>
        <v>0</v>
      </c>
      <c r="AF586" s="4">
        <f t="shared" ca="1" si="180"/>
        <v>0</v>
      </c>
      <c r="AG586" s="4">
        <f t="shared" ca="1" si="180"/>
        <v>0</v>
      </c>
      <c r="AH586" s="4">
        <f t="shared" ca="1" si="180"/>
        <v>0</v>
      </c>
      <c r="AI586" s="4">
        <f t="shared" ca="1" si="180"/>
        <v>0</v>
      </c>
      <c r="AJ586" s="4">
        <f t="shared" ca="1" si="180"/>
        <v>0</v>
      </c>
      <c r="AK586" s="4">
        <f t="shared" ca="1" si="180"/>
        <v>0</v>
      </c>
      <c r="AL586" s="4">
        <f t="shared" ca="1" si="180"/>
        <v>0</v>
      </c>
      <c r="AM586" s="4">
        <f t="shared" ca="1" si="180"/>
        <v>0</v>
      </c>
      <c r="AN586" s="4">
        <f t="shared" ca="1" si="180"/>
        <v>0</v>
      </c>
      <c r="AO586" s="4">
        <f t="shared" ca="1" si="180"/>
        <v>0</v>
      </c>
      <c r="AP586" s="4">
        <f t="shared" ca="1" si="180"/>
        <v>0</v>
      </c>
      <c r="AQ586" s="4">
        <f t="shared" ca="1" si="180"/>
        <v>0</v>
      </c>
      <c r="AR586" s="4">
        <f t="shared" ca="1" si="180"/>
        <v>0</v>
      </c>
      <c r="AS586" s="4">
        <f t="shared" ca="1" si="180"/>
        <v>0</v>
      </c>
      <c r="AT586" s="4">
        <f t="shared" ca="1" si="180"/>
        <v>0</v>
      </c>
      <c r="AU586" s="4">
        <f t="shared" ca="1" si="180"/>
        <v>0</v>
      </c>
      <c r="AV586" s="4">
        <f t="shared" ca="1" si="180"/>
        <v>0</v>
      </c>
      <c r="AW586" s="4">
        <f t="shared" ca="1" si="180"/>
        <v>0</v>
      </c>
      <c r="AX586" s="4">
        <f t="shared" ca="1" si="180"/>
        <v>0</v>
      </c>
    </row>
    <row r="587" spans="1:60" s="4" customFormat="1" ht="15" customHeight="1">
      <c r="A587" s="73"/>
      <c r="B587" s="821"/>
      <c r="C587" s="822"/>
      <c r="D587" s="38"/>
      <c r="E587" s="4" t="str">
        <f>Translate!$E$249</f>
        <v>VAT cashflow: investor</v>
      </c>
      <c r="F587" s="38"/>
      <c r="G587" s="4" t="str">
        <f xml:space="preserve"> Translate!E$10</f>
        <v>US$ mn</v>
      </c>
      <c r="I587" s="4">
        <f ca="1" xml:space="preserve"> SUM(K587:AX587)</f>
        <v>0</v>
      </c>
      <c r="K587" s="4">
        <f t="shared" ref="K587:AX587" ca="1" si="181" xml:space="preserve"> K586 - K585</f>
        <v>0</v>
      </c>
      <c r="L587" s="4">
        <f t="shared" ca="1" si="181"/>
        <v>0</v>
      </c>
      <c r="M587" s="4">
        <f t="shared" ca="1" si="181"/>
        <v>0</v>
      </c>
      <c r="N587" s="4">
        <f t="shared" ca="1" si="181"/>
        <v>0</v>
      </c>
      <c r="O587" s="4">
        <f t="shared" ca="1" si="181"/>
        <v>0</v>
      </c>
      <c r="P587" s="4">
        <f t="shared" ca="1" si="181"/>
        <v>0</v>
      </c>
      <c r="Q587" s="4">
        <f t="shared" ca="1" si="181"/>
        <v>0</v>
      </c>
      <c r="R587" s="4">
        <f t="shared" ca="1" si="181"/>
        <v>0</v>
      </c>
      <c r="S587" s="4">
        <f t="shared" ca="1" si="181"/>
        <v>0</v>
      </c>
      <c r="T587" s="4">
        <f t="shared" ca="1" si="181"/>
        <v>0</v>
      </c>
      <c r="U587" s="4">
        <f t="shared" ca="1" si="181"/>
        <v>0</v>
      </c>
      <c r="V587" s="4">
        <f t="shared" ca="1" si="181"/>
        <v>0</v>
      </c>
      <c r="W587" s="4">
        <f t="shared" ca="1" si="181"/>
        <v>0</v>
      </c>
      <c r="X587" s="4">
        <f t="shared" ca="1" si="181"/>
        <v>0</v>
      </c>
      <c r="Y587" s="4">
        <f t="shared" ca="1" si="181"/>
        <v>0</v>
      </c>
      <c r="Z587" s="4">
        <f t="shared" ca="1" si="181"/>
        <v>0</v>
      </c>
      <c r="AA587" s="4">
        <f t="shared" ca="1" si="181"/>
        <v>0</v>
      </c>
      <c r="AB587" s="4">
        <f t="shared" ca="1" si="181"/>
        <v>0</v>
      </c>
      <c r="AC587" s="4">
        <f t="shared" ca="1" si="181"/>
        <v>0</v>
      </c>
      <c r="AD587" s="4">
        <f t="shared" ca="1" si="181"/>
        <v>0</v>
      </c>
      <c r="AE587" s="4">
        <f t="shared" ca="1" si="181"/>
        <v>0</v>
      </c>
      <c r="AF587" s="4">
        <f t="shared" ca="1" si="181"/>
        <v>0</v>
      </c>
      <c r="AG587" s="4">
        <f t="shared" ca="1" si="181"/>
        <v>0</v>
      </c>
      <c r="AH587" s="4">
        <f t="shared" ca="1" si="181"/>
        <v>0</v>
      </c>
      <c r="AI587" s="4">
        <f t="shared" ca="1" si="181"/>
        <v>0</v>
      </c>
      <c r="AJ587" s="4">
        <f t="shared" ca="1" si="181"/>
        <v>0</v>
      </c>
      <c r="AK587" s="4">
        <f t="shared" ca="1" si="181"/>
        <v>0</v>
      </c>
      <c r="AL587" s="4">
        <f t="shared" ca="1" si="181"/>
        <v>0</v>
      </c>
      <c r="AM587" s="4">
        <f t="shared" ca="1" si="181"/>
        <v>0</v>
      </c>
      <c r="AN587" s="4">
        <f t="shared" ca="1" si="181"/>
        <v>0</v>
      </c>
      <c r="AO587" s="4">
        <f t="shared" ca="1" si="181"/>
        <v>0</v>
      </c>
      <c r="AP587" s="4">
        <f t="shared" ca="1" si="181"/>
        <v>0</v>
      </c>
      <c r="AQ587" s="4">
        <f t="shared" ca="1" si="181"/>
        <v>0</v>
      </c>
      <c r="AR587" s="4">
        <f t="shared" ca="1" si="181"/>
        <v>0</v>
      </c>
      <c r="AS587" s="4">
        <f t="shared" ca="1" si="181"/>
        <v>0</v>
      </c>
      <c r="AT587" s="4">
        <f t="shared" ca="1" si="181"/>
        <v>0</v>
      </c>
      <c r="AU587" s="4">
        <f t="shared" ca="1" si="181"/>
        <v>0</v>
      </c>
      <c r="AV587" s="4">
        <f t="shared" ca="1" si="181"/>
        <v>0</v>
      </c>
      <c r="AW587" s="4">
        <f t="shared" ca="1" si="181"/>
        <v>0</v>
      </c>
      <c r="AX587" s="4">
        <f t="shared" ca="1" si="181"/>
        <v>0</v>
      </c>
    </row>
    <row r="588" spans="1:60" s="4" customFormat="1" ht="15" customHeight="1">
      <c r="A588" s="73"/>
      <c r="B588" s="821"/>
      <c r="C588" s="822"/>
      <c r="D588" s="38"/>
      <c r="E588" s="4" t="str">
        <f>Translate!$E$250</f>
        <v>VAT cashflow: government</v>
      </c>
      <c r="F588" s="38"/>
      <c r="G588" s="4" t="str">
        <f xml:space="preserve"> Translate!E$10</f>
        <v>US$ mn</v>
      </c>
      <c r="I588" s="4">
        <f ca="1" xml:space="preserve"> SUM(K588:AX588)</f>
        <v>0</v>
      </c>
      <c r="K588" s="4">
        <f t="shared" ref="K588:AX588" ca="1" si="182" xml:space="preserve"> K587 * -1</f>
        <v>0</v>
      </c>
      <c r="L588" s="4">
        <f t="shared" ca="1" si="182"/>
        <v>0</v>
      </c>
      <c r="M588" s="4">
        <f t="shared" ca="1" si="182"/>
        <v>0</v>
      </c>
      <c r="N588" s="4">
        <f t="shared" ca="1" si="182"/>
        <v>0</v>
      </c>
      <c r="O588" s="4">
        <f t="shared" ca="1" si="182"/>
        <v>0</v>
      </c>
      <c r="P588" s="4">
        <f t="shared" ca="1" si="182"/>
        <v>0</v>
      </c>
      <c r="Q588" s="4">
        <f t="shared" ca="1" si="182"/>
        <v>0</v>
      </c>
      <c r="R588" s="4">
        <f t="shared" ca="1" si="182"/>
        <v>0</v>
      </c>
      <c r="S588" s="4">
        <f t="shared" ca="1" si="182"/>
        <v>0</v>
      </c>
      <c r="T588" s="4">
        <f t="shared" ca="1" si="182"/>
        <v>0</v>
      </c>
      <c r="U588" s="4">
        <f t="shared" ca="1" si="182"/>
        <v>0</v>
      </c>
      <c r="V588" s="4">
        <f t="shared" ca="1" si="182"/>
        <v>0</v>
      </c>
      <c r="W588" s="4">
        <f t="shared" ca="1" si="182"/>
        <v>0</v>
      </c>
      <c r="X588" s="4">
        <f t="shared" ca="1" si="182"/>
        <v>0</v>
      </c>
      <c r="Y588" s="4">
        <f t="shared" ca="1" si="182"/>
        <v>0</v>
      </c>
      <c r="Z588" s="4">
        <f t="shared" ca="1" si="182"/>
        <v>0</v>
      </c>
      <c r="AA588" s="4">
        <f t="shared" ca="1" si="182"/>
        <v>0</v>
      </c>
      <c r="AB588" s="4">
        <f t="shared" ca="1" si="182"/>
        <v>0</v>
      </c>
      <c r="AC588" s="4">
        <f t="shared" ca="1" si="182"/>
        <v>0</v>
      </c>
      <c r="AD588" s="4">
        <f t="shared" ca="1" si="182"/>
        <v>0</v>
      </c>
      <c r="AE588" s="4">
        <f t="shared" ca="1" si="182"/>
        <v>0</v>
      </c>
      <c r="AF588" s="4">
        <f t="shared" ca="1" si="182"/>
        <v>0</v>
      </c>
      <c r="AG588" s="4">
        <f t="shared" ca="1" si="182"/>
        <v>0</v>
      </c>
      <c r="AH588" s="4">
        <f t="shared" ca="1" si="182"/>
        <v>0</v>
      </c>
      <c r="AI588" s="4">
        <f t="shared" ca="1" si="182"/>
        <v>0</v>
      </c>
      <c r="AJ588" s="4">
        <f t="shared" ca="1" si="182"/>
        <v>0</v>
      </c>
      <c r="AK588" s="4">
        <f t="shared" ca="1" si="182"/>
        <v>0</v>
      </c>
      <c r="AL588" s="4">
        <f t="shared" ca="1" si="182"/>
        <v>0</v>
      </c>
      <c r="AM588" s="4">
        <f t="shared" ca="1" si="182"/>
        <v>0</v>
      </c>
      <c r="AN588" s="4">
        <f t="shared" ca="1" si="182"/>
        <v>0</v>
      </c>
      <c r="AO588" s="4">
        <f t="shared" ca="1" si="182"/>
        <v>0</v>
      </c>
      <c r="AP588" s="4">
        <f t="shared" ca="1" si="182"/>
        <v>0</v>
      </c>
      <c r="AQ588" s="4">
        <f t="shared" ca="1" si="182"/>
        <v>0</v>
      </c>
      <c r="AR588" s="4">
        <f t="shared" ca="1" si="182"/>
        <v>0</v>
      </c>
      <c r="AS588" s="4">
        <f t="shared" ca="1" si="182"/>
        <v>0</v>
      </c>
      <c r="AT588" s="4">
        <f t="shared" ca="1" si="182"/>
        <v>0</v>
      </c>
      <c r="AU588" s="4">
        <f t="shared" ca="1" si="182"/>
        <v>0</v>
      </c>
      <c r="AV588" s="4">
        <f t="shared" ca="1" si="182"/>
        <v>0</v>
      </c>
      <c r="AW588" s="4">
        <f t="shared" ca="1" si="182"/>
        <v>0</v>
      </c>
      <c r="AX588" s="4">
        <f t="shared" ca="1" si="182"/>
        <v>0</v>
      </c>
    </row>
    <row r="589" spans="1:60" s="4" customFormat="1" ht="15" customHeight="1">
      <c r="A589" s="73"/>
      <c r="B589" s="821"/>
      <c r="C589" s="822"/>
      <c r="D589" s="38"/>
      <c r="F589" s="38"/>
    </row>
    <row r="590" spans="1:60" s="4" customFormat="1" ht="15" customHeight="1">
      <c r="A590" s="73"/>
      <c r="B590" s="821"/>
      <c r="C590" s="822"/>
      <c r="D590" s="38"/>
      <c r="F590" s="38"/>
    </row>
    <row r="591" spans="1:60" ht="15" customHeight="1">
      <c r="A591" s="351" t="str">
        <f>Translate!$E$34</f>
        <v>Mining company cashflows</v>
      </c>
      <c r="B591" s="686"/>
      <c r="C591" s="352"/>
      <c r="D591" s="353"/>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1041"/>
      <c r="AZ591" s="1041"/>
      <c r="BA591" s="1041"/>
      <c r="BB591" s="1041"/>
      <c r="BC591" s="1041"/>
      <c r="BD591" s="1041"/>
      <c r="BE591" s="1041"/>
      <c r="BF591" s="1041"/>
      <c r="BG591" s="1041"/>
      <c r="BH591" s="1041"/>
    </row>
    <row r="592" spans="1:60" ht="15" customHeight="1">
      <c r="A592" s="347"/>
      <c r="B592" s="507"/>
      <c r="C592" s="333"/>
      <c r="D592" s="1112"/>
      <c r="E592" s="1059"/>
      <c r="F592" s="1059"/>
      <c r="G592" s="346"/>
      <c r="H592" s="346"/>
      <c r="I592" s="1112"/>
      <c r="J592" s="1125"/>
      <c r="K592" s="1048"/>
      <c r="L592" s="1048"/>
      <c r="M592" s="1048"/>
      <c r="N592" s="1048"/>
      <c r="O592" s="1048"/>
      <c r="P592" s="1048"/>
      <c r="Q592" s="1048"/>
      <c r="R592" s="1048"/>
      <c r="S592" s="1048"/>
      <c r="T592" s="1048"/>
      <c r="U592" s="1048"/>
      <c r="V592" s="1048"/>
      <c r="W592" s="1048"/>
      <c r="X592" s="1048"/>
      <c r="Y592" s="1048"/>
      <c r="Z592" s="1048"/>
      <c r="AA592" s="1048"/>
      <c r="AB592" s="1048"/>
      <c r="AC592" s="1048"/>
      <c r="AD592" s="1048"/>
      <c r="AE592" s="1048"/>
      <c r="AF592" s="1048"/>
      <c r="AG592" s="1048"/>
      <c r="AH592" s="1048"/>
      <c r="AI592" s="1048"/>
      <c r="AJ592" s="1048"/>
      <c r="AK592" s="1048"/>
      <c r="AL592" s="1048"/>
      <c r="AM592" s="1048"/>
      <c r="AN592" s="1048"/>
      <c r="AO592" s="1048"/>
      <c r="AP592" s="1048"/>
      <c r="AQ592" s="1048"/>
      <c r="AR592" s="1048"/>
      <c r="AS592" s="1048"/>
      <c r="AT592" s="1048"/>
      <c r="AU592" s="1048"/>
      <c r="AV592" s="1048"/>
      <c r="AW592" s="1048"/>
      <c r="AX592" s="1048"/>
      <c r="AY592" s="1041"/>
      <c r="AZ592" s="1041"/>
      <c r="BA592" s="1041"/>
      <c r="BB592" s="1041"/>
      <c r="BC592" s="1041"/>
      <c r="BD592" s="1041"/>
      <c r="BE592" s="1041"/>
      <c r="BF592" s="1041"/>
      <c r="BG592" s="1041"/>
      <c r="BH592" s="1041"/>
    </row>
    <row r="593" spans="1:50" ht="15" customHeight="1">
      <c r="A593" s="397"/>
      <c r="B593" s="508"/>
      <c r="C593" s="372"/>
      <c r="D593" s="1102" t="str">
        <f>Translate!$E$605</f>
        <v>add</v>
      </c>
      <c r="E593" s="22" t="str">
        <f t="shared" ref="E593:AX593" si="183" xml:space="preserve"> E$268</f>
        <v>Project cashflows after decommissioning, royalty, bonus and carbon tax</v>
      </c>
      <c r="F593" s="22">
        <f t="shared" si="183"/>
        <v>0</v>
      </c>
      <c r="G593" s="22" t="str">
        <f t="shared" si="183"/>
        <v>US$ mn</v>
      </c>
      <c r="H593" s="22">
        <f t="shared" si="183"/>
        <v>0</v>
      </c>
      <c r="I593" s="22">
        <f t="shared" ca="1" si="183"/>
        <v>1796.2487791272606</v>
      </c>
      <c r="J593" s="22">
        <f t="shared" si="183"/>
        <v>0</v>
      </c>
      <c r="K593" s="22">
        <f t="shared" ca="1" si="183"/>
        <v>-10</v>
      </c>
      <c r="L593" s="22">
        <f t="shared" ca="1" si="183"/>
        <v>-10.199999999999999</v>
      </c>
      <c r="M593" s="22">
        <f t="shared" ca="1" si="183"/>
        <v>-10.404</v>
      </c>
      <c r="N593" s="22">
        <f t="shared" ca="1" si="183"/>
        <v>-53.060399999999994</v>
      </c>
      <c r="O593" s="22">
        <f t="shared" ca="1" si="183"/>
        <v>-260.31140407800001</v>
      </c>
      <c r="P593" s="22">
        <f t="shared" ca="1" si="183"/>
        <v>-40.47146194230001</v>
      </c>
      <c r="Q593" s="22">
        <f t="shared" ca="1" si="183"/>
        <v>151.68000084462</v>
      </c>
      <c r="R593" s="22">
        <f t="shared" ca="1" si="183"/>
        <v>154.71360086151236</v>
      </c>
      <c r="S593" s="22">
        <f t="shared" ca="1" si="183"/>
        <v>157.80787287874267</v>
      </c>
      <c r="T593" s="22">
        <f t="shared" ca="1" si="183"/>
        <v>160.96403033631753</v>
      </c>
      <c r="U593" s="22">
        <f t="shared" ca="1" si="183"/>
        <v>164.18331094304392</v>
      </c>
      <c r="V593" s="22">
        <f t="shared" ca="1" si="183"/>
        <v>167.46697716190471</v>
      </c>
      <c r="W593" s="22">
        <f t="shared" ca="1" si="183"/>
        <v>170.81631670514287</v>
      </c>
      <c r="X593" s="22">
        <f t="shared" ca="1" si="183"/>
        <v>170.70084341361866</v>
      </c>
      <c r="Y593" s="22">
        <f t="shared" ca="1" si="183"/>
        <v>174.18549627440362</v>
      </c>
      <c r="Z593" s="22">
        <f t="shared" ca="1" si="183"/>
        <v>177.73984219240421</v>
      </c>
      <c r="AA593" s="22">
        <f t="shared" ca="1" si="183"/>
        <v>148.71871497957875</v>
      </c>
      <c r="AB593" s="22">
        <f t="shared" ca="1" si="183"/>
        <v>129.6661653750524</v>
      </c>
      <c r="AC593" s="22">
        <f t="shared" ca="1" si="183"/>
        <v>98.364643599892716</v>
      </c>
      <c r="AD593" s="22">
        <f t="shared" ca="1" si="183"/>
        <v>86.544656185732407</v>
      </c>
      <c r="AE593" s="22">
        <f t="shared" ca="1" si="183"/>
        <v>67.143573395593464</v>
      </c>
      <c r="AF593" s="22">
        <f t="shared" ca="1" si="183"/>
        <v>0</v>
      </c>
      <c r="AG593" s="22">
        <f t="shared" ca="1" si="183"/>
        <v>0</v>
      </c>
      <c r="AH593" s="22">
        <f t="shared" ca="1" si="183"/>
        <v>0</v>
      </c>
      <c r="AI593" s="22">
        <f t="shared" ca="1" si="183"/>
        <v>0</v>
      </c>
      <c r="AJ593" s="22">
        <f t="shared" ca="1" si="183"/>
        <v>0</v>
      </c>
      <c r="AK593" s="22">
        <f t="shared" ca="1" si="183"/>
        <v>0</v>
      </c>
      <c r="AL593" s="22">
        <f t="shared" ca="1" si="183"/>
        <v>0</v>
      </c>
      <c r="AM593" s="22">
        <f t="shared" ca="1" si="183"/>
        <v>0</v>
      </c>
      <c r="AN593" s="22">
        <f t="shared" ca="1" si="183"/>
        <v>0</v>
      </c>
      <c r="AO593" s="22">
        <f t="shared" ca="1" si="183"/>
        <v>0</v>
      </c>
      <c r="AP593" s="22">
        <f t="shared" ca="1" si="183"/>
        <v>0</v>
      </c>
      <c r="AQ593" s="22">
        <f t="shared" ca="1" si="183"/>
        <v>0</v>
      </c>
      <c r="AR593" s="22">
        <f t="shared" ca="1" si="183"/>
        <v>0</v>
      </c>
      <c r="AS593" s="22">
        <f t="shared" ca="1" si="183"/>
        <v>0</v>
      </c>
      <c r="AT593" s="22">
        <f t="shared" ca="1" si="183"/>
        <v>0</v>
      </c>
      <c r="AU593" s="22">
        <f t="shared" ca="1" si="183"/>
        <v>0</v>
      </c>
      <c r="AV593" s="22">
        <f t="shared" ca="1" si="183"/>
        <v>0</v>
      </c>
      <c r="AW593" s="22">
        <f t="shared" ca="1" si="183"/>
        <v>0</v>
      </c>
      <c r="AX593" s="22">
        <f t="shared" ca="1" si="183"/>
        <v>0</v>
      </c>
    </row>
    <row r="594" spans="1:50" ht="15" customHeight="1">
      <c r="A594" s="397"/>
      <c r="B594" s="508"/>
      <c r="C594" s="372"/>
      <c r="D594" s="1102" t="str">
        <f>Translate!$E$606</f>
        <v>less</v>
      </c>
      <c r="E594" s="1024" t="str">
        <f t="shared" ref="E594:AX594" si="184" xml:space="preserve"> E$340</f>
        <v>Loan cashflows before interest withholding tax: Mining company</v>
      </c>
      <c r="F594" s="1024">
        <f t="shared" si="184"/>
        <v>0</v>
      </c>
      <c r="G594" s="1024" t="str">
        <f t="shared" si="184"/>
        <v>US$ mn</v>
      </c>
      <c r="H594" s="1024">
        <f t="shared" si="184"/>
        <v>0</v>
      </c>
      <c r="I594" s="1024">
        <f t="shared" ca="1" si="184"/>
        <v>101.55814836332412</v>
      </c>
      <c r="J594" s="1024">
        <f t="shared" si="184"/>
        <v>0</v>
      </c>
      <c r="K594" s="1024">
        <f t="shared" ca="1" si="184"/>
        <v>0</v>
      </c>
      <c r="L594" s="1024">
        <f t="shared" ca="1" si="184"/>
        <v>0</v>
      </c>
      <c r="M594" s="1024">
        <f t="shared" ca="1" si="184"/>
        <v>0</v>
      </c>
      <c r="N594" s="1024">
        <f t="shared" ca="1" si="184"/>
        <v>-37.142279999999992</v>
      </c>
      <c r="O594" s="1024">
        <f t="shared" ca="1" si="184"/>
        <v>-189.42562799999999</v>
      </c>
      <c r="P594" s="1024">
        <f t="shared" ca="1" si="184"/>
        <v>-77.285656223999993</v>
      </c>
      <c r="Q594" s="1024">
        <f t="shared" ca="1" si="184"/>
        <v>90.574257305164764</v>
      </c>
      <c r="R594" s="1024">
        <f t="shared" ca="1" si="184"/>
        <v>85.828299911314787</v>
      </c>
      <c r="S594" s="1024">
        <f t="shared" ca="1" si="184"/>
        <v>81.082342517464809</v>
      </c>
      <c r="T594" s="1024">
        <f t="shared" ca="1" si="184"/>
        <v>76.336385123614846</v>
      </c>
      <c r="U594" s="1024">
        <f t="shared" ca="1" si="184"/>
        <v>71.590427729764883</v>
      </c>
      <c r="V594" s="1024">
        <f t="shared" ca="1" si="184"/>
        <v>0</v>
      </c>
      <c r="W594" s="1024">
        <f t="shared" ca="1" si="184"/>
        <v>0</v>
      </c>
      <c r="X594" s="1024">
        <f t="shared" ca="1" si="184"/>
        <v>0</v>
      </c>
      <c r="Y594" s="1024">
        <f t="shared" ca="1" si="184"/>
        <v>0</v>
      </c>
      <c r="Z594" s="1024">
        <f t="shared" ca="1" si="184"/>
        <v>0</v>
      </c>
      <c r="AA594" s="1024">
        <f t="shared" ca="1" si="184"/>
        <v>0</v>
      </c>
      <c r="AB594" s="1024">
        <f t="shared" ca="1" si="184"/>
        <v>0</v>
      </c>
      <c r="AC594" s="1024">
        <f t="shared" ca="1" si="184"/>
        <v>0</v>
      </c>
      <c r="AD594" s="1024">
        <f t="shared" ca="1" si="184"/>
        <v>0</v>
      </c>
      <c r="AE594" s="1024">
        <f t="shared" ca="1" si="184"/>
        <v>0</v>
      </c>
      <c r="AF594" s="1024">
        <f t="shared" ca="1" si="184"/>
        <v>0</v>
      </c>
      <c r="AG594" s="1024">
        <f t="shared" ca="1" si="184"/>
        <v>0</v>
      </c>
      <c r="AH594" s="1024">
        <f t="shared" ca="1" si="184"/>
        <v>0</v>
      </c>
      <c r="AI594" s="1024">
        <f t="shared" ca="1" si="184"/>
        <v>0</v>
      </c>
      <c r="AJ594" s="1024">
        <f t="shared" ca="1" si="184"/>
        <v>0</v>
      </c>
      <c r="AK594" s="1024">
        <f t="shared" ca="1" si="184"/>
        <v>0</v>
      </c>
      <c r="AL594" s="1024">
        <f t="shared" ca="1" si="184"/>
        <v>0</v>
      </c>
      <c r="AM594" s="1024">
        <f t="shared" ca="1" si="184"/>
        <v>0</v>
      </c>
      <c r="AN594" s="1024">
        <f t="shared" ca="1" si="184"/>
        <v>0</v>
      </c>
      <c r="AO594" s="1024">
        <f t="shared" ca="1" si="184"/>
        <v>0</v>
      </c>
      <c r="AP594" s="1024">
        <f t="shared" ca="1" si="184"/>
        <v>0</v>
      </c>
      <c r="AQ594" s="1024">
        <f t="shared" ca="1" si="184"/>
        <v>0</v>
      </c>
      <c r="AR594" s="1024">
        <f t="shared" ca="1" si="184"/>
        <v>0</v>
      </c>
      <c r="AS594" s="1024">
        <f t="shared" ca="1" si="184"/>
        <v>0</v>
      </c>
      <c r="AT594" s="1024">
        <f t="shared" ca="1" si="184"/>
        <v>0</v>
      </c>
      <c r="AU594" s="1024">
        <f t="shared" ca="1" si="184"/>
        <v>0</v>
      </c>
      <c r="AV594" s="1024">
        <f t="shared" ca="1" si="184"/>
        <v>0</v>
      </c>
      <c r="AW594" s="1024">
        <f t="shared" ca="1" si="184"/>
        <v>0</v>
      </c>
      <c r="AX594" s="1024">
        <f t="shared" ca="1" si="184"/>
        <v>0</v>
      </c>
    </row>
    <row r="595" spans="1:50" ht="15" customHeight="1">
      <c r="A595" s="397"/>
      <c r="B595" s="508"/>
      <c r="C595" s="372"/>
      <c r="D595" s="1102" t="str">
        <f>Translate!$E$606</f>
        <v>less</v>
      </c>
      <c r="E595" s="1024" t="str">
        <f t="shared" ref="E595:AX595" si="185" xml:space="preserve"> E$477</f>
        <v>CIT: Mining company</v>
      </c>
      <c r="F595" s="1024">
        <f t="shared" si="185"/>
        <v>0</v>
      </c>
      <c r="G595" s="1024" t="str">
        <f t="shared" si="185"/>
        <v>US$ mn</v>
      </c>
      <c r="H595" s="1024">
        <f t="shared" si="185"/>
        <v>0</v>
      </c>
      <c r="I595" s="1024">
        <f t="shared" ca="1" si="185"/>
        <v>474.51337661390221</v>
      </c>
      <c r="J595" s="1024">
        <f t="shared" si="185"/>
        <v>0</v>
      </c>
      <c r="K595" s="1024">
        <f t="shared" ca="1" si="185"/>
        <v>0</v>
      </c>
      <c r="L595" s="1024">
        <f t="shared" ca="1" si="185"/>
        <v>0</v>
      </c>
      <c r="M595" s="1024">
        <f t="shared" ca="1" si="185"/>
        <v>0</v>
      </c>
      <c r="N595" s="1024">
        <f t="shared" ca="1" si="185"/>
        <v>0</v>
      </c>
      <c r="O595" s="1024">
        <f t="shared" ca="1" si="185"/>
        <v>0</v>
      </c>
      <c r="P595" s="1024">
        <f t="shared" ca="1" si="185"/>
        <v>0</v>
      </c>
      <c r="Q595" s="1024">
        <f t="shared" ca="1" si="185"/>
        <v>0</v>
      </c>
      <c r="R595" s="1024">
        <f t="shared" ca="1" si="185"/>
        <v>0</v>
      </c>
      <c r="S595" s="1024">
        <f t="shared" ca="1" si="185"/>
        <v>9.2114704406750647</v>
      </c>
      <c r="T595" s="1024">
        <f t="shared" ca="1" si="185"/>
        <v>36.332282193204342</v>
      </c>
      <c r="U595" s="1024">
        <f t="shared" ca="1" si="185"/>
        <v>44.747460178035944</v>
      </c>
      <c r="V595" s="1024">
        <f t="shared" ca="1" si="185"/>
        <v>46.997854813280213</v>
      </c>
      <c r="W595" s="1024">
        <f t="shared" ca="1" si="185"/>
        <v>47.937811909545815</v>
      </c>
      <c r="X595" s="1024">
        <f t="shared" ca="1" si="185"/>
        <v>47.907664252561148</v>
      </c>
      <c r="Y595" s="1024">
        <f t="shared" ca="1" si="185"/>
        <v>48.885595615515911</v>
      </c>
      <c r="Z595" s="1024">
        <f t="shared" ca="1" si="185"/>
        <v>49.883085605729725</v>
      </c>
      <c r="AA595" s="1024">
        <f t="shared" ca="1" si="185"/>
        <v>41.759488581975724</v>
      </c>
      <c r="AB595" s="1024">
        <f t="shared" ca="1" si="185"/>
        <v>33.917907037269394</v>
      </c>
      <c r="AC595" s="1024">
        <f t="shared" ca="1" si="185"/>
        <v>25.733016710667993</v>
      </c>
      <c r="AD595" s="1024">
        <f t="shared" ca="1" si="185"/>
        <v>23.014546720555273</v>
      </c>
      <c r="AE595" s="1024">
        <f t="shared" ca="1" si="185"/>
        <v>18.185192554885575</v>
      </c>
      <c r="AF595" s="1024">
        <f t="shared" ca="1" si="185"/>
        <v>0</v>
      </c>
      <c r="AG595" s="1024">
        <f t="shared" ca="1" si="185"/>
        <v>0</v>
      </c>
      <c r="AH595" s="1024">
        <f t="shared" ca="1" si="185"/>
        <v>0</v>
      </c>
      <c r="AI595" s="1024">
        <f t="shared" ca="1" si="185"/>
        <v>0</v>
      </c>
      <c r="AJ595" s="1024">
        <f t="shared" ca="1" si="185"/>
        <v>0</v>
      </c>
      <c r="AK595" s="1024">
        <f t="shared" ca="1" si="185"/>
        <v>0</v>
      </c>
      <c r="AL595" s="1024">
        <f t="shared" ca="1" si="185"/>
        <v>0</v>
      </c>
      <c r="AM595" s="1024">
        <f t="shared" ca="1" si="185"/>
        <v>0</v>
      </c>
      <c r="AN595" s="1024">
        <f t="shared" ca="1" si="185"/>
        <v>0</v>
      </c>
      <c r="AO595" s="1024">
        <f t="shared" ca="1" si="185"/>
        <v>0</v>
      </c>
      <c r="AP595" s="1024">
        <f t="shared" ca="1" si="185"/>
        <v>0</v>
      </c>
      <c r="AQ595" s="1024">
        <f t="shared" ca="1" si="185"/>
        <v>0</v>
      </c>
      <c r="AR595" s="1024">
        <f t="shared" ca="1" si="185"/>
        <v>0</v>
      </c>
      <c r="AS595" s="1024">
        <f t="shared" ca="1" si="185"/>
        <v>0</v>
      </c>
      <c r="AT595" s="1024">
        <f t="shared" ca="1" si="185"/>
        <v>0</v>
      </c>
      <c r="AU595" s="1024">
        <f t="shared" ca="1" si="185"/>
        <v>0</v>
      </c>
      <c r="AV595" s="1024">
        <f t="shared" ca="1" si="185"/>
        <v>0</v>
      </c>
      <c r="AW595" s="1024">
        <f t="shared" ca="1" si="185"/>
        <v>0</v>
      </c>
      <c r="AX595" s="1024">
        <f t="shared" ca="1" si="185"/>
        <v>0</v>
      </c>
    </row>
    <row r="596" spans="1:50" ht="15" customHeight="1">
      <c r="A596" s="397"/>
      <c r="B596" s="508"/>
      <c r="C596" s="372"/>
      <c r="D596" s="1102" t="str">
        <f>Translate!$E$606</f>
        <v>less</v>
      </c>
      <c r="E596" s="1024" t="str">
        <f t="shared" ref="E596:AX596" si="186" xml:space="preserve"> E$524</f>
        <v>RRT: Mining company</v>
      </c>
      <c r="F596" s="1024">
        <f t="shared" si="186"/>
        <v>0</v>
      </c>
      <c r="G596" s="1024" t="str">
        <f t="shared" si="186"/>
        <v>US$ mn</v>
      </c>
      <c r="H596" s="1024">
        <f t="shared" si="186"/>
        <v>0</v>
      </c>
      <c r="I596" s="1024">
        <f t="shared" ca="1" si="186"/>
        <v>0</v>
      </c>
      <c r="J596" s="1024">
        <f t="shared" si="186"/>
        <v>0</v>
      </c>
      <c r="K596" s="1024">
        <f t="shared" ca="1" si="186"/>
        <v>0</v>
      </c>
      <c r="L596" s="1024">
        <f t="shared" ca="1" si="186"/>
        <v>0</v>
      </c>
      <c r="M596" s="1024">
        <f t="shared" ca="1" si="186"/>
        <v>0</v>
      </c>
      <c r="N596" s="1024">
        <f t="shared" ca="1" si="186"/>
        <v>0</v>
      </c>
      <c r="O596" s="1024">
        <f t="shared" ca="1" si="186"/>
        <v>0</v>
      </c>
      <c r="P596" s="1024">
        <f t="shared" ca="1" si="186"/>
        <v>0</v>
      </c>
      <c r="Q596" s="1024">
        <f t="shared" ca="1" si="186"/>
        <v>0</v>
      </c>
      <c r="R596" s="1024">
        <f t="shared" ca="1" si="186"/>
        <v>0</v>
      </c>
      <c r="S596" s="1024">
        <f t="shared" ca="1" si="186"/>
        <v>0</v>
      </c>
      <c r="T596" s="1024">
        <f t="shared" ca="1" si="186"/>
        <v>0</v>
      </c>
      <c r="U596" s="1024">
        <f t="shared" ca="1" si="186"/>
        <v>0</v>
      </c>
      <c r="V596" s="1024">
        <f t="shared" ca="1" si="186"/>
        <v>0</v>
      </c>
      <c r="W596" s="1024">
        <f t="shared" ca="1" si="186"/>
        <v>0</v>
      </c>
      <c r="X596" s="1024">
        <f t="shared" ca="1" si="186"/>
        <v>0</v>
      </c>
      <c r="Y596" s="1024">
        <f t="shared" ca="1" si="186"/>
        <v>0</v>
      </c>
      <c r="Z596" s="1024">
        <f t="shared" ca="1" si="186"/>
        <v>0</v>
      </c>
      <c r="AA596" s="1024">
        <f t="shared" ca="1" si="186"/>
        <v>0</v>
      </c>
      <c r="AB596" s="1024">
        <f t="shared" ca="1" si="186"/>
        <v>0</v>
      </c>
      <c r="AC596" s="1024">
        <f t="shared" ca="1" si="186"/>
        <v>0</v>
      </c>
      <c r="AD596" s="1024">
        <f t="shared" ca="1" si="186"/>
        <v>0</v>
      </c>
      <c r="AE596" s="1024">
        <f t="shared" ca="1" si="186"/>
        <v>0</v>
      </c>
      <c r="AF596" s="1024">
        <f t="shared" ca="1" si="186"/>
        <v>0</v>
      </c>
      <c r="AG596" s="1024">
        <f t="shared" ca="1" si="186"/>
        <v>0</v>
      </c>
      <c r="AH596" s="1024">
        <f t="shared" ca="1" si="186"/>
        <v>0</v>
      </c>
      <c r="AI596" s="1024">
        <f t="shared" ca="1" si="186"/>
        <v>0</v>
      </c>
      <c r="AJ596" s="1024">
        <f t="shared" ca="1" si="186"/>
        <v>0</v>
      </c>
      <c r="AK596" s="1024">
        <f t="shared" ca="1" si="186"/>
        <v>0</v>
      </c>
      <c r="AL596" s="1024">
        <f t="shared" ca="1" si="186"/>
        <v>0</v>
      </c>
      <c r="AM596" s="1024">
        <f t="shared" ca="1" si="186"/>
        <v>0</v>
      </c>
      <c r="AN596" s="1024">
        <f t="shared" ca="1" si="186"/>
        <v>0</v>
      </c>
      <c r="AO596" s="1024">
        <f t="shared" ca="1" si="186"/>
        <v>0</v>
      </c>
      <c r="AP596" s="1024">
        <f t="shared" ca="1" si="186"/>
        <v>0</v>
      </c>
      <c r="AQ596" s="1024">
        <f t="shared" ca="1" si="186"/>
        <v>0</v>
      </c>
      <c r="AR596" s="1024">
        <f t="shared" ca="1" si="186"/>
        <v>0</v>
      </c>
      <c r="AS596" s="1024">
        <f t="shared" ca="1" si="186"/>
        <v>0</v>
      </c>
      <c r="AT596" s="1024">
        <f t="shared" ca="1" si="186"/>
        <v>0</v>
      </c>
      <c r="AU596" s="1024">
        <f t="shared" ca="1" si="186"/>
        <v>0</v>
      </c>
      <c r="AV596" s="1024">
        <f t="shared" ca="1" si="186"/>
        <v>0</v>
      </c>
      <c r="AW596" s="1024">
        <f t="shared" ca="1" si="186"/>
        <v>0</v>
      </c>
      <c r="AX596" s="1024">
        <f t="shared" ca="1" si="186"/>
        <v>0</v>
      </c>
    </row>
    <row r="597" spans="1:50" ht="15" customHeight="1">
      <c r="A597" s="397"/>
      <c r="B597" s="508"/>
      <c r="C597" s="372"/>
      <c r="D597" s="1102" t="str">
        <f>Translate!$E$605</f>
        <v>add</v>
      </c>
      <c r="E597" s="1024" t="str">
        <f>E$587</f>
        <v>VAT cashflow: investor</v>
      </c>
      <c r="F597" s="1024">
        <f t="shared" ref="F597:AX597" si="187">F$587</f>
        <v>0</v>
      </c>
      <c r="G597" s="1024" t="str">
        <f t="shared" si="187"/>
        <v>US$ mn</v>
      </c>
      <c r="H597" s="1024">
        <f t="shared" si="187"/>
        <v>0</v>
      </c>
      <c r="I597" s="1024">
        <f t="shared" ca="1" si="187"/>
        <v>0</v>
      </c>
      <c r="J597" s="1024">
        <f t="shared" si="187"/>
        <v>0</v>
      </c>
      <c r="K597" s="1024">
        <f t="shared" ca="1" si="187"/>
        <v>0</v>
      </c>
      <c r="L597" s="1024">
        <f t="shared" ca="1" si="187"/>
        <v>0</v>
      </c>
      <c r="M597" s="1024">
        <f t="shared" ca="1" si="187"/>
        <v>0</v>
      </c>
      <c r="N597" s="1024">
        <f t="shared" ca="1" si="187"/>
        <v>0</v>
      </c>
      <c r="O597" s="1024">
        <f t="shared" ca="1" si="187"/>
        <v>0</v>
      </c>
      <c r="P597" s="1024">
        <f t="shared" ca="1" si="187"/>
        <v>0</v>
      </c>
      <c r="Q597" s="1024">
        <f t="shared" ca="1" si="187"/>
        <v>0</v>
      </c>
      <c r="R597" s="1024">
        <f t="shared" ca="1" si="187"/>
        <v>0</v>
      </c>
      <c r="S597" s="1024">
        <f t="shared" ca="1" si="187"/>
        <v>0</v>
      </c>
      <c r="T597" s="1024">
        <f t="shared" ca="1" si="187"/>
        <v>0</v>
      </c>
      <c r="U597" s="1024">
        <f t="shared" ca="1" si="187"/>
        <v>0</v>
      </c>
      <c r="V597" s="1024">
        <f t="shared" ca="1" si="187"/>
        <v>0</v>
      </c>
      <c r="W597" s="1024">
        <f t="shared" ca="1" si="187"/>
        <v>0</v>
      </c>
      <c r="X597" s="1024">
        <f t="shared" ca="1" si="187"/>
        <v>0</v>
      </c>
      <c r="Y597" s="1024">
        <f t="shared" ca="1" si="187"/>
        <v>0</v>
      </c>
      <c r="Z597" s="1024">
        <f t="shared" ca="1" si="187"/>
        <v>0</v>
      </c>
      <c r="AA597" s="1024">
        <f t="shared" ca="1" si="187"/>
        <v>0</v>
      </c>
      <c r="AB597" s="1024">
        <f t="shared" ca="1" si="187"/>
        <v>0</v>
      </c>
      <c r="AC597" s="1024">
        <f t="shared" ca="1" si="187"/>
        <v>0</v>
      </c>
      <c r="AD597" s="1024">
        <f t="shared" ca="1" si="187"/>
        <v>0</v>
      </c>
      <c r="AE597" s="1024">
        <f t="shared" ca="1" si="187"/>
        <v>0</v>
      </c>
      <c r="AF597" s="1024">
        <f t="shared" ca="1" si="187"/>
        <v>0</v>
      </c>
      <c r="AG597" s="1024">
        <f t="shared" ca="1" si="187"/>
        <v>0</v>
      </c>
      <c r="AH597" s="1024">
        <f t="shared" ca="1" si="187"/>
        <v>0</v>
      </c>
      <c r="AI597" s="1024">
        <f t="shared" ca="1" si="187"/>
        <v>0</v>
      </c>
      <c r="AJ597" s="1024">
        <f t="shared" ca="1" si="187"/>
        <v>0</v>
      </c>
      <c r="AK597" s="1024">
        <f t="shared" ca="1" si="187"/>
        <v>0</v>
      </c>
      <c r="AL597" s="1024">
        <f t="shared" ca="1" si="187"/>
        <v>0</v>
      </c>
      <c r="AM597" s="1024">
        <f t="shared" ca="1" si="187"/>
        <v>0</v>
      </c>
      <c r="AN597" s="1024">
        <f t="shared" ca="1" si="187"/>
        <v>0</v>
      </c>
      <c r="AO597" s="1024">
        <f t="shared" ca="1" si="187"/>
        <v>0</v>
      </c>
      <c r="AP597" s="1024">
        <f t="shared" ca="1" si="187"/>
        <v>0</v>
      </c>
      <c r="AQ597" s="1024">
        <f t="shared" ca="1" si="187"/>
        <v>0</v>
      </c>
      <c r="AR597" s="1024">
        <f t="shared" ca="1" si="187"/>
        <v>0</v>
      </c>
      <c r="AS597" s="1024">
        <f t="shared" ca="1" si="187"/>
        <v>0</v>
      </c>
      <c r="AT597" s="1024">
        <f t="shared" ca="1" si="187"/>
        <v>0</v>
      </c>
      <c r="AU597" s="1024">
        <f t="shared" ca="1" si="187"/>
        <v>0</v>
      </c>
      <c r="AV597" s="1024">
        <f t="shared" ca="1" si="187"/>
        <v>0</v>
      </c>
      <c r="AW597" s="1024">
        <f t="shared" ca="1" si="187"/>
        <v>0</v>
      </c>
      <c r="AX597" s="1024">
        <f t="shared" ca="1" si="187"/>
        <v>0</v>
      </c>
    </row>
    <row r="598" spans="1:50" s="556" customFormat="1" ht="15" customHeight="1">
      <c r="A598" s="582"/>
      <c r="B598" s="696"/>
      <c r="C598" s="583"/>
      <c r="D598" s="1130"/>
      <c r="E598" s="1108" t="str">
        <f>Translate!$E$251</f>
        <v>Mining company cash flow before distributions</v>
      </c>
      <c r="F598" s="1108"/>
      <c r="G598" s="576" t="str">
        <f xml:space="preserve"> Translate!E$10</f>
        <v>US$ mn</v>
      </c>
      <c r="H598" s="576"/>
      <c r="I598" s="1108">
        <f ca="1" xml:space="preserve"> SUM(K598:AX598)</f>
        <v>1220.1772541500341</v>
      </c>
      <c r="J598" s="1108"/>
      <c r="K598" s="1108">
        <f ca="1" xml:space="preserve"> K593  - K594  - K595 - K596 + K597</f>
        <v>-10</v>
      </c>
      <c r="L598" s="1108">
        <f t="shared" ref="L598:AX598" ca="1" si="188" xml:space="preserve"> L593  - L594  - L595 - L596 + L597</f>
        <v>-10.199999999999999</v>
      </c>
      <c r="M598" s="1108">
        <f t="shared" ca="1" si="188"/>
        <v>-10.404</v>
      </c>
      <c r="N598" s="1108">
        <f t="shared" ca="1" si="188"/>
        <v>-15.918120000000002</v>
      </c>
      <c r="O598" s="1108">
        <f t="shared" ca="1" si="188"/>
        <v>-70.885776078000021</v>
      </c>
      <c r="P598" s="1108">
        <f t="shared" ca="1" si="188"/>
        <v>36.814194281699983</v>
      </c>
      <c r="Q598" s="1108">
        <f t="shared" ca="1" si="188"/>
        <v>61.105743539455233</v>
      </c>
      <c r="R598" s="1108">
        <f t="shared" ca="1" si="188"/>
        <v>68.885300950197575</v>
      </c>
      <c r="S598" s="1108">
        <f t="shared" ca="1" si="188"/>
        <v>67.51405992060279</v>
      </c>
      <c r="T598" s="1108">
        <f t="shared" ca="1" si="188"/>
        <v>48.295363019498346</v>
      </c>
      <c r="U598" s="1108">
        <f t="shared" ca="1" si="188"/>
        <v>47.845423035243094</v>
      </c>
      <c r="V598" s="1108">
        <f t="shared" ca="1" si="188"/>
        <v>120.4691223486245</v>
      </c>
      <c r="W598" s="1108">
        <f t="shared" ca="1" si="188"/>
        <v>122.87850479559705</v>
      </c>
      <c r="X598" s="1108">
        <f t="shared" ca="1" si="188"/>
        <v>122.79317916105751</v>
      </c>
      <c r="Y598" s="1108">
        <f t="shared" ca="1" si="188"/>
        <v>125.29990065888771</v>
      </c>
      <c r="Z598" s="1108">
        <f t="shared" ca="1" si="188"/>
        <v>127.85675658667449</v>
      </c>
      <c r="AA598" s="1108">
        <f t="shared" ca="1" si="188"/>
        <v>106.95922639760303</v>
      </c>
      <c r="AB598" s="1108">
        <f t="shared" ca="1" si="188"/>
        <v>95.748258337783</v>
      </c>
      <c r="AC598" s="1108">
        <f t="shared" ca="1" si="188"/>
        <v>72.631626889224719</v>
      </c>
      <c r="AD598" s="1108">
        <f t="shared" ca="1" si="188"/>
        <v>63.530109465177134</v>
      </c>
      <c r="AE598" s="1108">
        <f t="shared" ca="1" si="188"/>
        <v>48.958380840707889</v>
      </c>
      <c r="AF598" s="1108">
        <f t="shared" ca="1" si="188"/>
        <v>0</v>
      </c>
      <c r="AG598" s="1108">
        <f t="shared" ca="1" si="188"/>
        <v>0</v>
      </c>
      <c r="AH598" s="1108">
        <f t="shared" ca="1" si="188"/>
        <v>0</v>
      </c>
      <c r="AI598" s="1108">
        <f t="shared" ca="1" si="188"/>
        <v>0</v>
      </c>
      <c r="AJ598" s="1108">
        <f t="shared" ca="1" si="188"/>
        <v>0</v>
      </c>
      <c r="AK598" s="1108">
        <f t="shared" ca="1" si="188"/>
        <v>0</v>
      </c>
      <c r="AL598" s="1108">
        <f t="shared" ca="1" si="188"/>
        <v>0</v>
      </c>
      <c r="AM598" s="1108">
        <f t="shared" ca="1" si="188"/>
        <v>0</v>
      </c>
      <c r="AN598" s="1108">
        <f t="shared" ca="1" si="188"/>
        <v>0</v>
      </c>
      <c r="AO598" s="1108">
        <f t="shared" ca="1" si="188"/>
        <v>0</v>
      </c>
      <c r="AP598" s="1108">
        <f t="shared" ca="1" si="188"/>
        <v>0</v>
      </c>
      <c r="AQ598" s="1108">
        <f t="shared" ca="1" si="188"/>
        <v>0</v>
      </c>
      <c r="AR598" s="1108">
        <f t="shared" ca="1" si="188"/>
        <v>0</v>
      </c>
      <c r="AS598" s="1108">
        <f t="shared" ca="1" si="188"/>
        <v>0</v>
      </c>
      <c r="AT598" s="1108">
        <f t="shared" ca="1" si="188"/>
        <v>0</v>
      </c>
      <c r="AU598" s="1108">
        <f t="shared" ca="1" si="188"/>
        <v>0</v>
      </c>
      <c r="AV598" s="1108">
        <f t="shared" ca="1" si="188"/>
        <v>0</v>
      </c>
      <c r="AW598" s="1108">
        <f t="shared" ca="1" si="188"/>
        <v>0</v>
      </c>
      <c r="AX598" s="1108">
        <f t="shared" ca="1" si="188"/>
        <v>0</v>
      </c>
    </row>
    <row r="599" spans="1:50" s="336" customFormat="1" ht="15" customHeight="1">
      <c r="A599" s="418"/>
      <c r="B599" s="688"/>
      <c r="C599" s="376"/>
      <c r="D599" s="1102"/>
      <c r="E599" s="1024" t="str">
        <f>E598  &amp; ": " &amp; Translate!$E$19</f>
        <v>Mining company cash flow before distributions: Total</v>
      </c>
      <c r="F599" s="1024">
        <f ca="1">SUM(K598:AX598)</f>
        <v>1220.1772541500341</v>
      </c>
      <c r="G599" s="22" t="str">
        <f xml:space="preserve"> Translate!E$10</f>
        <v>US$ mn</v>
      </c>
      <c r="H599" s="22"/>
      <c r="I599" s="1024"/>
      <c r="J599" s="1024"/>
      <c r="K599" s="1024"/>
      <c r="L599" s="1024"/>
      <c r="M599" s="1024"/>
      <c r="N599" s="1024"/>
      <c r="O599" s="1024"/>
      <c r="P599" s="1024"/>
      <c r="Q599" s="1024"/>
      <c r="R599" s="1024"/>
      <c r="S599" s="1024"/>
      <c r="T599" s="1024"/>
      <c r="U599" s="1024"/>
      <c r="V599" s="1024"/>
      <c r="W599" s="1024"/>
      <c r="X599" s="1024"/>
      <c r="Y599" s="1024"/>
      <c r="Z599" s="1024"/>
      <c r="AA599" s="1024"/>
      <c r="AB599" s="1024"/>
      <c r="AC599" s="1024"/>
      <c r="AD599" s="1024"/>
      <c r="AE599" s="1024"/>
      <c r="AF599" s="1024"/>
      <c r="AG599" s="1024"/>
      <c r="AH599" s="1024"/>
      <c r="AI599" s="1024"/>
      <c r="AJ599" s="1024"/>
      <c r="AK599" s="1024"/>
      <c r="AL599" s="1024"/>
      <c r="AM599" s="1024"/>
      <c r="AN599" s="1024"/>
      <c r="AO599" s="1024"/>
      <c r="AP599" s="1024"/>
      <c r="AQ599" s="1024"/>
      <c r="AR599" s="1024"/>
      <c r="AS599" s="1024"/>
      <c r="AT599" s="1024"/>
      <c r="AU599" s="1024"/>
      <c r="AV599" s="1024"/>
      <c r="AW599" s="1024"/>
      <c r="AX599" s="1024"/>
    </row>
    <row r="600" spans="1:50" ht="15" customHeight="1">
      <c r="A600" s="397"/>
      <c r="B600" s="508"/>
      <c r="C600" s="372"/>
      <c r="D600" s="1102"/>
      <c r="E600" s="1024" t="str">
        <f xml:space="preserve"> E598 &amp; ": " &amp; Translate!E$755</f>
        <v>Mining company cash flow before distributions: cumulative</v>
      </c>
      <c r="F600" s="1024"/>
      <c r="G600" s="22" t="str">
        <f xml:space="preserve"> Translate!E$10</f>
        <v>US$ mn</v>
      </c>
      <c r="H600" s="22"/>
      <c r="I600" s="1024"/>
      <c r="J600" s="1068"/>
      <c r="K600" s="1024">
        <f t="shared" ref="K600:AX600" ca="1" si="189" xml:space="preserve"> J600 + K598</f>
        <v>-10</v>
      </c>
      <c r="L600" s="1024">
        <f t="shared" ca="1" si="189"/>
        <v>-20.2</v>
      </c>
      <c r="M600" s="1024">
        <f t="shared" ca="1" si="189"/>
        <v>-30.603999999999999</v>
      </c>
      <c r="N600" s="1024">
        <f t="shared" ca="1" si="189"/>
        <v>-46.522120000000001</v>
      </c>
      <c r="O600" s="1024">
        <f t="shared" ca="1" si="189"/>
        <v>-117.40789607800002</v>
      </c>
      <c r="P600" s="1024">
        <f t="shared" ca="1" si="189"/>
        <v>-80.593701796300039</v>
      </c>
      <c r="Q600" s="1024">
        <f t="shared" ca="1" si="189"/>
        <v>-19.487958256844806</v>
      </c>
      <c r="R600" s="1024">
        <f t="shared" ca="1" si="189"/>
        <v>49.397342693352769</v>
      </c>
      <c r="S600" s="1024">
        <f t="shared" ca="1" si="189"/>
        <v>116.91140261395556</v>
      </c>
      <c r="T600" s="1024">
        <f t="shared" ca="1" si="189"/>
        <v>165.2067656334539</v>
      </c>
      <c r="U600" s="1024">
        <f t="shared" ca="1" si="189"/>
        <v>213.052188668697</v>
      </c>
      <c r="V600" s="1024">
        <f t="shared" ca="1" si="189"/>
        <v>333.52131101732152</v>
      </c>
      <c r="W600" s="1024">
        <f t="shared" ca="1" si="189"/>
        <v>456.39981581291858</v>
      </c>
      <c r="X600" s="1024">
        <f t="shared" ca="1" si="189"/>
        <v>579.19299497397606</v>
      </c>
      <c r="Y600" s="1024">
        <f t="shared" ca="1" si="189"/>
        <v>704.49289563286379</v>
      </c>
      <c r="Z600" s="1024">
        <f t="shared" ca="1" si="189"/>
        <v>832.34965221953826</v>
      </c>
      <c r="AA600" s="1024">
        <f t="shared" ca="1" si="189"/>
        <v>939.30887861714132</v>
      </c>
      <c r="AB600" s="1024">
        <f t="shared" ca="1" si="189"/>
        <v>1035.0571369549243</v>
      </c>
      <c r="AC600" s="1024">
        <f t="shared" ca="1" si="189"/>
        <v>1107.688763844149</v>
      </c>
      <c r="AD600" s="1024">
        <f t="shared" ca="1" si="189"/>
        <v>1171.2188733093262</v>
      </c>
      <c r="AE600" s="1024">
        <f t="shared" ca="1" si="189"/>
        <v>1220.1772541500341</v>
      </c>
      <c r="AF600" s="1024">
        <f t="shared" ca="1" si="189"/>
        <v>1220.1772541500341</v>
      </c>
      <c r="AG600" s="1024">
        <f t="shared" ca="1" si="189"/>
        <v>1220.1772541500341</v>
      </c>
      <c r="AH600" s="1024">
        <f t="shared" ca="1" si="189"/>
        <v>1220.1772541500341</v>
      </c>
      <c r="AI600" s="1024">
        <f t="shared" ca="1" si="189"/>
        <v>1220.1772541500341</v>
      </c>
      <c r="AJ600" s="1024">
        <f t="shared" ca="1" si="189"/>
        <v>1220.1772541500341</v>
      </c>
      <c r="AK600" s="1024">
        <f t="shared" ca="1" si="189"/>
        <v>1220.1772541500341</v>
      </c>
      <c r="AL600" s="1024">
        <f t="shared" ca="1" si="189"/>
        <v>1220.1772541500341</v>
      </c>
      <c r="AM600" s="1024">
        <f t="shared" ca="1" si="189"/>
        <v>1220.1772541500341</v>
      </c>
      <c r="AN600" s="1024">
        <f t="shared" ca="1" si="189"/>
        <v>1220.1772541500341</v>
      </c>
      <c r="AO600" s="1024">
        <f t="shared" ca="1" si="189"/>
        <v>1220.1772541500341</v>
      </c>
      <c r="AP600" s="1024">
        <f t="shared" ca="1" si="189"/>
        <v>1220.1772541500341</v>
      </c>
      <c r="AQ600" s="1024">
        <f t="shared" ca="1" si="189"/>
        <v>1220.1772541500341</v>
      </c>
      <c r="AR600" s="1024">
        <f t="shared" ca="1" si="189"/>
        <v>1220.1772541500341</v>
      </c>
      <c r="AS600" s="1024">
        <f t="shared" ca="1" si="189"/>
        <v>1220.1772541500341</v>
      </c>
      <c r="AT600" s="1024">
        <f t="shared" ca="1" si="189"/>
        <v>1220.1772541500341</v>
      </c>
      <c r="AU600" s="1024">
        <f t="shared" ca="1" si="189"/>
        <v>1220.1772541500341</v>
      </c>
      <c r="AV600" s="1024">
        <f t="shared" ca="1" si="189"/>
        <v>1220.1772541500341</v>
      </c>
      <c r="AW600" s="1024">
        <f t="shared" ca="1" si="189"/>
        <v>1220.1772541500341</v>
      </c>
      <c r="AX600" s="1024">
        <f t="shared" ca="1" si="189"/>
        <v>1220.1772541500341</v>
      </c>
    </row>
    <row r="601" spans="1:50" ht="15" customHeight="1">
      <c r="A601" s="397"/>
      <c r="B601" s="508"/>
      <c r="C601" s="372"/>
      <c r="D601" s="1102"/>
      <c r="E601" s="1024"/>
      <c r="F601" s="1024"/>
      <c r="G601" s="22"/>
      <c r="H601" s="22"/>
      <c r="I601" s="1024"/>
      <c r="J601" s="1024"/>
      <c r="K601" s="1024"/>
      <c r="L601" s="1024"/>
      <c r="M601" s="1024"/>
      <c r="N601" s="1024"/>
      <c r="O601" s="1024"/>
      <c r="P601" s="1024"/>
      <c r="Q601" s="1024"/>
      <c r="R601" s="1024"/>
      <c r="S601" s="1024"/>
      <c r="T601" s="1024"/>
      <c r="U601" s="1024"/>
      <c r="V601" s="1024"/>
      <c r="W601" s="1024"/>
      <c r="X601" s="1024"/>
      <c r="Y601" s="1024"/>
      <c r="Z601" s="1024"/>
      <c r="AA601" s="1024"/>
      <c r="AB601" s="1024"/>
      <c r="AC601" s="1024"/>
      <c r="AD601" s="1024"/>
      <c r="AE601" s="1024"/>
      <c r="AF601" s="1024"/>
      <c r="AG601" s="1024"/>
      <c r="AH601" s="1024"/>
      <c r="AI601" s="1024"/>
      <c r="AJ601" s="1024"/>
      <c r="AK601" s="1024"/>
      <c r="AL601" s="1024"/>
      <c r="AM601" s="1024"/>
      <c r="AN601" s="1024"/>
      <c r="AO601" s="1024"/>
      <c r="AP601" s="1024"/>
      <c r="AQ601" s="1024"/>
      <c r="AR601" s="1024"/>
      <c r="AS601" s="1024"/>
      <c r="AT601" s="1024"/>
      <c r="AU601" s="1024"/>
      <c r="AV601" s="1024"/>
      <c r="AW601" s="1024"/>
      <c r="AX601" s="1024"/>
    </row>
    <row r="602" spans="1:50" ht="15" customHeight="1">
      <c r="A602" s="397"/>
      <c r="B602" s="508"/>
      <c r="C602" s="372"/>
      <c r="D602" s="1102"/>
      <c r="E602" s="1024" t="str">
        <f>Translate!$E$252</f>
        <v>Mining company equity contributions</v>
      </c>
      <c r="F602" s="1024"/>
      <c r="G602" s="22" t="str">
        <f xml:space="preserve"> Translate!E$10</f>
        <v>US$ mn</v>
      </c>
      <c r="H602" s="22"/>
      <c r="I602" s="1024">
        <f ca="1" xml:space="preserve"> SUM(K602:AX602)</f>
        <v>-117.40789607800002</v>
      </c>
      <c r="J602" s="1024"/>
      <c r="K602" s="1024">
        <f t="shared" ref="K602:AX602" ca="1" si="190" xml:space="preserve"> K598 * ( K598 &lt; 0)</f>
        <v>-10</v>
      </c>
      <c r="L602" s="1024">
        <f t="shared" ca="1" si="190"/>
        <v>-10.199999999999999</v>
      </c>
      <c r="M602" s="1024">
        <f t="shared" ca="1" si="190"/>
        <v>-10.404</v>
      </c>
      <c r="N602" s="1024">
        <f t="shared" ca="1" si="190"/>
        <v>-15.918120000000002</v>
      </c>
      <c r="O602" s="1024">
        <f t="shared" ca="1" si="190"/>
        <v>-70.885776078000021</v>
      </c>
      <c r="P602" s="1024">
        <f t="shared" ca="1" si="190"/>
        <v>0</v>
      </c>
      <c r="Q602" s="1024">
        <f t="shared" ca="1" si="190"/>
        <v>0</v>
      </c>
      <c r="R602" s="1024">
        <f t="shared" ca="1" si="190"/>
        <v>0</v>
      </c>
      <c r="S602" s="1024">
        <f t="shared" ca="1" si="190"/>
        <v>0</v>
      </c>
      <c r="T602" s="1024">
        <f t="shared" ca="1" si="190"/>
        <v>0</v>
      </c>
      <c r="U602" s="1024">
        <f t="shared" ca="1" si="190"/>
        <v>0</v>
      </c>
      <c r="V602" s="1024">
        <f t="shared" ca="1" si="190"/>
        <v>0</v>
      </c>
      <c r="W602" s="1024">
        <f t="shared" ca="1" si="190"/>
        <v>0</v>
      </c>
      <c r="X602" s="1024">
        <f t="shared" ca="1" si="190"/>
        <v>0</v>
      </c>
      <c r="Y602" s="1024">
        <f t="shared" ca="1" si="190"/>
        <v>0</v>
      </c>
      <c r="Z602" s="1024">
        <f t="shared" ca="1" si="190"/>
        <v>0</v>
      </c>
      <c r="AA602" s="1024">
        <f t="shared" ca="1" si="190"/>
        <v>0</v>
      </c>
      <c r="AB602" s="1024">
        <f t="shared" ca="1" si="190"/>
        <v>0</v>
      </c>
      <c r="AC602" s="1024">
        <f t="shared" ca="1" si="190"/>
        <v>0</v>
      </c>
      <c r="AD602" s="1024">
        <f t="shared" ca="1" si="190"/>
        <v>0</v>
      </c>
      <c r="AE602" s="1024">
        <f t="shared" ca="1" si="190"/>
        <v>0</v>
      </c>
      <c r="AF602" s="1024">
        <f t="shared" ca="1" si="190"/>
        <v>0</v>
      </c>
      <c r="AG602" s="1024">
        <f t="shared" ca="1" si="190"/>
        <v>0</v>
      </c>
      <c r="AH602" s="1024">
        <f t="shared" ca="1" si="190"/>
        <v>0</v>
      </c>
      <c r="AI602" s="1024">
        <f t="shared" ca="1" si="190"/>
        <v>0</v>
      </c>
      <c r="AJ602" s="1024">
        <f t="shared" ca="1" si="190"/>
        <v>0</v>
      </c>
      <c r="AK602" s="1024">
        <f t="shared" ca="1" si="190"/>
        <v>0</v>
      </c>
      <c r="AL602" s="1024">
        <f t="shared" ca="1" si="190"/>
        <v>0</v>
      </c>
      <c r="AM602" s="1024">
        <f t="shared" ca="1" si="190"/>
        <v>0</v>
      </c>
      <c r="AN602" s="1024">
        <f t="shared" ca="1" si="190"/>
        <v>0</v>
      </c>
      <c r="AO602" s="1024">
        <f t="shared" ca="1" si="190"/>
        <v>0</v>
      </c>
      <c r="AP602" s="1024">
        <f t="shared" ca="1" si="190"/>
        <v>0</v>
      </c>
      <c r="AQ602" s="1024">
        <f t="shared" ca="1" si="190"/>
        <v>0</v>
      </c>
      <c r="AR602" s="1024">
        <f t="shared" ca="1" si="190"/>
        <v>0</v>
      </c>
      <c r="AS602" s="1024">
        <f t="shared" ca="1" si="190"/>
        <v>0</v>
      </c>
      <c r="AT602" s="1024">
        <f t="shared" ca="1" si="190"/>
        <v>0</v>
      </c>
      <c r="AU602" s="1024">
        <f t="shared" ca="1" si="190"/>
        <v>0</v>
      </c>
      <c r="AV602" s="1024">
        <f t="shared" ca="1" si="190"/>
        <v>0</v>
      </c>
      <c r="AW602" s="1024">
        <f t="shared" ca="1" si="190"/>
        <v>0</v>
      </c>
      <c r="AX602" s="1024">
        <f t="shared" ca="1" si="190"/>
        <v>0</v>
      </c>
    </row>
    <row r="603" spans="1:50" ht="15" customHeight="1">
      <c r="A603" s="397"/>
      <c r="B603" s="508"/>
      <c r="C603" s="372"/>
      <c r="D603" s="1102"/>
      <c r="E603" s="1024" t="str">
        <f>Translate!$E$253</f>
        <v>Mining company positive cashflows distributed</v>
      </c>
      <c r="F603" s="1024"/>
      <c r="G603" s="22" t="str">
        <f xml:space="preserve"> Translate!E$10</f>
        <v>US$ mn</v>
      </c>
      <c r="H603" s="22"/>
      <c r="I603" s="1024">
        <f ca="1" xml:space="preserve"> SUM(K603:AX603)</f>
        <v>1337.5851502280339</v>
      </c>
      <c r="J603" s="1024"/>
      <c r="K603" s="1024">
        <f t="shared" ref="K603:P603" ca="1" si="191" xml:space="preserve"> K598 * (K598 &gt; 0)</f>
        <v>0</v>
      </c>
      <c r="L603" s="1024">
        <f t="shared" ca="1" si="191"/>
        <v>0</v>
      </c>
      <c r="M603" s="1024">
        <f t="shared" ca="1" si="191"/>
        <v>0</v>
      </c>
      <c r="N603" s="1024">
        <f t="shared" ca="1" si="191"/>
        <v>0</v>
      </c>
      <c r="O603" s="1024">
        <f t="shared" ca="1" si="191"/>
        <v>0</v>
      </c>
      <c r="P603" s="1024">
        <f t="shared" ca="1" si="191"/>
        <v>36.814194281699983</v>
      </c>
      <c r="Q603" s="1024">
        <f t="shared" ref="Q603:AX603" ca="1" si="192" xml:space="preserve"> Q598 * (Q598 &gt; 0)</f>
        <v>61.105743539455233</v>
      </c>
      <c r="R603" s="1024">
        <f t="shared" ca="1" si="192"/>
        <v>68.885300950197575</v>
      </c>
      <c r="S603" s="1024">
        <f t="shared" ca="1" si="192"/>
        <v>67.51405992060279</v>
      </c>
      <c r="T603" s="1024">
        <f t="shared" ca="1" si="192"/>
        <v>48.295363019498346</v>
      </c>
      <c r="U603" s="1024">
        <f t="shared" ca="1" si="192"/>
        <v>47.845423035243094</v>
      </c>
      <c r="V603" s="1024">
        <f t="shared" ca="1" si="192"/>
        <v>120.4691223486245</v>
      </c>
      <c r="W603" s="1024">
        <f t="shared" ca="1" si="192"/>
        <v>122.87850479559705</v>
      </c>
      <c r="X603" s="1024">
        <f t="shared" ca="1" si="192"/>
        <v>122.79317916105751</v>
      </c>
      <c r="Y603" s="1024">
        <f t="shared" ca="1" si="192"/>
        <v>125.29990065888771</v>
      </c>
      <c r="Z603" s="1024">
        <f t="shared" ca="1" si="192"/>
        <v>127.85675658667449</v>
      </c>
      <c r="AA603" s="1024">
        <f t="shared" ca="1" si="192"/>
        <v>106.95922639760303</v>
      </c>
      <c r="AB603" s="1024">
        <f t="shared" ca="1" si="192"/>
        <v>95.748258337783</v>
      </c>
      <c r="AC603" s="1024">
        <f t="shared" ca="1" si="192"/>
        <v>72.631626889224719</v>
      </c>
      <c r="AD603" s="1024">
        <f t="shared" ca="1" si="192"/>
        <v>63.530109465177134</v>
      </c>
      <c r="AE603" s="1024">
        <f t="shared" ca="1" si="192"/>
        <v>48.958380840707889</v>
      </c>
      <c r="AF603" s="1024">
        <f t="shared" ca="1" si="192"/>
        <v>0</v>
      </c>
      <c r="AG603" s="1024">
        <f t="shared" ca="1" si="192"/>
        <v>0</v>
      </c>
      <c r="AH603" s="1024">
        <f t="shared" ca="1" si="192"/>
        <v>0</v>
      </c>
      <c r="AI603" s="1024">
        <f t="shared" ca="1" si="192"/>
        <v>0</v>
      </c>
      <c r="AJ603" s="1024">
        <f t="shared" ca="1" si="192"/>
        <v>0</v>
      </c>
      <c r="AK603" s="1024">
        <f t="shared" ca="1" si="192"/>
        <v>0</v>
      </c>
      <c r="AL603" s="1024">
        <f t="shared" ca="1" si="192"/>
        <v>0</v>
      </c>
      <c r="AM603" s="1024">
        <f t="shared" ca="1" si="192"/>
        <v>0</v>
      </c>
      <c r="AN603" s="1024">
        <f t="shared" ca="1" si="192"/>
        <v>0</v>
      </c>
      <c r="AO603" s="1024">
        <f t="shared" ca="1" si="192"/>
        <v>0</v>
      </c>
      <c r="AP603" s="1024">
        <f t="shared" ca="1" si="192"/>
        <v>0</v>
      </c>
      <c r="AQ603" s="1024">
        <f t="shared" ca="1" si="192"/>
        <v>0</v>
      </c>
      <c r="AR603" s="1024">
        <f t="shared" ca="1" si="192"/>
        <v>0</v>
      </c>
      <c r="AS603" s="1024">
        <f t="shared" ca="1" si="192"/>
        <v>0</v>
      </c>
      <c r="AT603" s="1024">
        <f t="shared" ca="1" si="192"/>
        <v>0</v>
      </c>
      <c r="AU603" s="1024">
        <f t="shared" ca="1" si="192"/>
        <v>0</v>
      </c>
      <c r="AV603" s="1024">
        <f t="shared" ca="1" si="192"/>
        <v>0</v>
      </c>
      <c r="AW603" s="1024">
        <f t="shared" ca="1" si="192"/>
        <v>0</v>
      </c>
      <c r="AX603" s="1024">
        <f t="shared" ca="1" si="192"/>
        <v>0</v>
      </c>
    </row>
    <row r="604" spans="1:50" ht="15" customHeight="1">
      <c r="A604" s="397"/>
      <c r="B604" s="508"/>
      <c r="C604" s="372"/>
      <c r="D604" s="1102"/>
      <c r="E604" s="1024"/>
      <c r="F604" s="1024"/>
      <c r="G604" s="22"/>
      <c r="H604" s="22"/>
      <c r="I604" s="1024"/>
      <c r="J604" s="1024"/>
      <c r="K604" s="1024"/>
      <c r="L604" s="1024"/>
      <c r="M604" s="1024"/>
      <c r="N604" s="1024"/>
      <c r="O604" s="1024"/>
      <c r="P604" s="1024"/>
      <c r="Q604" s="1024"/>
      <c r="R604" s="1024"/>
      <c r="S604" s="1024"/>
      <c r="T604" s="1024"/>
      <c r="U604" s="1024"/>
      <c r="V604" s="1024"/>
      <c r="W604" s="1024"/>
      <c r="X604" s="1024"/>
      <c r="Y604" s="1024"/>
      <c r="Z604" s="1024"/>
      <c r="AA604" s="1024"/>
      <c r="AB604" s="1024"/>
      <c r="AC604" s="1024"/>
      <c r="AD604" s="1024"/>
      <c r="AE604" s="1024"/>
      <c r="AF604" s="1024"/>
      <c r="AG604" s="1024"/>
      <c r="AH604" s="1024"/>
      <c r="AI604" s="1024"/>
      <c r="AJ604" s="1024"/>
      <c r="AK604" s="1024"/>
      <c r="AL604" s="1024"/>
      <c r="AM604" s="1024"/>
      <c r="AN604" s="1024"/>
      <c r="AO604" s="1024"/>
      <c r="AP604" s="1024"/>
      <c r="AQ604" s="1024"/>
      <c r="AR604" s="1024"/>
      <c r="AS604" s="1024"/>
      <c r="AT604" s="1024"/>
      <c r="AU604" s="1024"/>
      <c r="AV604" s="1024"/>
      <c r="AW604" s="1024"/>
      <c r="AX604" s="1024"/>
    </row>
    <row r="605" spans="1:50" ht="15" customHeight="1">
      <c r="A605" s="397"/>
      <c r="B605" s="508"/>
      <c r="C605" s="372"/>
      <c r="D605" s="1102"/>
      <c r="E605" s="1024" t="str">
        <f>Translate!$E$256</f>
        <v>Mining company distributions deemed dividends</v>
      </c>
      <c r="F605" s="1024"/>
      <c r="G605" s="1024" t="str">
        <f xml:space="preserve"> Translate!E$10</f>
        <v>US$ mn</v>
      </c>
      <c r="H605" s="641"/>
      <c r="I605" s="1024">
        <f ca="1" xml:space="preserve"> SUM(K605:AX605)</f>
        <v>1220.1772541500341</v>
      </c>
      <c r="J605" s="1024"/>
      <c r="K605" s="1024">
        <f ca="1" xml:space="preserve"> MAX( 0, MIN(K603, $F599 - SUM($J605:J605)))</f>
        <v>0</v>
      </c>
      <c r="L605" s="1024">
        <f ca="1" xml:space="preserve"> MAX( 0, MIN(L603, $F599 - SUM($J605:K605)))</f>
        <v>0</v>
      </c>
      <c r="M605" s="1024">
        <f ca="1" xml:space="preserve"> MAX( 0, MIN(M603, $F599 - SUM($J605:L605)))</f>
        <v>0</v>
      </c>
      <c r="N605" s="1024">
        <f ca="1" xml:space="preserve"> MAX( 0, MIN(N603, $F599 - SUM($J605:M605)))</f>
        <v>0</v>
      </c>
      <c r="O605" s="1024">
        <f ca="1" xml:space="preserve"> MAX( 0, MIN(O603, $F599 - SUM($J605:N605)))</f>
        <v>0</v>
      </c>
      <c r="P605" s="1024">
        <f ca="1" xml:space="preserve"> MAX( 0, MIN(P603, $F599 - SUM($J605:O605)))</f>
        <v>36.814194281699983</v>
      </c>
      <c r="Q605" s="1024">
        <f ca="1" xml:space="preserve"> MAX( 0, MIN(Q603, $F599 - SUM($J605:P605)))</f>
        <v>61.105743539455233</v>
      </c>
      <c r="R605" s="1024">
        <f ca="1" xml:space="preserve"> MAX( 0, MIN(R603, $F599 - SUM($J605:Q605)))</f>
        <v>68.885300950197575</v>
      </c>
      <c r="S605" s="1024">
        <f ca="1" xml:space="preserve"> MAX( 0, MIN(S603, $F599 - SUM($J605:R605)))</f>
        <v>67.51405992060279</v>
      </c>
      <c r="T605" s="1024">
        <f ca="1" xml:space="preserve"> MAX( 0, MIN(T603, $F599 - SUM($J605:S605)))</f>
        <v>48.295363019498346</v>
      </c>
      <c r="U605" s="1024">
        <f ca="1" xml:space="preserve"> MAX( 0, MIN(U603, $F599 - SUM($J605:T605)))</f>
        <v>47.845423035243094</v>
      </c>
      <c r="V605" s="1024">
        <f ca="1" xml:space="preserve"> MAX( 0, MIN(V603, $F599 - SUM($J605:U605)))</f>
        <v>120.4691223486245</v>
      </c>
      <c r="W605" s="1024">
        <f ca="1" xml:space="preserve"> MAX( 0, MIN(W603, $F599 - SUM($J605:V605)))</f>
        <v>122.87850479559705</v>
      </c>
      <c r="X605" s="1024">
        <f ca="1" xml:space="preserve"> MAX( 0, MIN(X603, $F599 - SUM($J605:W605)))</f>
        <v>122.79317916105751</v>
      </c>
      <c r="Y605" s="1024">
        <f ca="1" xml:space="preserve"> MAX( 0, MIN(Y603, $F599 - SUM($J605:X605)))</f>
        <v>125.29990065888771</v>
      </c>
      <c r="Z605" s="1024">
        <f ca="1" xml:space="preserve"> MAX( 0, MIN(Z603, $F599 - SUM($J605:Y605)))</f>
        <v>127.85675658667449</v>
      </c>
      <c r="AA605" s="1024">
        <f ca="1" xml:space="preserve"> MAX( 0, MIN(AA603, $F599 - SUM($J605:Z605)))</f>
        <v>106.95922639760303</v>
      </c>
      <c r="AB605" s="1024">
        <f ca="1" xml:space="preserve"> MAX( 0, MIN(AB603, $F599 - SUM($J605:AA605)))</f>
        <v>95.748258337783</v>
      </c>
      <c r="AC605" s="1024">
        <f ca="1" xml:space="preserve"> MAX( 0, MIN(AC603, $F599 - SUM($J605:AB605)))</f>
        <v>67.712221117109948</v>
      </c>
      <c r="AD605" s="1024">
        <f ca="1" xml:space="preserve"> MAX( 0, MIN(AD603, $F599 - SUM($J605:AC605)))</f>
        <v>0</v>
      </c>
      <c r="AE605" s="1024">
        <f ca="1" xml:space="preserve"> MAX( 0, MIN(AE603, $F599 - SUM($J605:AD605)))</f>
        <v>0</v>
      </c>
      <c r="AF605" s="1024">
        <f ca="1" xml:space="preserve"> MAX( 0, MIN(AF603, $F599 - SUM($J605:AE605)))</f>
        <v>0</v>
      </c>
      <c r="AG605" s="1024">
        <f ca="1" xml:space="preserve"> MAX( 0, MIN(AG603, $F599 - SUM($J605:AF605)))</f>
        <v>0</v>
      </c>
      <c r="AH605" s="1024">
        <f ca="1" xml:space="preserve"> MAX( 0, MIN(AH603, $F599 - SUM($J605:AG605)))</f>
        <v>0</v>
      </c>
      <c r="AI605" s="1024">
        <f ca="1" xml:space="preserve"> MAX( 0, MIN(AI603, $F599 - SUM($J605:AH605)))</f>
        <v>0</v>
      </c>
      <c r="AJ605" s="1024">
        <f ca="1" xml:space="preserve"> MAX( 0, MIN(AJ603, $F599 - SUM($J605:AI605)))</f>
        <v>0</v>
      </c>
      <c r="AK605" s="1024">
        <f ca="1" xml:space="preserve"> MAX( 0, MIN(AK603, $F599 - SUM($J605:AJ605)))</f>
        <v>0</v>
      </c>
      <c r="AL605" s="1024">
        <f ca="1" xml:space="preserve"> MAX( 0, MIN(AL603, $F599 - SUM($J605:AK605)))</f>
        <v>0</v>
      </c>
      <c r="AM605" s="1024">
        <f ca="1" xml:space="preserve"> MAX( 0, MIN(AM603, $F599 - SUM($J605:AL605)))</f>
        <v>0</v>
      </c>
      <c r="AN605" s="1024">
        <f ca="1" xml:space="preserve"> MAX( 0, MIN(AN603, $F599 - SUM($J605:AM605)))</f>
        <v>0</v>
      </c>
      <c r="AO605" s="1024">
        <f ca="1" xml:space="preserve"> MAX( 0, MIN(AO603, $F599 - SUM($J605:AN605)))</f>
        <v>0</v>
      </c>
      <c r="AP605" s="1024">
        <f ca="1" xml:space="preserve"> MAX( 0, MIN(AP603, $F599 - SUM($J605:AO605)))</f>
        <v>0</v>
      </c>
      <c r="AQ605" s="1024">
        <f ca="1" xml:space="preserve"> MAX( 0, MIN(AQ603, $F599 - SUM($J605:AP605)))</f>
        <v>0</v>
      </c>
      <c r="AR605" s="1024">
        <f ca="1" xml:space="preserve"> MAX( 0, MIN(AR603, $F599 - SUM($J605:AQ605)))</f>
        <v>0</v>
      </c>
      <c r="AS605" s="1024">
        <f ca="1" xml:space="preserve"> MAX( 0, MIN(AS603, $F599 - SUM($J605:AR605)))</f>
        <v>0</v>
      </c>
      <c r="AT605" s="1024">
        <f ca="1" xml:space="preserve"> MAX( 0, MIN(AT603, $F599 - SUM($J605:AS605)))</f>
        <v>0</v>
      </c>
      <c r="AU605" s="1024">
        <f ca="1" xml:space="preserve"> MAX( 0, MIN(AU603, $F599 - SUM($J605:AT605)))</f>
        <v>0</v>
      </c>
      <c r="AV605" s="1024">
        <f ca="1" xml:space="preserve"> MAX( 0, MIN(AV603, $F599 - SUM($J605:AU605)))</f>
        <v>0</v>
      </c>
      <c r="AW605" s="1024">
        <f ca="1" xml:space="preserve"> MAX( 0, MIN(AW603, $F599 - SUM($J605:AV605)))</f>
        <v>0</v>
      </c>
      <c r="AX605" s="1024">
        <f ca="1" xml:space="preserve"> MAX( 0, MIN(AX603, $F599 - SUM($J605:AW605)))</f>
        <v>0</v>
      </c>
    </row>
    <row r="606" spans="1:50" ht="15" customHeight="1">
      <c r="A606" s="397"/>
      <c r="B606" s="508"/>
      <c r="C606" s="372"/>
      <c r="D606" s="1102"/>
      <c r="E606" s="1024" t="str">
        <f>Translate!$E$257</f>
        <v>Mining company distributions deemed return of capital</v>
      </c>
      <c r="F606" s="1024"/>
      <c r="G606" s="1024" t="str">
        <f xml:space="preserve"> Translate!E$10</f>
        <v>US$ mn</v>
      </c>
      <c r="H606" s="641"/>
      <c r="I606" s="1024">
        <f ca="1" xml:space="preserve"> SUM(K606:AX606)</f>
        <v>117.40789607799979</v>
      </c>
      <c r="J606" s="1024"/>
      <c r="K606" s="1024">
        <f t="shared" ref="K606:AX606" ca="1" si="193" xml:space="preserve"> K603 - K605</f>
        <v>0</v>
      </c>
      <c r="L606" s="1024">
        <f t="shared" ca="1" si="193"/>
        <v>0</v>
      </c>
      <c r="M606" s="1024">
        <f t="shared" ca="1" si="193"/>
        <v>0</v>
      </c>
      <c r="N606" s="1024">
        <f t="shared" ca="1" si="193"/>
        <v>0</v>
      </c>
      <c r="O606" s="1024">
        <f t="shared" ca="1" si="193"/>
        <v>0</v>
      </c>
      <c r="P606" s="1024">
        <f t="shared" ca="1" si="193"/>
        <v>0</v>
      </c>
      <c r="Q606" s="1024">
        <f t="shared" ca="1" si="193"/>
        <v>0</v>
      </c>
      <c r="R606" s="1024">
        <f t="shared" ca="1" si="193"/>
        <v>0</v>
      </c>
      <c r="S606" s="1024">
        <f t="shared" ca="1" si="193"/>
        <v>0</v>
      </c>
      <c r="T606" s="1024">
        <f t="shared" ca="1" si="193"/>
        <v>0</v>
      </c>
      <c r="U606" s="1024">
        <f t="shared" ca="1" si="193"/>
        <v>0</v>
      </c>
      <c r="V606" s="1024">
        <f t="shared" ca="1" si="193"/>
        <v>0</v>
      </c>
      <c r="W606" s="1024">
        <f t="shared" ca="1" si="193"/>
        <v>0</v>
      </c>
      <c r="X606" s="1024">
        <f t="shared" ca="1" si="193"/>
        <v>0</v>
      </c>
      <c r="Y606" s="1024">
        <f t="shared" ca="1" si="193"/>
        <v>0</v>
      </c>
      <c r="Z606" s="1024">
        <f t="shared" ca="1" si="193"/>
        <v>0</v>
      </c>
      <c r="AA606" s="1024">
        <f t="shared" ca="1" si="193"/>
        <v>0</v>
      </c>
      <c r="AB606" s="1024">
        <f t="shared" ca="1" si="193"/>
        <v>0</v>
      </c>
      <c r="AC606" s="1024">
        <f t="shared" ca="1" si="193"/>
        <v>4.9194057721147715</v>
      </c>
      <c r="AD606" s="1024">
        <f t="shared" ca="1" si="193"/>
        <v>63.530109465177134</v>
      </c>
      <c r="AE606" s="1024">
        <f t="shared" ca="1" si="193"/>
        <v>48.958380840707889</v>
      </c>
      <c r="AF606" s="1024">
        <f t="shared" ca="1" si="193"/>
        <v>0</v>
      </c>
      <c r="AG606" s="1024">
        <f t="shared" ca="1" si="193"/>
        <v>0</v>
      </c>
      <c r="AH606" s="1024">
        <f t="shared" ca="1" si="193"/>
        <v>0</v>
      </c>
      <c r="AI606" s="1024">
        <f t="shared" ca="1" si="193"/>
        <v>0</v>
      </c>
      <c r="AJ606" s="1024">
        <f t="shared" ca="1" si="193"/>
        <v>0</v>
      </c>
      <c r="AK606" s="1024">
        <f t="shared" ca="1" si="193"/>
        <v>0</v>
      </c>
      <c r="AL606" s="1024">
        <f t="shared" ca="1" si="193"/>
        <v>0</v>
      </c>
      <c r="AM606" s="1024">
        <f t="shared" ca="1" si="193"/>
        <v>0</v>
      </c>
      <c r="AN606" s="1024">
        <f t="shared" ca="1" si="193"/>
        <v>0</v>
      </c>
      <c r="AO606" s="1024">
        <f t="shared" ca="1" si="193"/>
        <v>0</v>
      </c>
      <c r="AP606" s="1024">
        <f t="shared" ca="1" si="193"/>
        <v>0</v>
      </c>
      <c r="AQ606" s="1024">
        <f t="shared" ca="1" si="193"/>
        <v>0</v>
      </c>
      <c r="AR606" s="1024">
        <f t="shared" ca="1" si="193"/>
        <v>0</v>
      </c>
      <c r="AS606" s="1024">
        <f t="shared" ca="1" si="193"/>
        <v>0</v>
      </c>
      <c r="AT606" s="1024">
        <f t="shared" ca="1" si="193"/>
        <v>0</v>
      </c>
      <c r="AU606" s="1024">
        <f t="shared" ca="1" si="193"/>
        <v>0</v>
      </c>
      <c r="AV606" s="1024">
        <f t="shared" ca="1" si="193"/>
        <v>0</v>
      </c>
      <c r="AW606" s="1024">
        <f t="shared" ca="1" si="193"/>
        <v>0</v>
      </c>
      <c r="AX606" s="1024">
        <f t="shared" ca="1" si="193"/>
        <v>0</v>
      </c>
    </row>
    <row r="607" spans="1:50" ht="15" customHeight="1">
      <c r="A607" s="397"/>
      <c r="B607" s="508"/>
      <c r="C607" s="372"/>
      <c r="D607" s="1102"/>
      <c r="E607" s="1024"/>
      <c r="F607" s="1024"/>
      <c r="G607" s="22"/>
      <c r="H607" s="22"/>
      <c r="I607" s="1024"/>
      <c r="J607" s="1024"/>
      <c r="K607" s="1024"/>
      <c r="L607" s="1024"/>
      <c r="M607" s="1024"/>
      <c r="N607" s="1024"/>
      <c r="O607" s="1024"/>
      <c r="P607" s="1024"/>
      <c r="Q607" s="1024"/>
      <c r="R607" s="1024"/>
      <c r="S607" s="1024"/>
      <c r="T607" s="1024"/>
      <c r="U607" s="1024"/>
      <c r="V607" s="1024"/>
      <c r="W607" s="1024"/>
      <c r="X607" s="1024"/>
      <c r="Y607" s="1024"/>
      <c r="Z607" s="1024"/>
      <c r="AA607" s="1024"/>
      <c r="AB607" s="1024"/>
      <c r="AC607" s="1024"/>
      <c r="AD607" s="1024"/>
      <c r="AE607" s="1024"/>
      <c r="AF607" s="1024"/>
      <c r="AG607" s="1024"/>
      <c r="AH607" s="1024"/>
      <c r="AI607" s="1024"/>
      <c r="AJ607" s="1024"/>
      <c r="AK607" s="1024"/>
      <c r="AL607" s="1024"/>
      <c r="AM607" s="1024"/>
      <c r="AN607" s="1024"/>
      <c r="AO607" s="1024"/>
      <c r="AP607" s="1024"/>
      <c r="AQ607" s="1024"/>
      <c r="AR607" s="1024"/>
      <c r="AS607" s="1024"/>
      <c r="AT607" s="1024"/>
      <c r="AU607" s="1024"/>
      <c r="AV607" s="1024"/>
      <c r="AW607" s="1024"/>
      <c r="AX607" s="1024"/>
    </row>
    <row r="608" spans="1:50" ht="15" customHeight="1">
      <c r="A608" s="397"/>
      <c r="B608" s="508"/>
      <c r="C608" s="372"/>
      <c r="D608" s="1102"/>
      <c r="E608" s="429" t="str">
        <f>Translate!$E$444 &amp; ": " &amp; E$603</f>
        <v>Check: Mining company positive cashflows distributed</v>
      </c>
      <c r="F608" s="128">
        <f ca="1" xml:space="preserve"> IF( ABS( SUM(K605:AX606) - SUM(K603:AX603)) &gt; CHK_TOL, 1, 0)</f>
        <v>0</v>
      </c>
      <c r="G608" s="429" t="str">
        <f xml:space="preserve"> Translate!E$444</f>
        <v>Check</v>
      </c>
      <c r="H608" s="22"/>
      <c r="I608" s="1024"/>
      <c r="J608" s="1024"/>
      <c r="K608" s="1024"/>
      <c r="L608" s="1024"/>
      <c r="M608" s="1024"/>
      <c r="N608" s="1024"/>
      <c r="O608" s="1024"/>
      <c r="P608" s="1024"/>
      <c r="Q608" s="1024"/>
      <c r="R608" s="1024"/>
      <c r="S608" s="1024"/>
      <c r="T608" s="1024"/>
      <c r="U608" s="1024"/>
      <c r="V608" s="1024"/>
      <c r="W608" s="1024"/>
      <c r="X608" s="1024"/>
      <c r="Y608" s="1024"/>
      <c r="Z608" s="1024"/>
      <c r="AA608" s="1024"/>
      <c r="AB608" s="1024"/>
      <c r="AC608" s="1024"/>
      <c r="AD608" s="1024"/>
      <c r="AE608" s="1024"/>
      <c r="AF608" s="1024"/>
      <c r="AG608" s="1024"/>
      <c r="AH608" s="1024"/>
      <c r="AI608" s="1024"/>
      <c r="AJ608" s="1024"/>
      <c r="AK608" s="1024"/>
      <c r="AL608" s="1024"/>
      <c r="AM608" s="1024"/>
      <c r="AN608" s="1024"/>
      <c r="AO608" s="1024"/>
      <c r="AP608" s="1024"/>
      <c r="AQ608" s="1024"/>
      <c r="AR608" s="1024"/>
      <c r="AS608" s="1024"/>
      <c r="AT608" s="1024"/>
      <c r="AU608" s="1024"/>
      <c r="AV608" s="1024"/>
      <c r="AW608" s="1024"/>
      <c r="AX608" s="1024"/>
    </row>
    <row r="609" spans="1:50" ht="15" customHeight="1">
      <c r="A609" s="397"/>
      <c r="B609" s="508"/>
      <c r="C609" s="372"/>
      <c r="D609" s="1102"/>
      <c r="E609" s="1024"/>
      <c r="F609" s="1024"/>
      <c r="G609" s="22"/>
      <c r="H609" s="22"/>
      <c r="I609" s="1024"/>
      <c r="J609" s="1024"/>
      <c r="K609" s="1024"/>
      <c r="L609" s="1024"/>
      <c r="M609" s="1024"/>
      <c r="N609" s="1024"/>
      <c r="O609" s="1024"/>
      <c r="P609" s="1024"/>
      <c r="Q609" s="1024"/>
      <c r="R609" s="1024"/>
      <c r="S609" s="1024"/>
      <c r="T609" s="1024"/>
      <c r="U609" s="1024"/>
      <c r="V609" s="1024"/>
      <c r="W609" s="1024"/>
      <c r="X609" s="1024"/>
      <c r="Y609" s="1024"/>
      <c r="Z609" s="1024"/>
      <c r="AA609" s="1024"/>
      <c r="AB609" s="1024"/>
      <c r="AC609" s="1024"/>
      <c r="AD609" s="1024"/>
      <c r="AE609" s="1024"/>
      <c r="AF609" s="1024"/>
      <c r="AG609" s="1024"/>
      <c r="AH609" s="1024"/>
      <c r="AI609" s="1024"/>
      <c r="AJ609" s="1024"/>
      <c r="AK609" s="1024"/>
      <c r="AL609" s="1024"/>
      <c r="AM609" s="1024"/>
      <c r="AN609" s="1024"/>
      <c r="AO609" s="1024"/>
      <c r="AP609" s="1024"/>
      <c r="AQ609" s="1024"/>
      <c r="AR609" s="1024"/>
      <c r="AS609" s="1024"/>
      <c r="AT609" s="1024"/>
      <c r="AU609" s="1024"/>
      <c r="AV609" s="1024"/>
      <c r="AW609" s="1024"/>
      <c r="AX609" s="1024"/>
    </row>
    <row r="610" spans="1:50" ht="15" customHeight="1">
      <c r="A610" s="397"/>
      <c r="B610" s="508"/>
      <c r="C610" s="372"/>
      <c r="D610" s="1102"/>
      <c r="E610" s="1024"/>
      <c r="F610" s="1024"/>
      <c r="G610" s="22"/>
      <c r="H610" s="22"/>
      <c r="I610" s="1024"/>
      <c r="J610" s="1024"/>
      <c r="K610" s="1024"/>
      <c r="L610" s="1024"/>
      <c r="M610" s="1024"/>
      <c r="N610" s="1024"/>
      <c r="O610" s="1024"/>
      <c r="P610" s="1024"/>
      <c r="Q610" s="1024"/>
      <c r="R610" s="1024"/>
      <c r="S610" s="1024"/>
      <c r="T610" s="1024"/>
      <c r="U610" s="1024"/>
      <c r="V610" s="1024"/>
      <c r="W610" s="1024"/>
      <c r="X610" s="1024"/>
      <c r="Y610" s="1024"/>
      <c r="Z610" s="1024"/>
      <c r="AA610" s="1024"/>
      <c r="AB610" s="1024"/>
      <c r="AC610" s="1024"/>
      <c r="AD610" s="1024"/>
      <c r="AE610" s="1024"/>
      <c r="AF610" s="1024"/>
      <c r="AG610" s="1024"/>
      <c r="AH610" s="1024"/>
      <c r="AI610" s="1024"/>
      <c r="AJ610" s="1024"/>
      <c r="AK610" s="1024"/>
      <c r="AL610" s="1024"/>
      <c r="AM610" s="1024"/>
      <c r="AN610" s="1024"/>
      <c r="AO610" s="1024"/>
      <c r="AP610" s="1024"/>
      <c r="AQ610" s="1024"/>
      <c r="AR610" s="1024"/>
      <c r="AS610" s="1024"/>
      <c r="AT610" s="1024"/>
      <c r="AU610" s="1024"/>
      <c r="AV610" s="1024"/>
      <c r="AW610" s="1024"/>
      <c r="AX610" s="1024"/>
    </row>
    <row r="611" spans="1:50" ht="15" customHeight="1">
      <c r="A611" s="351" t="str">
        <f>Translate!$E$35</f>
        <v>Mining company economic limit</v>
      </c>
      <c r="B611" s="686"/>
      <c r="C611" s="352"/>
      <c r="D611" s="353"/>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row>
    <row r="612" spans="1:50" ht="15" customHeight="1">
      <c r="A612" s="397"/>
      <c r="B612" s="508"/>
      <c r="C612" s="372"/>
      <c r="D612" s="1102"/>
      <c r="E612" s="1024"/>
      <c r="F612" s="1024"/>
      <c r="G612" s="22"/>
      <c r="H612" s="22"/>
      <c r="I612" s="1024"/>
      <c r="J612" s="1024"/>
      <c r="K612" s="1024"/>
      <c r="L612" s="1024"/>
      <c r="M612" s="1024"/>
      <c r="N612" s="1024"/>
      <c r="O612" s="1024"/>
      <c r="P612" s="1024"/>
      <c r="Q612" s="1024"/>
      <c r="R612" s="1024"/>
      <c r="S612" s="1024"/>
      <c r="T612" s="1024"/>
      <c r="U612" s="1024"/>
      <c r="V612" s="1024"/>
      <c r="W612" s="1024"/>
      <c r="X612" s="1024"/>
      <c r="Y612" s="1024"/>
      <c r="Z612" s="1024"/>
      <c r="AA612" s="1024"/>
      <c r="AB612" s="1024"/>
      <c r="AC612" s="1024"/>
      <c r="AD612" s="1024"/>
      <c r="AE612" s="1024"/>
      <c r="AF612" s="1024"/>
      <c r="AG612" s="1024"/>
      <c r="AH612" s="1024"/>
      <c r="AI612" s="1024"/>
      <c r="AJ612" s="1024"/>
      <c r="AK612" s="1024"/>
      <c r="AL612" s="1024"/>
      <c r="AM612" s="1024"/>
      <c r="AN612" s="1024"/>
      <c r="AO612" s="1024"/>
      <c r="AP612" s="1024"/>
      <c r="AQ612" s="1024"/>
      <c r="AR612" s="1024"/>
      <c r="AS612" s="1024"/>
      <c r="AT612" s="1024"/>
      <c r="AU612" s="1024"/>
      <c r="AV612" s="1024"/>
      <c r="AW612" s="1024"/>
      <c r="AX612" s="1024"/>
    </row>
    <row r="613" spans="1:50" ht="15" customHeight="1">
      <c r="A613" s="397"/>
      <c r="B613" s="508" t="str">
        <f>Translate!$E$89</f>
        <v>Project economic limit: pre-fiscal</v>
      </c>
      <c r="C613" s="372"/>
      <c r="D613" s="1102"/>
      <c r="E613" s="1024"/>
      <c r="F613" s="1024"/>
      <c r="G613" s="22"/>
      <c r="H613" s="22"/>
      <c r="I613" s="1024"/>
      <c r="J613" s="1024"/>
      <c r="K613" s="1024"/>
      <c r="L613" s="1024"/>
      <c r="M613" s="1024"/>
      <c r="N613" s="1024"/>
      <c r="O613" s="1024"/>
      <c r="P613" s="1024"/>
      <c r="Q613" s="1024"/>
      <c r="R613" s="1024"/>
      <c r="S613" s="1024"/>
      <c r="T613" s="1024"/>
      <c r="U613" s="1024"/>
      <c r="V613" s="1024"/>
      <c r="W613" s="1024"/>
      <c r="X613" s="1024"/>
      <c r="Y613" s="1024"/>
      <c r="Z613" s="1024"/>
      <c r="AA613" s="1024"/>
      <c r="AB613" s="1024"/>
      <c r="AC613" s="1024"/>
      <c r="AD613" s="1024"/>
      <c r="AE613" s="1024"/>
      <c r="AF613" s="1024"/>
      <c r="AG613" s="1024"/>
      <c r="AH613" s="1024"/>
      <c r="AI613" s="1024"/>
      <c r="AJ613" s="1024"/>
      <c r="AK613" s="1024"/>
      <c r="AL613" s="1024"/>
      <c r="AM613" s="1024"/>
      <c r="AN613" s="1024"/>
      <c r="AO613" s="1024"/>
      <c r="AP613" s="1024"/>
      <c r="AQ613" s="1024"/>
      <c r="AR613" s="1024"/>
      <c r="AS613" s="1024"/>
      <c r="AT613" s="1024"/>
      <c r="AU613" s="1024"/>
      <c r="AV613" s="1024"/>
      <c r="AW613" s="1024"/>
      <c r="AX613" s="1024"/>
    </row>
    <row r="614" spans="1:50" s="740" customFormat="1">
      <c r="A614" s="737"/>
      <c r="B614" s="738"/>
      <c r="C614" s="739"/>
      <c r="D614" s="737"/>
      <c r="E614" s="737" t="str">
        <f xml:space="preserve"> ProjectCashflows!E$116</f>
        <v>Project economic limit</v>
      </c>
      <c r="F614" s="737">
        <f ca="1" xml:space="preserve"> ProjectCashflows!F$116</f>
        <v>2041</v>
      </c>
      <c r="G614" s="737" t="str">
        <f xml:space="preserve"> ProjectCashflows!G$116</f>
        <v>Year</v>
      </c>
      <c r="H614" s="737"/>
      <c r="I614" s="737"/>
      <c r="J614" s="737"/>
      <c r="K614" s="737"/>
      <c r="L614" s="737"/>
      <c r="M614" s="737"/>
      <c r="N614" s="737"/>
      <c r="O614" s="737"/>
      <c r="P614" s="737"/>
      <c r="Q614" s="737"/>
      <c r="R614" s="737"/>
      <c r="S614" s="737"/>
      <c r="T614" s="737"/>
      <c r="U614" s="737"/>
      <c r="V614" s="737"/>
      <c r="W614" s="737"/>
      <c r="X614" s="737"/>
      <c r="Y614" s="737"/>
      <c r="Z614" s="737"/>
      <c r="AA614" s="737"/>
      <c r="AB614" s="737"/>
      <c r="AC614" s="737"/>
      <c r="AD614" s="737"/>
      <c r="AE614" s="737"/>
      <c r="AF614" s="737"/>
      <c r="AG614" s="737"/>
      <c r="AH614" s="737"/>
      <c r="AI614" s="737"/>
      <c r="AJ614" s="737"/>
      <c r="AK614" s="737"/>
      <c r="AL614" s="737"/>
      <c r="AM614" s="737"/>
      <c r="AN614" s="737"/>
      <c r="AO614" s="737"/>
      <c r="AP614" s="737"/>
      <c r="AQ614" s="737"/>
      <c r="AR614" s="737"/>
      <c r="AS614" s="737"/>
      <c r="AT614" s="737"/>
      <c r="AU614" s="737"/>
      <c r="AV614" s="737"/>
      <c r="AW614" s="737"/>
      <c r="AX614" s="737"/>
    </row>
    <row r="615" spans="1:50" ht="15" customHeight="1">
      <c r="A615" s="397"/>
      <c r="B615" s="508"/>
      <c r="C615" s="372"/>
      <c r="D615" s="1102"/>
      <c r="E615" s="1024"/>
      <c r="F615" s="1024"/>
      <c r="G615" s="22"/>
      <c r="H615" s="22"/>
      <c r="I615" s="1024"/>
      <c r="J615" s="1024"/>
      <c r="K615" s="1024"/>
      <c r="L615" s="1024"/>
      <c r="M615" s="1024"/>
      <c r="N615" s="1024"/>
      <c r="O615" s="1024"/>
      <c r="P615" s="1024"/>
      <c r="Q615" s="1024"/>
      <c r="R615" s="1024"/>
      <c r="S615" s="1024"/>
      <c r="T615" s="1024"/>
      <c r="U615" s="1024"/>
      <c r="V615" s="1024"/>
      <c r="W615" s="1024"/>
      <c r="X615" s="1024"/>
      <c r="Y615" s="1024"/>
      <c r="Z615" s="1024"/>
      <c r="AA615" s="1024"/>
      <c r="AB615" s="1024"/>
      <c r="AC615" s="1024"/>
      <c r="AD615" s="1024"/>
      <c r="AE615" s="1024"/>
      <c r="AF615" s="1024"/>
      <c r="AG615" s="1024"/>
      <c r="AH615" s="1024"/>
      <c r="AI615" s="1024"/>
      <c r="AJ615" s="1024"/>
      <c r="AK615" s="1024"/>
      <c r="AL615" s="1024"/>
      <c r="AM615" s="1024"/>
      <c r="AN615" s="1024"/>
      <c r="AO615" s="1024"/>
      <c r="AP615" s="1024"/>
      <c r="AQ615" s="1024"/>
      <c r="AR615" s="1024"/>
      <c r="AS615" s="1024"/>
      <c r="AT615" s="1024"/>
      <c r="AU615" s="1024"/>
      <c r="AV615" s="1024"/>
      <c r="AW615" s="1024"/>
      <c r="AX615" s="1024"/>
    </row>
    <row r="616" spans="1:50" ht="15" customHeight="1">
      <c r="A616" s="397"/>
      <c r="B616" s="508" t="str">
        <f>Translate!$E$90</f>
        <v>Mining company economic limit: post-fiscal</v>
      </c>
      <c r="C616" s="372"/>
      <c r="D616" s="1102"/>
      <c r="E616" s="1024"/>
      <c r="F616" s="1024"/>
      <c r="G616" s="22"/>
      <c r="H616" s="22"/>
      <c r="I616" s="1024"/>
      <c r="J616" s="1024"/>
      <c r="K616" s="1024"/>
      <c r="L616" s="1024"/>
      <c r="M616" s="1024"/>
      <c r="N616" s="1024"/>
      <c r="O616" s="1024"/>
      <c r="P616" s="1024"/>
      <c r="Q616" s="1024"/>
      <c r="R616" s="1024"/>
      <c r="S616" s="1024"/>
      <c r="T616" s="1024"/>
      <c r="U616" s="1024"/>
      <c r="V616" s="1024"/>
      <c r="W616" s="1024"/>
      <c r="X616" s="1024"/>
      <c r="Y616" s="1024"/>
      <c r="Z616" s="1024"/>
      <c r="AA616" s="1024"/>
      <c r="AB616" s="1024"/>
      <c r="AC616" s="1024"/>
      <c r="AD616" s="1024"/>
      <c r="AE616" s="1024"/>
      <c r="AF616" s="1024"/>
      <c r="AG616" s="1024"/>
      <c r="AH616" s="1024"/>
      <c r="AI616" s="1024"/>
      <c r="AJ616" s="1024"/>
      <c r="AK616" s="1024"/>
      <c r="AL616" s="1024"/>
      <c r="AM616" s="1024"/>
      <c r="AN616" s="1024"/>
      <c r="AO616" s="1024"/>
      <c r="AP616" s="1024"/>
      <c r="AQ616" s="1024"/>
      <c r="AR616" s="1024"/>
      <c r="AS616" s="1024"/>
      <c r="AT616" s="1024"/>
      <c r="AU616" s="1024"/>
      <c r="AV616" s="1024"/>
      <c r="AW616" s="1024"/>
      <c r="AX616" s="1024"/>
    </row>
    <row r="617" spans="1:50" s="740" customFormat="1">
      <c r="A617" s="737"/>
      <c r="B617" s="738"/>
      <c r="C617" s="739"/>
      <c r="D617" s="737"/>
      <c r="E617" s="737" t="str">
        <f xml:space="preserve"> ProjectCashflows!E$48</f>
        <v>Model calendar years</v>
      </c>
      <c r="F617" s="737">
        <f xml:space="preserve"> ProjectCashflows!F$48</f>
        <v>0</v>
      </c>
      <c r="G617" s="737" t="str">
        <f xml:space="preserve"> ProjectCashflows!G$48</f>
        <v>Years</v>
      </c>
      <c r="H617" s="737">
        <f xml:space="preserve"> ProjectCashflows!H$48</f>
        <v>0</v>
      </c>
      <c r="I617" s="737">
        <f xml:space="preserve"> ProjectCashflows!I$48</f>
        <v>0</v>
      </c>
      <c r="J617" s="737">
        <f xml:space="preserve"> ProjectCashflows!J$48</f>
        <v>0</v>
      </c>
      <c r="K617" s="737">
        <f xml:space="preserve"> ProjectCashflows!K$48</f>
        <v>2021</v>
      </c>
      <c r="L617" s="737">
        <f xml:space="preserve"> ProjectCashflows!L$48</f>
        <v>2022</v>
      </c>
      <c r="M617" s="737">
        <f xml:space="preserve"> ProjectCashflows!M$48</f>
        <v>2023</v>
      </c>
      <c r="N617" s="737">
        <f xml:space="preserve"> ProjectCashflows!N$48</f>
        <v>2024</v>
      </c>
      <c r="O617" s="737">
        <f xml:space="preserve"> ProjectCashflows!O$48</f>
        <v>2025</v>
      </c>
      <c r="P617" s="737">
        <f xml:space="preserve"> ProjectCashflows!P$48</f>
        <v>2026</v>
      </c>
      <c r="Q617" s="737">
        <f xml:space="preserve"> ProjectCashflows!Q$48</f>
        <v>2027</v>
      </c>
      <c r="R617" s="737">
        <f xml:space="preserve"> ProjectCashflows!R$48</f>
        <v>2028</v>
      </c>
      <c r="S617" s="737">
        <f xml:space="preserve"> ProjectCashflows!S$48</f>
        <v>2029</v>
      </c>
      <c r="T617" s="737">
        <f xml:space="preserve"> ProjectCashflows!T$48</f>
        <v>2030</v>
      </c>
      <c r="U617" s="737">
        <f xml:space="preserve"> ProjectCashflows!U$48</f>
        <v>2031</v>
      </c>
      <c r="V617" s="737">
        <f xml:space="preserve"> ProjectCashflows!V$48</f>
        <v>2032</v>
      </c>
      <c r="W617" s="737">
        <f xml:space="preserve"> ProjectCashflows!W$48</f>
        <v>2033</v>
      </c>
      <c r="X617" s="737">
        <f xml:space="preserve"> ProjectCashflows!X$48</f>
        <v>2034</v>
      </c>
      <c r="Y617" s="737">
        <f xml:space="preserve"> ProjectCashflows!Y$48</f>
        <v>2035</v>
      </c>
      <c r="Z617" s="737">
        <f xml:space="preserve"> ProjectCashflows!Z$48</f>
        <v>2036</v>
      </c>
      <c r="AA617" s="737">
        <f xml:space="preserve"> ProjectCashflows!AA$48</f>
        <v>2037</v>
      </c>
      <c r="AB617" s="737">
        <f xml:space="preserve"> ProjectCashflows!AB$48</f>
        <v>2038</v>
      </c>
      <c r="AC617" s="737">
        <f xml:space="preserve"> ProjectCashflows!AC$48</f>
        <v>2039</v>
      </c>
      <c r="AD617" s="737">
        <f xml:space="preserve"> ProjectCashflows!AD$48</f>
        <v>2040</v>
      </c>
      <c r="AE617" s="737">
        <f xml:space="preserve"> ProjectCashflows!AE$48</f>
        <v>2041</v>
      </c>
      <c r="AF617" s="737">
        <f xml:space="preserve"> ProjectCashflows!AF$48</f>
        <v>2042</v>
      </c>
      <c r="AG617" s="737">
        <f xml:space="preserve"> ProjectCashflows!AG$48</f>
        <v>2043</v>
      </c>
      <c r="AH617" s="737">
        <f xml:space="preserve"> ProjectCashflows!AH$48</f>
        <v>2044</v>
      </c>
      <c r="AI617" s="737">
        <f xml:space="preserve"> ProjectCashflows!AI$48</f>
        <v>2045</v>
      </c>
      <c r="AJ617" s="737">
        <f xml:space="preserve"> ProjectCashflows!AJ$48</f>
        <v>2046</v>
      </c>
      <c r="AK617" s="737">
        <f xml:space="preserve"> ProjectCashflows!AK$48</f>
        <v>2047</v>
      </c>
      <c r="AL617" s="737">
        <f xml:space="preserve"> ProjectCashflows!AL$48</f>
        <v>2048</v>
      </c>
      <c r="AM617" s="737">
        <f xml:space="preserve"> ProjectCashflows!AM$48</f>
        <v>2049</v>
      </c>
      <c r="AN617" s="737">
        <f xml:space="preserve"> ProjectCashflows!AN$48</f>
        <v>2050</v>
      </c>
      <c r="AO617" s="737">
        <f xml:space="preserve"> ProjectCashflows!AO$48</f>
        <v>2051</v>
      </c>
      <c r="AP617" s="737">
        <f xml:space="preserve"> ProjectCashflows!AP$48</f>
        <v>2052</v>
      </c>
      <c r="AQ617" s="737">
        <f xml:space="preserve"> ProjectCashflows!AQ$48</f>
        <v>2053</v>
      </c>
      <c r="AR617" s="737">
        <f xml:space="preserve"> ProjectCashflows!AR$48</f>
        <v>2054</v>
      </c>
      <c r="AS617" s="737">
        <f xml:space="preserve"> ProjectCashflows!AS$48</f>
        <v>2055</v>
      </c>
      <c r="AT617" s="737">
        <f xml:space="preserve"> ProjectCashflows!AT$48</f>
        <v>2056</v>
      </c>
      <c r="AU617" s="737">
        <f xml:space="preserve"> ProjectCashflows!AU$48</f>
        <v>2057</v>
      </c>
      <c r="AV617" s="737">
        <f xml:space="preserve"> ProjectCashflows!AV$48</f>
        <v>2058</v>
      </c>
      <c r="AW617" s="737">
        <f xml:space="preserve"> ProjectCashflows!AW$48</f>
        <v>2059</v>
      </c>
      <c r="AX617" s="737">
        <f xml:space="preserve"> ProjectCashflows!AX$48</f>
        <v>2060</v>
      </c>
    </row>
    <row r="618" spans="1:50" ht="15" customHeight="1">
      <c r="A618" s="397"/>
      <c r="B618" s="508"/>
      <c r="C618" s="372"/>
      <c r="D618" s="1102"/>
      <c r="E618" s="1024" t="str">
        <f xml:space="preserve"> E$600</f>
        <v>Mining company cash flow before distributions: cumulative</v>
      </c>
      <c r="F618" s="1024">
        <f t="shared" ref="F618:AX618" si="194" xml:space="preserve"> F$600</f>
        <v>0</v>
      </c>
      <c r="G618" s="1024" t="str">
        <f t="shared" si="194"/>
        <v>US$ mn</v>
      </c>
      <c r="H618" s="1024">
        <f t="shared" si="194"/>
        <v>0</v>
      </c>
      <c r="I618" s="1024">
        <f t="shared" si="194"/>
        <v>0</v>
      </c>
      <c r="J618" s="1024">
        <f t="shared" si="194"/>
        <v>0</v>
      </c>
      <c r="K618" s="1024">
        <f t="shared" ca="1" si="194"/>
        <v>-10</v>
      </c>
      <c r="L618" s="1024">
        <f t="shared" ca="1" si="194"/>
        <v>-20.2</v>
      </c>
      <c r="M618" s="1024">
        <f t="shared" ca="1" si="194"/>
        <v>-30.603999999999999</v>
      </c>
      <c r="N618" s="1024">
        <f t="shared" ca="1" si="194"/>
        <v>-46.522120000000001</v>
      </c>
      <c r="O618" s="1024">
        <f t="shared" ca="1" si="194"/>
        <v>-117.40789607800002</v>
      </c>
      <c r="P618" s="1024">
        <f t="shared" ca="1" si="194"/>
        <v>-80.593701796300039</v>
      </c>
      <c r="Q618" s="1024">
        <f t="shared" ca="1" si="194"/>
        <v>-19.487958256844806</v>
      </c>
      <c r="R618" s="1024">
        <f t="shared" ca="1" si="194"/>
        <v>49.397342693352769</v>
      </c>
      <c r="S618" s="1024">
        <f t="shared" ca="1" si="194"/>
        <v>116.91140261395556</v>
      </c>
      <c r="T618" s="1024">
        <f t="shared" ca="1" si="194"/>
        <v>165.2067656334539</v>
      </c>
      <c r="U618" s="1024">
        <f t="shared" ca="1" si="194"/>
        <v>213.052188668697</v>
      </c>
      <c r="V618" s="1024">
        <f t="shared" ca="1" si="194"/>
        <v>333.52131101732152</v>
      </c>
      <c r="W618" s="1024">
        <f t="shared" ca="1" si="194"/>
        <v>456.39981581291858</v>
      </c>
      <c r="X618" s="1024">
        <f t="shared" ca="1" si="194"/>
        <v>579.19299497397606</v>
      </c>
      <c r="Y618" s="1024">
        <f t="shared" ca="1" si="194"/>
        <v>704.49289563286379</v>
      </c>
      <c r="Z618" s="1024">
        <f t="shared" ca="1" si="194"/>
        <v>832.34965221953826</v>
      </c>
      <c r="AA618" s="1024">
        <f t="shared" ca="1" si="194"/>
        <v>939.30887861714132</v>
      </c>
      <c r="AB618" s="1024">
        <f t="shared" ca="1" si="194"/>
        <v>1035.0571369549243</v>
      </c>
      <c r="AC618" s="1024">
        <f t="shared" ca="1" si="194"/>
        <v>1107.688763844149</v>
      </c>
      <c r="AD618" s="1024">
        <f t="shared" ca="1" si="194"/>
        <v>1171.2188733093262</v>
      </c>
      <c r="AE618" s="1024">
        <f t="shared" ca="1" si="194"/>
        <v>1220.1772541500341</v>
      </c>
      <c r="AF618" s="1024">
        <f t="shared" ca="1" si="194"/>
        <v>1220.1772541500341</v>
      </c>
      <c r="AG618" s="1024">
        <f t="shared" ca="1" si="194"/>
        <v>1220.1772541500341</v>
      </c>
      <c r="AH618" s="1024">
        <f t="shared" ca="1" si="194"/>
        <v>1220.1772541500341</v>
      </c>
      <c r="AI618" s="1024">
        <f t="shared" ca="1" si="194"/>
        <v>1220.1772541500341</v>
      </c>
      <c r="AJ618" s="1024">
        <f t="shared" ca="1" si="194"/>
        <v>1220.1772541500341</v>
      </c>
      <c r="AK618" s="1024">
        <f t="shared" ca="1" si="194"/>
        <v>1220.1772541500341</v>
      </c>
      <c r="AL618" s="1024">
        <f t="shared" ca="1" si="194"/>
        <v>1220.1772541500341</v>
      </c>
      <c r="AM618" s="1024">
        <f t="shared" ca="1" si="194"/>
        <v>1220.1772541500341</v>
      </c>
      <c r="AN618" s="1024">
        <f t="shared" ca="1" si="194"/>
        <v>1220.1772541500341</v>
      </c>
      <c r="AO618" s="1024">
        <f t="shared" ca="1" si="194"/>
        <v>1220.1772541500341</v>
      </c>
      <c r="AP618" s="1024">
        <f t="shared" ca="1" si="194"/>
        <v>1220.1772541500341</v>
      </c>
      <c r="AQ618" s="1024">
        <f t="shared" ca="1" si="194"/>
        <v>1220.1772541500341</v>
      </c>
      <c r="AR618" s="1024">
        <f t="shared" ca="1" si="194"/>
        <v>1220.1772541500341</v>
      </c>
      <c r="AS618" s="1024">
        <f t="shared" ca="1" si="194"/>
        <v>1220.1772541500341</v>
      </c>
      <c r="AT618" s="1024">
        <f t="shared" ca="1" si="194"/>
        <v>1220.1772541500341</v>
      </c>
      <c r="AU618" s="1024">
        <f t="shared" ca="1" si="194"/>
        <v>1220.1772541500341</v>
      </c>
      <c r="AV618" s="1024">
        <f t="shared" ca="1" si="194"/>
        <v>1220.1772541500341</v>
      </c>
      <c r="AW618" s="1024">
        <f t="shared" ca="1" si="194"/>
        <v>1220.1772541500341</v>
      </c>
      <c r="AX618" s="1024">
        <f t="shared" ca="1" si="194"/>
        <v>1220.1772541500341</v>
      </c>
    </row>
    <row r="619" spans="1:50" ht="15" customHeight="1">
      <c r="A619" s="397"/>
      <c r="B619" s="508"/>
      <c r="C619" s="372"/>
      <c r="D619" s="1102"/>
      <c r="E619" s="1024" t="str">
        <f>Translate!$E$254</f>
        <v>Maximum cumulative cashflow</v>
      </c>
      <c r="F619" s="1024">
        <f ca="1" xml:space="preserve"> MAX(K618:AX618)</f>
        <v>1220.1772541500341</v>
      </c>
      <c r="G619" s="1024" t="str">
        <f>G618</f>
        <v>US$ mn</v>
      </c>
      <c r="H619" s="1024"/>
      <c r="I619" s="1024"/>
      <c r="J619" s="1024"/>
      <c r="K619" s="1024"/>
      <c r="L619" s="1024"/>
      <c r="M619" s="1024"/>
      <c r="N619" s="1024"/>
      <c r="O619" s="1024"/>
      <c r="P619" s="1024"/>
      <c r="Q619" s="1024"/>
      <c r="R619" s="1024"/>
      <c r="S619" s="1024"/>
      <c r="T619" s="1024"/>
      <c r="U619" s="1024"/>
      <c r="V619" s="1024"/>
      <c r="W619" s="1024"/>
      <c r="X619" s="1024"/>
      <c r="Y619" s="1024"/>
      <c r="Z619" s="1024"/>
      <c r="AA619" s="1024"/>
      <c r="AB619" s="1024"/>
      <c r="AC619" s="1024"/>
      <c r="AD619" s="1024"/>
      <c r="AE619" s="1024"/>
      <c r="AF619" s="1024"/>
      <c r="AG619" s="1024"/>
      <c r="AH619" s="1024"/>
      <c r="AI619" s="1024"/>
      <c r="AJ619" s="1024"/>
      <c r="AK619" s="1024"/>
      <c r="AL619" s="1024"/>
      <c r="AM619" s="1024"/>
      <c r="AN619" s="1024"/>
      <c r="AO619" s="1024"/>
      <c r="AP619" s="1024"/>
      <c r="AQ619" s="1024"/>
      <c r="AR619" s="1024"/>
      <c r="AS619" s="1024"/>
      <c r="AT619" s="1024"/>
      <c r="AU619" s="1024"/>
      <c r="AV619" s="1024"/>
      <c r="AW619" s="1024"/>
      <c r="AX619" s="1024"/>
    </row>
    <row r="620" spans="1:50" s="567" customFormat="1" ht="15" customHeight="1">
      <c r="A620" s="568"/>
      <c r="B620" s="693"/>
      <c r="C620" s="565"/>
      <c r="D620" s="1078"/>
      <c r="E620" s="1078" t="str">
        <f>Translate!$E$35</f>
        <v>Mining company economic limit</v>
      </c>
      <c r="F620" s="1078" cm="1">
        <f t="array" aca="1" ref="F620" ca="1" xml:space="preserve"> INDEX(K617:AX617, , MATCH(F619, K618:AX618, 0))</f>
        <v>2041</v>
      </c>
      <c r="G620" s="1078" t="str">
        <f>Translate!$E$365</f>
        <v>Year</v>
      </c>
      <c r="H620" s="1078"/>
      <c r="I620" s="1078"/>
      <c r="J620" s="1078"/>
      <c r="K620" s="1078"/>
      <c r="L620" s="1078"/>
      <c r="M620" s="1078"/>
      <c r="N620" s="1078"/>
      <c r="O620" s="1078"/>
      <c r="P620" s="1078"/>
      <c r="Q620" s="1078"/>
      <c r="R620" s="1078"/>
      <c r="S620" s="1078"/>
      <c r="T620" s="1078"/>
      <c r="U620" s="1078"/>
      <c r="V620" s="1078"/>
      <c r="W620" s="1078"/>
      <c r="X620" s="1078"/>
      <c r="Y620" s="1078"/>
      <c r="Z620" s="1078"/>
      <c r="AA620" s="1078"/>
      <c r="AB620" s="1078"/>
      <c r="AC620" s="1078"/>
      <c r="AD620" s="1078"/>
      <c r="AE620" s="1078"/>
      <c r="AF620" s="1078"/>
      <c r="AG620" s="1078"/>
      <c r="AH620" s="1078"/>
      <c r="AI620" s="1078"/>
      <c r="AJ620" s="1078"/>
      <c r="AK620" s="1078"/>
      <c r="AL620" s="1078"/>
      <c r="AM620" s="1078"/>
      <c r="AN620" s="1078"/>
      <c r="AO620" s="1078"/>
      <c r="AP620" s="1078"/>
      <c r="AQ620" s="1078"/>
      <c r="AR620" s="1078"/>
      <c r="AS620" s="1078"/>
      <c r="AT620" s="1078"/>
      <c r="AU620" s="1078"/>
      <c r="AV620" s="1078"/>
      <c r="AW620" s="1078"/>
      <c r="AX620" s="1078"/>
    </row>
    <row r="621" spans="1:50" ht="15" customHeight="1">
      <c r="A621" s="397"/>
      <c r="B621" s="508"/>
      <c r="C621" s="372"/>
      <c r="D621" s="1102"/>
      <c r="E621" s="1041"/>
      <c r="F621" s="1041"/>
      <c r="G621" s="1041"/>
      <c r="H621" s="1024"/>
      <c r="I621" s="1024"/>
      <c r="J621" s="1024"/>
      <c r="K621" s="1024"/>
      <c r="L621" s="1024"/>
      <c r="M621" s="1024"/>
      <c r="N621" s="1024"/>
      <c r="O621" s="1024"/>
      <c r="P621" s="1024"/>
      <c r="Q621" s="1024"/>
      <c r="R621" s="1024"/>
      <c r="S621" s="1024"/>
      <c r="T621" s="1024"/>
      <c r="U621" s="1024"/>
      <c r="V621" s="1024"/>
      <c r="W621" s="1024"/>
      <c r="X621" s="1024"/>
      <c r="Y621" s="1024"/>
      <c r="Z621" s="1024"/>
      <c r="AA621" s="1024"/>
      <c r="AB621" s="1024"/>
      <c r="AC621" s="1024"/>
      <c r="AD621" s="1024"/>
      <c r="AE621" s="1024"/>
      <c r="AF621" s="1024"/>
      <c r="AG621" s="1024"/>
      <c r="AH621" s="1024"/>
      <c r="AI621" s="1024"/>
      <c r="AJ621" s="1024"/>
      <c r="AK621" s="1024"/>
      <c r="AL621" s="1024"/>
      <c r="AM621" s="1024"/>
      <c r="AN621" s="1024"/>
      <c r="AO621" s="1024"/>
      <c r="AP621" s="1024"/>
      <c r="AQ621" s="1024"/>
      <c r="AR621" s="1024"/>
      <c r="AS621" s="1024"/>
      <c r="AT621" s="1024"/>
      <c r="AU621" s="1024"/>
      <c r="AV621" s="1024"/>
      <c r="AW621" s="1024"/>
      <c r="AX621" s="1024"/>
    </row>
    <row r="622" spans="1:50" ht="15" customHeight="1">
      <c r="A622" s="397"/>
      <c r="B622" s="508" t="str">
        <f>Translate!$E$91</f>
        <v>Post-fiscal ELT versus pre-fiscal ELT</v>
      </c>
      <c r="C622" s="372"/>
      <c r="D622" s="1102"/>
      <c r="E622" s="1041"/>
      <c r="F622" s="1041"/>
      <c r="G622" s="1041"/>
      <c r="H622" s="1024"/>
      <c r="I622" s="1024"/>
      <c r="J622" s="1024"/>
      <c r="K622" s="1024"/>
      <c r="L622" s="1024"/>
      <c r="M622" s="1024"/>
      <c r="N622" s="1024"/>
      <c r="O622" s="1024"/>
      <c r="P622" s="1024"/>
      <c r="Q622" s="1024"/>
      <c r="R622" s="1024"/>
      <c r="S622" s="1024"/>
      <c r="T622" s="1024"/>
      <c r="U622" s="1024"/>
      <c r="V622" s="1024"/>
      <c r="W622" s="1024"/>
      <c r="X622" s="1024"/>
      <c r="Y622" s="1024"/>
      <c r="Z622" s="1024"/>
      <c r="AA622" s="1024"/>
      <c r="AB622" s="1024"/>
      <c r="AC622" s="1024"/>
      <c r="AD622" s="1024"/>
      <c r="AE622" s="1024"/>
      <c r="AF622" s="1024"/>
      <c r="AG622" s="1024"/>
      <c r="AH622" s="1024"/>
      <c r="AI622" s="1024"/>
      <c r="AJ622" s="1024"/>
      <c r="AK622" s="1024"/>
      <c r="AL622" s="1024"/>
      <c r="AM622" s="1024"/>
      <c r="AN622" s="1024"/>
      <c r="AO622" s="1024"/>
      <c r="AP622" s="1024"/>
      <c r="AQ622" s="1024"/>
      <c r="AR622" s="1024"/>
      <c r="AS622" s="1024"/>
      <c r="AT622" s="1024"/>
      <c r="AU622" s="1024"/>
      <c r="AV622" s="1024"/>
      <c r="AW622" s="1024"/>
      <c r="AX622" s="1024"/>
    </row>
    <row r="623" spans="1:50" s="567" customFormat="1" ht="15" customHeight="1">
      <c r="A623" s="568"/>
      <c r="B623" s="693"/>
      <c r="C623" s="565"/>
      <c r="D623" s="1078"/>
      <c r="E623" s="801" t="str">
        <f>Translate!$E$255</f>
        <v>Mining company post-fiscal EL reached before project EL</v>
      </c>
      <c r="F623" s="801">
        <f ca="1" xml:space="preserve"> F614 - F620</f>
        <v>0</v>
      </c>
      <c r="G623" s="801" t="str">
        <f xml:space="preserve"> Translate!E$358</f>
        <v>Years</v>
      </c>
      <c r="H623" s="1078"/>
      <c r="I623" s="1078"/>
      <c r="J623" s="1078"/>
      <c r="K623" s="1078"/>
      <c r="L623" s="1078"/>
      <c r="M623" s="1078"/>
      <c r="N623" s="1078"/>
      <c r="O623" s="1078"/>
      <c r="P623" s="1078"/>
      <c r="Q623" s="1078"/>
      <c r="R623" s="1078"/>
      <c r="S623" s="1078"/>
      <c r="T623" s="1078"/>
      <c r="U623" s="1078"/>
      <c r="V623" s="1078"/>
      <c r="W623" s="1078"/>
      <c r="X623" s="1078"/>
      <c r="Y623" s="1078"/>
      <c r="Z623" s="1078"/>
      <c r="AA623" s="1078"/>
      <c r="AB623" s="1078"/>
      <c r="AC623" s="1078"/>
      <c r="AD623" s="1078"/>
      <c r="AE623" s="1078"/>
      <c r="AF623" s="1078"/>
      <c r="AG623" s="1078"/>
      <c r="AH623" s="1078"/>
      <c r="AI623" s="1078"/>
      <c r="AJ623" s="1078"/>
      <c r="AK623" s="1078"/>
      <c r="AL623" s="1078"/>
      <c r="AM623" s="1078"/>
      <c r="AN623" s="1078"/>
      <c r="AO623" s="1078"/>
      <c r="AP623" s="1078"/>
      <c r="AQ623" s="1078"/>
      <c r="AR623" s="1078"/>
      <c r="AS623" s="1078"/>
      <c r="AT623" s="1078"/>
      <c r="AU623" s="1078"/>
      <c r="AV623" s="1078"/>
      <c r="AW623" s="1078"/>
      <c r="AX623" s="1078"/>
    </row>
    <row r="624" spans="1:50" ht="15" customHeight="1">
      <c r="A624" s="397"/>
      <c r="B624" s="508"/>
      <c r="C624" s="372"/>
      <c r="D624" s="1102"/>
      <c r="E624" s="1024"/>
      <c r="F624" s="1024"/>
      <c r="G624" s="22"/>
      <c r="H624" s="22"/>
      <c r="I624" s="1024"/>
      <c r="J624" s="1024"/>
      <c r="K624" s="1024"/>
      <c r="L624" s="1024"/>
      <c r="M624" s="1024"/>
      <c r="N624" s="1024"/>
      <c r="O624" s="1024"/>
      <c r="P624" s="1024"/>
      <c r="Q624" s="1024"/>
      <c r="R624" s="1024"/>
      <c r="S624" s="1024"/>
      <c r="T624" s="1024"/>
      <c r="U624" s="1024"/>
      <c r="V624" s="1024"/>
      <c r="W624" s="1024"/>
      <c r="X624" s="1024"/>
      <c r="Y624" s="1024"/>
      <c r="Z624" s="1024"/>
      <c r="AA624" s="1024"/>
      <c r="AB624" s="1024"/>
      <c r="AC624" s="1024"/>
      <c r="AD624" s="1024"/>
      <c r="AE624" s="1024"/>
      <c r="AF624" s="1024"/>
      <c r="AG624" s="1024"/>
      <c r="AH624" s="1024"/>
      <c r="AI624" s="1024"/>
      <c r="AJ624" s="1024"/>
      <c r="AK624" s="1024"/>
      <c r="AL624" s="1024"/>
      <c r="AM624" s="1024"/>
      <c r="AN624" s="1024"/>
      <c r="AO624" s="1024"/>
      <c r="AP624" s="1024"/>
      <c r="AQ624" s="1024"/>
      <c r="AR624" s="1024"/>
      <c r="AS624" s="1024"/>
      <c r="AT624" s="1024"/>
      <c r="AU624" s="1024"/>
      <c r="AV624" s="1024"/>
      <c r="AW624" s="1024"/>
      <c r="AX624" s="1024"/>
    </row>
    <row r="625" spans="1:50" ht="15" customHeight="1">
      <c r="A625" s="351" t="str">
        <f>Translate!$E$36</f>
        <v>State participation (Share of mining company equity)</v>
      </c>
      <c r="B625" s="686"/>
      <c r="C625" s="352"/>
      <c r="D625" s="353"/>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row>
    <row r="626" spans="1:50" ht="15" customHeight="1">
      <c r="A626" s="397"/>
      <c r="B626" s="508"/>
      <c r="C626" s="372"/>
      <c r="D626" s="1102"/>
      <c r="E626" s="1024"/>
      <c r="F626" s="1024"/>
      <c r="G626" s="22"/>
      <c r="H626" s="22"/>
      <c r="I626" s="1024"/>
      <c r="J626" s="1024"/>
      <c r="K626" s="1024"/>
      <c r="L626" s="1024"/>
      <c r="M626" s="1024"/>
      <c r="N626" s="1024"/>
      <c r="O626" s="1024"/>
      <c r="P626" s="1024"/>
      <c r="Q626" s="1024"/>
      <c r="R626" s="1024"/>
      <c r="S626" s="1024"/>
      <c r="T626" s="1024"/>
      <c r="U626" s="1024"/>
      <c r="V626" s="1024"/>
      <c r="W626" s="1024"/>
      <c r="X626" s="1024"/>
      <c r="Y626" s="1024"/>
      <c r="Z626" s="1024"/>
      <c r="AA626" s="1024"/>
      <c r="AB626" s="1024"/>
      <c r="AC626" s="1024"/>
      <c r="AD626" s="1024"/>
      <c r="AE626" s="1024"/>
      <c r="AF626" s="1024"/>
      <c r="AG626" s="1024"/>
      <c r="AH626" s="1024"/>
      <c r="AI626" s="1024"/>
      <c r="AJ626" s="1024"/>
      <c r="AK626" s="1024"/>
      <c r="AL626" s="1024"/>
      <c r="AM626" s="1024"/>
      <c r="AN626" s="1024"/>
      <c r="AO626" s="1024"/>
      <c r="AP626" s="1024"/>
      <c r="AQ626" s="1024"/>
      <c r="AR626" s="1024"/>
      <c r="AS626" s="1024"/>
      <c r="AT626" s="1024"/>
      <c r="AU626" s="1024"/>
      <c r="AV626" s="1024"/>
      <c r="AW626" s="1024"/>
      <c r="AX626" s="1024"/>
    </row>
    <row r="627" spans="1:50" ht="15" customHeight="1">
      <c r="A627" s="397"/>
      <c r="B627" s="508" t="str">
        <f>Translate!$E$92</f>
        <v>State participation share of equity contributions</v>
      </c>
      <c r="C627" s="372"/>
      <c r="D627" s="1102"/>
      <c r="E627" s="1041"/>
      <c r="F627" s="1041"/>
      <c r="G627" s="1041"/>
      <c r="H627" s="22"/>
      <c r="I627" s="1024"/>
      <c r="J627" s="1024"/>
      <c r="K627" s="1024"/>
      <c r="L627" s="1024"/>
      <c r="M627" s="1024"/>
      <c r="N627" s="1024"/>
      <c r="O627" s="1024"/>
      <c r="P627" s="1024"/>
      <c r="Q627" s="1024"/>
      <c r="R627" s="1024"/>
      <c r="S627" s="1024"/>
      <c r="T627" s="1024"/>
      <c r="U627" s="1024"/>
      <c r="V627" s="1024"/>
      <c r="W627" s="1024"/>
      <c r="X627" s="1024"/>
      <c r="Y627" s="1024"/>
      <c r="Z627" s="1024"/>
      <c r="AA627" s="1024"/>
      <c r="AB627" s="1024"/>
      <c r="AC627" s="1024"/>
      <c r="AD627" s="1024"/>
      <c r="AE627" s="1024"/>
      <c r="AF627" s="1024"/>
      <c r="AG627" s="1024"/>
      <c r="AH627" s="1024"/>
      <c r="AI627" s="1024"/>
      <c r="AJ627" s="1024"/>
      <c r="AK627" s="1024"/>
      <c r="AL627" s="1024"/>
      <c r="AM627" s="1024"/>
      <c r="AN627" s="1024"/>
      <c r="AO627" s="1024"/>
      <c r="AP627" s="1024"/>
      <c r="AQ627" s="1024"/>
      <c r="AR627" s="1024"/>
      <c r="AS627" s="1024"/>
      <c r="AT627" s="1024"/>
      <c r="AU627" s="1024"/>
      <c r="AV627" s="1024"/>
      <c r="AW627" s="1024"/>
      <c r="AX627" s="1024"/>
    </row>
    <row r="628" spans="1:50" ht="15" customHeight="1">
      <c r="A628" s="397"/>
      <c r="B628" s="508"/>
      <c r="C628" s="372"/>
      <c r="D628" s="1102"/>
      <c r="E628" s="1041" t="str">
        <f t="shared" ref="E628:AX628" si="195" xml:space="preserve"> E$602</f>
        <v>Mining company equity contributions</v>
      </c>
      <c r="F628" s="1041">
        <f t="shared" si="195"/>
        <v>0</v>
      </c>
      <c r="G628" s="1041" t="str">
        <f t="shared" si="195"/>
        <v>US$ mn</v>
      </c>
      <c r="H628" s="1041">
        <f t="shared" si="195"/>
        <v>0</v>
      </c>
      <c r="I628" s="1041">
        <f t="shared" ca="1" si="195"/>
        <v>-117.40789607800002</v>
      </c>
      <c r="J628" s="1041">
        <f t="shared" si="195"/>
        <v>0</v>
      </c>
      <c r="K628" s="1041">
        <f t="shared" ca="1" si="195"/>
        <v>-10</v>
      </c>
      <c r="L628" s="1041">
        <f t="shared" ca="1" si="195"/>
        <v>-10.199999999999999</v>
      </c>
      <c r="M628" s="1041">
        <f t="shared" ca="1" si="195"/>
        <v>-10.404</v>
      </c>
      <c r="N628" s="1041">
        <f t="shared" ca="1" si="195"/>
        <v>-15.918120000000002</v>
      </c>
      <c r="O628" s="1041">
        <f t="shared" ca="1" si="195"/>
        <v>-70.885776078000021</v>
      </c>
      <c r="P628" s="1041">
        <f t="shared" ca="1" si="195"/>
        <v>0</v>
      </c>
      <c r="Q628" s="1041">
        <f t="shared" ca="1" si="195"/>
        <v>0</v>
      </c>
      <c r="R628" s="1041">
        <f t="shared" ca="1" si="195"/>
        <v>0</v>
      </c>
      <c r="S628" s="1041">
        <f t="shared" ca="1" si="195"/>
        <v>0</v>
      </c>
      <c r="T628" s="1041">
        <f t="shared" ca="1" si="195"/>
        <v>0</v>
      </c>
      <c r="U628" s="1041">
        <f t="shared" ca="1" si="195"/>
        <v>0</v>
      </c>
      <c r="V628" s="1041">
        <f t="shared" ca="1" si="195"/>
        <v>0</v>
      </c>
      <c r="W628" s="1041">
        <f t="shared" ca="1" si="195"/>
        <v>0</v>
      </c>
      <c r="X628" s="1041">
        <f t="shared" ca="1" si="195"/>
        <v>0</v>
      </c>
      <c r="Y628" s="1041">
        <f t="shared" ca="1" si="195"/>
        <v>0</v>
      </c>
      <c r="Z628" s="1041">
        <f t="shared" ca="1" si="195"/>
        <v>0</v>
      </c>
      <c r="AA628" s="1041">
        <f t="shared" ca="1" si="195"/>
        <v>0</v>
      </c>
      <c r="AB628" s="1041">
        <f t="shared" ca="1" si="195"/>
        <v>0</v>
      </c>
      <c r="AC628" s="1041">
        <f t="shared" ca="1" si="195"/>
        <v>0</v>
      </c>
      <c r="AD628" s="1041">
        <f t="shared" ca="1" si="195"/>
        <v>0</v>
      </c>
      <c r="AE628" s="1041">
        <f t="shared" ca="1" si="195"/>
        <v>0</v>
      </c>
      <c r="AF628" s="1041">
        <f t="shared" ca="1" si="195"/>
        <v>0</v>
      </c>
      <c r="AG628" s="1041">
        <f t="shared" ca="1" si="195"/>
        <v>0</v>
      </c>
      <c r="AH628" s="1041">
        <f t="shared" ca="1" si="195"/>
        <v>0</v>
      </c>
      <c r="AI628" s="1041">
        <f t="shared" ca="1" si="195"/>
        <v>0</v>
      </c>
      <c r="AJ628" s="1041">
        <f t="shared" ca="1" si="195"/>
        <v>0</v>
      </c>
      <c r="AK628" s="1041">
        <f t="shared" ca="1" si="195"/>
        <v>0</v>
      </c>
      <c r="AL628" s="1041">
        <f t="shared" ca="1" si="195"/>
        <v>0</v>
      </c>
      <c r="AM628" s="1041">
        <f t="shared" ca="1" si="195"/>
        <v>0</v>
      </c>
      <c r="AN628" s="1041">
        <f t="shared" ca="1" si="195"/>
        <v>0</v>
      </c>
      <c r="AO628" s="1041">
        <f t="shared" ca="1" si="195"/>
        <v>0</v>
      </c>
      <c r="AP628" s="1041">
        <f t="shared" ca="1" si="195"/>
        <v>0</v>
      </c>
      <c r="AQ628" s="1041">
        <f t="shared" ca="1" si="195"/>
        <v>0</v>
      </c>
      <c r="AR628" s="1041">
        <f t="shared" ca="1" si="195"/>
        <v>0</v>
      </c>
      <c r="AS628" s="1041">
        <f t="shared" ca="1" si="195"/>
        <v>0</v>
      </c>
      <c r="AT628" s="1041">
        <f t="shared" ca="1" si="195"/>
        <v>0</v>
      </c>
      <c r="AU628" s="1041">
        <f t="shared" ca="1" si="195"/>
        <v>0</v>
      </c>
      <c r="AV628" s="1041">
        <f t="shared" ca="1" si="195"/>
        <v>0</v>
      </c>
      <c r="AW628" s="1041">
        <f t="shared" ca="1" si="195"/>
        <v>0</v>
      </c>
      <c r="AX628" s="1041">
        <f t="shared" ca="1" si="195"/>
        <v>0</v>
      </c>
    </row>
    <row r="629" spans="1:50" ht="15" customHeight="1">
      <c r="A629" s="397"/>
      <c r="B629" s="508"/>
      <c r="C629" s="372"/>
      <c r="D629" s="1102"/>
      <c r="E629" s="386" t="str">
        <f xml:space="preserve"> E$51</f>
        <v>State participation</v>
      </c>
      <c r="F629" s="386">
        <f xml:space="preserve"> F$51</f>
        <v>0</v>
      </c>
      <c r="G629" s="386" t="str">
        <f xml:space="preserve"> G$51</f>
        <v>%</v>
      </c>
      <c r="H629" s="22"/>
      <c r="I629" s="1024"/>
      <c r="J629" s="1024"/>
      <c r="K629" s="1024"/>
      <c r="L629" s="1024"/>
      <c r="M629" s="1024"/>
      <c r="N629" s="1024"/>
      <c r="O629" s="1024"/>
      <c r="P629" s="1024"/>
      <c r="Q629" s="1024"/>
      <c r="R629" s="1024"/>
      <c r="S629" s="1024"/>
      <c r="T629" s="1024"/>
      <c r="U629" s="1024"/>
      <c r="V629" s="1024"/>
      <c r="W629" s="1024"/>
      <c r="X629" s="1024"/>
      <c r="Y629" s="1024"/>
      <c r="Z629" s="1024"/>
      <c r="AA629" s="1024"/>
      <c r="AB629" s="1024"/>
      <c r="AC629" s="1024"/>
      <c r="AD629" s="1024"/>
      <c r="AE629" s="1024"/>
      <c r="AF629" s="1024"/>
      <c r="AG629" s="1024"/>
      <c r="AH629" s="1024"/>
      <c r="AI629" s="1024"/>
      <c r="AJ629" s="1024"/>
      <c r="AK629" s="1024"/>
      <c r="AL629" s="1024"/>
      <c r="AM629" s="1024"/>
      <c r="AN629" s="1024"/>
      <c r="AO629" s="1024"/>
      <c r="AP629" s="1024"/>
      <c r="AQ629" s="1024"/>
      <c r="AR629" s="1024"/>
      <c r="AS629" s="1024"/>
      <c r="AT629" s="1024"/>
      <c r="AU629" s="1024"/>
      <c r="AV629" s="1024"/>
      <c r="AW629" s="1024"/>
      <c r="AX629" s="1024"/>
    </row>
    <row r="630" spans="1:50" s="434" customFormat="1" ht="15" customHeight="1">
      <c r="A630" s="429"/>
      <c r="B630" s="508"/>
      <c r="C630" s="430"/>
      <c r="D630" s="431"/>
      <c r="E630" s="438" t="str">
        <f>Translate!$E$92</f>
        <v>State participation share of equity contributions</v>
      </c>
      <c r="F630" s="438"/>
      <c r="G630" s="438" t="str">
        <f xml:space="preserve"> Translate!E$10</f>
        <v>US$ mn</v>
      </c>
      <c r="H630" s="432"/>
      <c r="I630" s="432">
        <f ca="1" xml:space="preserve"> SUM(K630:AX630)</f>
        <v>0</v>
      </c>
      <c r="J630" s="432"/>
      <c r="K630" s="432">
        <f t="shared" ref="K630:AX630" ca="1" si="196" xml:space="preserve"> K628 * $F629</f>
        <v>0</v>
      </c>
      <c r="L630" s="432">
        <f t="shared" ca="1" si="196"/>
        <v>0</v>
      </c>
      <c r="M630" s="432">
        <f t="shared" ca="1" si="196"/>
        <v>0</v>
      </c>
      <c r="N630" s="432">
        <f t="shared" ca="1" si="196"/>
        <v>0</v>
      </c>
      <c r="O630" s="432">
        <f t="shared" ca="1" si="196"/>
        <v>0</v>
      </c>
      <c r="P630" s="432">
        <f t="shared" ca="1" si="196"/>
        <v>0</v>
      </c>
      <c r="Q630" s="432">
        <f t="shared" ca="1" si="196"/>
        <v>0</v>
      </c>
      <c r="R630" s="432">
        <f t="shared" ca="1" si="196"/>
        <v>0</v>
      </c>
      <c r="S630" s="432">
        <f t="shared" ca="1" si="196"/>
        <v>0</v>
      </c>
      <c r="T630" s="432">
        <f t="shared" ca="1" si="196"/>
        <v>0</v>
      </c>
      <c r="U630" s="432">
        <f t="shared" ca="1" si="196"/>
        <v>0</v>
      </c>
      <c r="V630" s="432">
        <f t="shared" ca="1" si="196"/>
        <v>0</v>
      </c>
      <c r="W630" s="432">
        <f t="shared" ca="1" si="196"/>
        <v>0</v>
      </c>
      <c r="X630" s="432">
        <f t="shared" ca="1" si="196"/>
        <v>0</v>
      </c>
      <c r="Y630" s="432">
        <f t="shared" ca="1" si="196"/>
        <v>0</v>
      </c>
      <c r="Z630" s="432">
        <f t="shared" ca="1" si="196"/>
        <v>0</v>
      </c>
      <c r="AA630" s="432">
        <f t="shared" ca="1" si="196"/>
        <v>0</v>
      </c>
      <c r="AB630" s="432">
        <f t="shared" ca="1" si="196"/>
        <v>0</v>
      </c>
      <c r="AC630" s="432">
        <f t="shared" ca="1" si="196"/>
        <v>0</v>
      </c>
      <c r="AD630" s="432">
        <f t="shared" ca="1" si="196"/>
        <v>0</v>
      </c>
      <c r="AE630" s="432">
        <f t="shared" ca="1" si="196"/>
        <v>0</v>
      </c>
      <c r="AF630" s="432">
        <f t="shared" ca="1" si="196"/>
        <v>0</v>
      </c>
      <c r="AG630" s="432">
        <f t="shared" ca="1" si="196"/>
        <v>0</v>
      </c>
      <c r="AH630" s="432">
        <f t="shared" ca="1" si="196"/>
        <v>0</v>
      </c>
      <c r="AI630" s="432">
        <f t="shared" ca="1" si="196"/>
        <v>0</v>
      </c>
      <c r="AJ630" s="432">
        <f t="shared" ca="1" si="196"/>
        <v>0</v>
      </c>
      <c r="AK630" s="432">
        <f t="shared" ca="1" si="196"/>
        <v>0</v>
      </c>
      <c r="AL630" s="432">
        <f t="shared" ca="1" si="196"/>
        <v>0</v>
      </c>
      <c r="AM630" s="432">
        <f t="shared" ca="1" si="196"/>
        <v>0</v>
      </c>
      <c r="AN630" s="432">
        <f t="shared" ca="1" si="196"/>
        <v>0</v>
      </c>
      <c r="AO630" s="432">
        <f t="shared" ca="1" si="196"/>
        <v>0</v>
      </c>
      <c r="AP630" s="432">
        <f t="shared" ca="1" si="196"/>
        <v>0</v>
      </c>
      <c r="AQ630" s="432">
        <f t="shared" ca="1" si="196"/>
        <v>0</v>
      </c>
      <c r="AR630" s="432">
        <f t="shared" ca="1" si="196"/>
        <v>0</v>
      </c>
      <c r="AS630" s="432">
        <f t="shared" ca="1" si="196"/>
        <v>0</v>
      </c>
      <c r="AT630" s="432">
        <f t="shared" ca="1" si="196"/>
        <v>0</v>
      </c>
      <c r="AU630" s="432">
        <f t="shared" ca="1" si="196"/>
        <v>0</v>
      </c>
      <c r="AV630" s="432">
        <f t="shared" ca="1" si="196"/>
        <v>0</v>
      </c>
      <c r="AW630" s="432">
        <f t="shared" ca="1" si="196"/>
        <v>0</v>
      </c>
      <c r="AX630" s="432">
        <f t="shared" ca="1" si="196"/>
        <v>0</v>
      </c>
    </row>
    <row r="631" spans="1:50" ht="15" customHeight="1">
      <c r="A631" s="397"/>
      <c r="B631" s="508"/>
      <c r="C631" s="372"/>
      <c r="D631" s="1102"/>
      <c r="E631" s="386" t="str">
        <f xml:space="preserve"> E$52</f>
        <v>State participation meets share of equity contributions and mining company loan</v>
      </c>
      <c r="F631" s="439">
        <f xml:space="preserve"> F$52</f>
        <v>0</v>
      </c>
      <c r="G631" s="386" t="str">
        <f xml:space="preserve"> G$52</f>
        <v>Option</v>
      </c>
      <c r="H631" s="22"/>
      <c r="I631" s="1024"/>
      <c r="J631" s="1024"/>
      <c r="K631" s="1024"/>
      <c r="L631" s="1024"/>
      <c r="M631" s="1024"/>
      <c r="N631" s="1024"/>
      <c r="O631" s="1024"/>
      <c r="P631" s="1024"/>
      <c r="Q631" s="1024"/>
      <c r="R631" s="1024"/>
      <c r="S631" s="1024"/>
      <c r="T631" s="1024"/>
      <c r="U631" s="1024"/>
      <c r="V631" s="1024"/>
      <c r="W631" s="1024"/>
      <c r="X631" s="1024"/>
      <c r="Y631" s="1024"/>
      <c r="Z631" s="1024"/>
      <c r="AA631" s="1024"/>
      <c r="AB631" s="1024"/>
      <c r="AC631" s="1024"/>
      <c r="AD631" s="1024"/>
      <c r="AE631" s="1024"/>
      <c r="AF631" s="1024"/>
      <c r="AG631" s="1024"/>
      <c r="AH631" s="1024"/>
      <c r="AI631" s="1024"/>
      <c r="AJ631" s="1024"/>
      <c r="AK631" s="1024"/>
      <c r="AL631" s="1024"/>
      <c r="AM631" s="1024"/>
      <c r="AN631" s="1024"/>
      <c r="AO631" s="1024"/>
      <c r="AP631" s="1024"/>
      <c r="AQ631" s="1024"/>
      <c r="AR631" s="1024"/>
      <c r="AS631" s="1024"/>
      <c r="AT631" s="1024"/>
      <c r="AU631" s="1024"/>
      <c r="AV631" s="1024"/>
      <c r="AW631" s="1024"/>
      <c r="AX631" s="1024"/>
    </row>
    <row r="632" spans="1:50" ht="15" customHeight="1">
      <c r="A632" s="325"/>
      <c r="B632" s="643"/>
      <c r="C632" s="333"/>
      <c r="D632" s="1097"/>
      <c r="E632" s="219" t="str">
        <f>Inputs!E$81</f>
        <v>Label: yes</v>
      </c>
      <c r="F632" s="602" t="str">
        <f>Inputs!F$81</f>
        <v>yes</v>
      </c>
      <c r="G632" s="219" t="str">
        <f>Inputs!G$81</f>
        <v>Label</v>
      </c>
      <c r="H632" s="1049"/>
      <c r="I632" s="1097"/>
      <c r="J632" s="1054"/>
      <c r="K632" s="1054"/>
      <c r="L632" s="1054"/>
      <c r="M632" s="1054"/>
      <c r="N632" s="1054"/>
      <c r="O632" s="1054"/>
      <c r="P632" s="1054"/>
      <c r="Q632" s="1054"/>
      <c r="R632" s="1054"/>
      <c r="S632" s="1054"/>
      <c r="T632" s="1054"/>
      <c r="U632" s="1054"/>
      <c r="V632" s="1054"/>
      <c r="W632" s="1054"/>
      <c r="X632" s="1054"/>
      <c r="Y632" s="1054"/>
      <c r="Z632" s="1054"/>
      <c r="AA632" s="1054"/>
      <c r="AB632" s="1054"/>
      <c r="AC632" s="1054"/>
      <c r="AD632" s="1054"/>
      <c r="AE632" s="1054"/>
      <c r="AF632" s="1054"/>
      <c r="AG632" s="1054"/>
      <c r="AH632" s="1054"/>
      <c r="AI632" s="1054"/>
      <c r="AJ632" s="1054"/>
      <c r="AK632" s="1054"/>
      <c r="AL632" s="1054"/>
      <c r="AM632" s="1054"/>
      <c r="AN632" s="1054"/>
      <c r="AO632" s="1054"/>
      <c r="AP632" s="1054"/>
      <c r="AQ632" s="1054"/>
      <c r="AR632" s="1054"/>
      <c r="AS632" s="1054"/>
      <c r="AT632" s="1054"/>
      <c r="AU632" s="1054"/>
      <c r="AV632" s="1054"/>
      <c r="AW632" s="1054"/>
      <c r="AX632" s="1054"/>
    </row>
    <row r="633" spans="1:50" ht="15" customHeight="1">
      <c r="A633" s="397"/>
      <c r="B633" s="508"/>
      <c r="C633" s="372"/>
      <c r="D633" s="1102"/>
      <c r="E633" s="1041" t="str">
        <f xml:space="preserve"> E630 &amp; ": " &amp; Translate!E$98</f>
        <v>State participation share of equity contributions: met by state</v>
      </c>
      <c r="F633" s="1041"/>
      <c r="G633" s="1041" t="str">
        <f xml:space="preserve"> Translate!E$10</f>
        <v>US$ mn</v>
      </c>
      <c r="H633" s="22"/>
      <c r="I633" s="1024">
        <f ca="1" xml:space="preserve"> SUM(K633:AX633)</f>
        <v>0</v>
      </c>
      <c r="J633" s="1024"/>
      <c r="K633" s="1024">
        <f t="shared" ref="K633:AX633" ca="1" si="197" xml:space="preserve"> K630 * ($F631 = $F632)</f>
        <v>0</v>
      </c>
      <c r="L633" s="1024">
        <f t="shared" ca="1" si="197"/>
        <v>0</v>
      </c>
      <c r="M633" s="1024">
        <f t="shared" ca="1" si="197"/>
        <v>0</v>
      </c>
      <c r="N633" s="1024">
        <f t="shared" ca="1" si="197"/>
        <v>0</v>
      </c>
      <c r="O633" s="1024">
        <f t="shared" ca="1" si="197"/>
        <v>0</v>
      </c>
      <c r="P633" s="1024">
        <f t="shared" ca="1" si="197"/>
        <v>0</v>
      </c>
      <c r="Q633" s="1024">
        <f t="shared" ca="1" si="197"/>
        <v>0</v>
      </c>
      <c r="R633" s="1024">
        <f t="shared" ca="1" si="197"/>
        <v>0</v>
      </c>
      <c r="S633" s="1024">
        <f t="shared" ca="1" si="197"/>
        <v>0</v>
      </c>
      <c r="T633" s="1024">
        <f t="shared" ca="1" si="197"/>
        <v>0</v>
      </c>
      <c r="U633" s="1024">
        <f t="shared" ca="1" si="197"/>
        <v>0</v>
      </c>
      <c r="V633" s="1024">
        <f t="shared" ca="1" si="197"/>
        <v>0</v>
      </c>
      <c r="W633" s="1024">
        <f t="shared" ca="1" si="197"/>
        <v>0</v>
      </c>
      <c r="X633" s="1024">
        <f t="shared" ca="1" si="197"/>
        <v>0</v>
      </c>
      <c r="Y633" s="1024">
        <f t="shared" ca="1" si="197"/>
        <v>0</v>
      </c>
      <c r="Z633" s="1024">
        <f t="shared" ca="1" si="197"/>
        <v>0</v>
      </c>
      <c r="AA633" s="1024">
        <f t="shared" ca="1" si="197"/>
        <v>0</v>
      </c>
      <c r="AB633" s="1024">
        <f t="shared" ca="1" si="197"/>
        <v>0</v>
      </c>
      <c r="AC633" s="1024">
        <f t="shared" ca="1" si="197"/>
        <v>0</v>
      </c>
      <c r="AD633" s="1024">
        <f t="shared" ca="1" si="197"/>
        <v>0</v>
      </c>
      <c r="AE633" s="1024">
        <f t="shared" ca="1" si="197"/>
        <v>0</v>
      </c>
      <c r="AF633" s="1024">
        <f t="shared" ca="1" si="197"/>
        <v>0</v>
      </c>
      <c r="AG633" s="1024">
        <f t="shared" ca="1" si="197"/>
        <v>0</v>
      </c>
      <c r="AH633" s="1024">
        <f t="shared" ca="1" si="197"/>
        <v>0</v>
      </c>
      <c r="AI633" s="1024">
        <f t="shared" ca="1" si="197"/>
        <v>0</v>
      </c>
      <c r="AJ633" s="1024">
        <f t="shared" ca="1" si="197"/>
        <v>0</v>
      </c>
      <c r="AK633" s="1024">
        <f t="shared" ca="1" si="197"/>
        <v>0</v>
      </c>
      <c r="AL633" s="1024">
        <f t="shared" ca="1" si="197"/>
        <v>0</v>
      </c>
      <c r="AM633" s="1024">
        <f t="shared" ca="1" si="197"/>
        <v>0</v>
      </c>
      <c r="AN633" s="1024">
        <f t="shared" ca="1" si="197"/>
        <v>0</v>
      </c>
      <c r="AO633" s="1024">
        <f t="shared" ca="1" si="197"/>
        <v>0</v>
      </c>
      <c r="AP633" s="1024">
        <f t="shared" ca="1" si="197"/>
        <v>0</v>
      </c>
      <c r="AQ633" s="1024">
        <f t="shared" ca="1" si="197"/>
        <v>0</v>
      </c>
      <c r="AR633" s="1024">
        <f t="shared" ca="1" si="197"/>
        <v>0</v>
      </c>
      <c r="AS633" s="1024">
        <f t="shared" ca="1" si="197"/>
        <v>0</v>
      </c>
      <c r="AT633" s="1024">
        <f t="shared" ca="1" si="197"/>
        <v>0</v>
      </c>
      <c r="AU633" s="1024">
        <f t="shared" ca="1" si="197"/>
        <v>0</v>
      </c>
      <c r="AV633" s="1024">
        <f t="shared" ca="1" si="197"/>
        <v>0</v>
      </c>
      <c r="AW633" s="1024">
        <f t="shared" ca="1" si="197"/>
        <v>0</v>
      </c>
      <c r="AX633" s="1024">
        <f t="shared" ca="1" si="197"/>
        <v>0</v>
      </c>
    </row>
    <row r="634" spans="1:50" ht="15" customHeight="1">
      <c r="A634" s="397"/>
      <c r="B634" s="508"/>
      <c r="C634" s="372"/>
      <c r="D634" s="1102"/>
      <c r="E634" s="1079"/>
      <c r="F634" s="1079"/>
      <c r="G634" s="1079"/>
      <c r="H634" s="22"/>
      <c r="I634" s="1024"/>
      <c r="J634" s="1024"/>
      <c r="K634" s="1024"/>
      <c r="L634" s="1024"/>
      <c r="M634" s="1024"/>
      <c r="N634" s="1024"/>
      <c r="O634" s="1024"/>
      <c r="P634" s="1024"/>
      <c r="Q634" s="1024"/>
      <c r="R634" s="1024"/>
      <c r="S634" s="1024"/>
      <c r="T634" s="1024"/>
      <c r="U634" s="1024"/>
      <c r="V634" s="1024"/>
      <c r="W634" s="1024"/>
      <c r="X634" s="1024"/>
      <c r="Y634" s="1024"/>
      <c r="Z634" s="1024"/>
      <c r="AA634" s="1024"/>
      <c r="AB634" s="1024"/>
      <c r="AC634" s="1024"/>
      <c r="AD634" s="1024"/>
      <c r="AE634" s="1024"/>
      <c r="AF634" s="1024"/>
      <c r="AG634" s="1024"/>
      <c r="AH634" s="1024"/>
      <c r="AI634" s="1024"/>
      <c r="AJ634" s="1024"/>
      <c r="AK634" s="1024"/>
      <c r="AL634" s="1024"/>
      <c r="AM634" s="1024"/>
      <c r="AN634" s="1024"/>
      <c r="AO634" s="1024"/>
      <c r="AP634" s="1024"/>
      <c r="AQ634" s="1024"/>
      <c r="AR634" s="1024"/>
      <c r="AS634" s="1024"/>
      <c r="AT634" s="1024"/>
      <c r="AU634" s="1024"/>
      <c r="AV634" s="1024"/>
      <c r="AW634" s="1024"/>
      <c r="AX634" s="1024"/>
    </row>
    <row r="635" spans="1:50" ht="15" customHeight="1">
      <c r="A635" s="397"/>
      <c r="B635" s="508" t="str">
        <f>Translate!$E$99</f>
        <v>State participation share of distributions</v>
      </c>
      <c r="C635" s="372"/>
      <c r="D635" s="1102"/>
      <c r="E635" s="1079"/>
      <c r="F635" s="1079"/>
      <c r="G635" s="1079"/>
      <c r="H635" s="22"/>
      <c r="I635" s="1024"/>
      <c r="J635" s="1024"/>
      <c r="K635" s="1024"/>
      <c r="L635" s="1024"/>
      <c r="M635" s="1024"/>
      <c r="N635" s="1024"/>
      <c r="O635" s="1024"/>
      <c r="P635" s="1024"/>
      <c r="Q635" s="1024"/>
      <c r="R635" s="1024"/>
      <c r="S635" s="1024"/>
      <c r="T635" s="1024"/>
      <c r="U635" s="1024"/>
      <c r="V635" s="1024"/>
      <c r="W635" s="1024"/>
      <c r="X635" s="1024"/>
      <c r="Y635" s="1024"/>
      <c r="Z635" s="1024"/>
      <c r="AA635" s="1024"/>
      <c r="AB635" s="1024"/>
      <c r="AC635" s="1024"/>
      <c r="AD635" s="1024"/>
      <c r="AE635" s="1024"/>
      <c r="AF635" s="1024"/>
      <c r="AG635" s="1024"/>
      <c r="AH635" s="1024"/>
      <c r="AI635" s="1024"/>
      <c r="AJ635" s="1024"/>
      <c r="AK635" s="1024"/>
      <c r="AL635" s="1024"/>
      <c r="AM635" s="1024"/>
      <c r="AN635" s="1024"/>
      <c r="AO635" s="1024"/>
      <c r="AP635" s="1024"/>
      <c r="AQ635" s="1024"/>
      <c r="AR635" s="1024"/>
      <c r="AS635" s="1024"/>
      <c r="AT635" s="1024"/>
      <c r="AU635" s="1024"/>
      <c r="AV635" s="1024"/>
      <c r="AW635" s="1024"/>
      <c r="AX635" s="1024"/>
    </row>
    <row r="636" spans="1:50" ht="15" customHeight="1">
      <c r="A636" s="397"/>
      <c r="B636" s="508"/>
      <c r="C636" s="372"/>
      <c r="D636" s="1102"/>
      <c r="E636" s="1024" t="str">
        <f xml:space="preserve"> E$605</f>
        <v>Mining company distributions deemed dividends</v>
      </c>
      <c r="F636" s="1024">
        <f t="shared" ref="F636:AX636" si="198" xml:space="preserve"> F$605</f>
        <v>0</v>
      </c>
      <c r="G636" s="1024" t="str">
        <f t="shared" si="198"/>
        <v>US$ mn</v>
      </c>
      <c r="H636" s="1024">
        <f t="shared" si="198"/>
        <v>0</v>
      </c>
      <c r="I636" s="1024">
        <f t="shared" ca="1" si="198"/>
        <v>1220.1772541500341</v>
      </c>
      <c r="J636" s="1024">
        <f t="shared" si="198"/>
        <v>0</v>
      </c>
      <c r="K636" s="1024">
        <f t="shared" ca="1" si="198"/>
        <v>0</v>
      </c>
      <c r="L636" s="1024">
        <f t="shared" ca="1" si="198"/>
        <v>0</v>
      </c>
      <c r="M636" s="1024">
        <f t="shared" ca="1" si="198"/>
        <v>0</v>
      </c>
      <c r="N636" s="1024">
        <f t="shared" ca="1" si="198"/>
        <v>0</v>
      </c>
      <c r="O636" s="1024">
        <f t="shared" ca="1" si="198"/>
        <v>0</v>
      </c>
      <c r="P636" s="1024">
        <f t="shared" ca="1" si="198"/>
        <v>36.814194281699983</v>
      </c>
      <c r="Q636" s="1024">
        <f t="shared" ca="1" si="198"/>
        <v>61.105743539455233</v>
      </c>
      <c r="R636" s="1024">
        <f t="shared" ca="1" si="198"/>
        <v>68.885300950197575</v>
      </c>
      <c r="S636" s="1024">
        <f t="shared" ca="1" si="198"/>
        <v>67.51405992060279</v>
      </c>
      <c r="T636" s="1024">
        <f t="shared" ca="1" si="198"/>
        <v>48.295363019498346</v>
      </c>
      <c r="U636" s="1024">
        <f t="shared" ca="1" si="198"/>
        <v>47.845423035243094</v>
      </c>
      <c r="V636" s="1024">
        <f t="shared" ca="1" si="198"/>
        <v>120.4691223486245</v>
      </c>
      <c r="W636" s="1024">
        <f t="shared" ca="1" si="198"/>
        <v>122.87850479559705</v>
      </c>
      <c r="X636" s="1024">
        <f t="shared" ca="1" si="198"/>
        <v>122.79317916105751</v>
      </c>
      <c r="Y636" s="1024">
        <f t="shared" ca="1" si="198"/>
        <v>125.29990065888771</v>
      </c>
      <c r="Z636" s="1024">
        <f t="shared" ca="1" si="198"/>
        <v>127.85675658667449</v>
      </c>
      <c r="AA636" s="1024">
        <f t="shared" ca="1" si="198"/>
        <v>106.95922639760303</v>
      </c>
      <c r="AB636" s="1024">
        <f t="shared" ca="1" si="198"/>
        <v>95.748258337783</v>
      </c>
      <c r="AC636" s="1024">
        <f t="shared" ca="1" si="198"/>
        <v>67.712221117109948</v>
      </c>
      <c r="AD636" s="1024">
        <f t="shared" ca="1" si="198"/>
        <v>0</v>
      </c>
      <c r="AE636" s="1024">
        <f t="shared" ca="1" si="198"/>
        <v>0</v>
      </c>
      <c r="AF636" s="1024">
        <f t="shared" ca="1" si="198"/>
        <v>0</v>
      </c>
      <c r="AG636" s="1024">
        <f t="shared" ca="1" si="198"/>
        <v>0</v>
      </c>
      <c r="AH636" s="1024">
        <f t="shared" ca="1" si="198"/>
        <v>0</v>
      </c>
      <c r="AI636" s="1024">
        <f t="shared" ca="1" si="198"/>
        <v>0</v>
      </c>
      <c r="AJ636" s="1024">
        <f t="shared" ca="1" si="198"/>
        <v>0</v>
      </c>
      <c r="AK636" s="1024">
        <f t="shared" ca="1" si="198"/>
        <v>0</v>
      </c>
      <c r="AL636" s="1024">
        <f t="shared" ca="1" si="198"/>
        <v>0</v>
      </c>
      <c r="AM636" s="1024">
        <f t="shared" ca="1" si="198"/>
        <v>0</v>
      </c>
      <c r="AN636" s="1024">
        <f t="shared" ca="1" si="198"/>
        <v>0</v>
      </c>
      <c r="AO636" s="1024">
        <f t="shared" ca="1" si="198"/>
        <v>0</v>
      </c>
      <c r="AP636" s="1024">
        <f t="shared" ca="1" si="198"/>
        <v>0</v>
      </c>
      <c r="AQ636" s="1024">
        <f t="shared" ca="1" si="198"/>
        <v>0</v>
      </c>
      <c r="AR636" s="1024">
        <f t="shared" ca="1" si="198"/>
        <v>0</v>
      </c>
      <c r="AS636" s="1024">
        <f t="shared" ca="1" si="198"/>
        <v>0</v>
      </c>
      <c r="AT636" s="1024">
        <f t="shared" ca="1" si="198"/>
        <v>0</v>
      </c>
      <c r="AU636" s="1024">
        <f t="shared" ca="1" si="198"/>
        <v>0</v>
      </c>
      <c r="AV636" s="1024">
        <f t="shared" ca="1" si="198"/>
        <v>0</v>
      </c>
      <c r="AW636" s="1024">
        <f t="shared" ca="1" si="198"/>
        <v>0</v>
      </c>
      <c r="AX636" s="1024">
        <f t="shared" ca="1" si="198"/>
        <v>0</v>
      </c>
    </row>
    <row r="637" spans="1:50" ht="15" customHeight="1">
      <c r="A637" s="397"/>
      <c r="B637" s="508"/>
      <c r="C637" s="372"/>
      <c r="D637" s="1102"/>
      <c r="E637" s="1024" t="str">
        <f xml:space="preserve"> E$606</f>
        <v>Mining company distributions deemed return of capital</v>
      </c>
      <c r="F637" s="1024">
        <f t="shared" ref="F637:AX637" si="199" xml:space="preserve"> F$606</f>
        <v>0</v>
      </c>
      <c r="G637" s="1024" t="str">
        <f t="shared" si="199"/>
        <v>US$ mn</v>
      </c>
      <c r="H637" s="1024">
        <f t="shared" si="199"/>
        <v>0</v>
      </c>
      <c r="I637" s="1024">
        <f t="shared" ca="1" si="199"/>
        <v>117.40789607799979</v>
      </c>
      <c r="J637" s="1024">
        <f t="shared" si="199"/>
        <v>0</v>
      </c>
      <c r="K637" s="1024">
        <f t="shared" ca="1" si="199"/>
        <v>0</v>
      </c>
      <c r="L637" s="1024">
        <f t="shared" ca="1" si="199"/>
        <v>0</v>
      </c>
      <c r="M637" s="1024">
        <f t="shared" ca="1" si="199"/>
        <v>0</v>
      </c>
      <c r="N637" s="1024">
        <f t="shared" ca="1" si="199"/>
        <v>0</v>
      </c>
      <c r="O637" s="1024">
        <f t="shared" ca="1" si="199"/>
        <v>0</v>
      </c>
      <c r="P637" s="1024">
        <f t="shared" ca="1" si="199"/>
        <v>0</v>
      </c>
      <c r="Q637" s="1024">
        <f t="shared" ca="1" si="199"/>
        <v>0</v>
      </c>
      <c r="R637" s="1024">
        <f t="shared" ca="1" si="199"/>
        <v>0</v>
      </c>
      <c r="S637" s="1024">
        <f t="shared" ca="1" si="199"/>
        <v>0</v>
      </c>
      <c r="T637" s="1024">
        <f t="shared" ca="1" si="199"/>
        <v>0</v>
      </c>
      <c r="U637" s="1024">
        <f t="shared" ca="1" si="199"/>
        <v>0</v>
      </c>
      <c r="V637" s="1024">
        <f t="shared" ca="1" si="199"/>
        <v>0</v>
      </c>
      <c r="W637" s="1024">
        <f t="shared" ca="1" si="199"/>
        <v>0</v>
      </c>
      <c r="X637" s="1024">
        <f t="shared" ca="1" si="199"/>
        <v>0</v>
      </c>
      <c r="Y637" s="1024">
        <f t="shared" ca="1" si="199"/>
        <v>0</v>
      </c>
      <c r="Z637" s="1024">
        <f t="shared" ca="1" si="199"/>
        <v>0</v>
      </c>
      <c r="AA637" s="1024">
        <f t="shared" ca="1" si="199"/>
        <v>0</v>
      </c>
      <c r="AB637" s="1024">
        <f t="shared" ca="1" si="199"/>
        <v>0</v>
      </c>
      <c r="AC637" s="1024">
        <f t="shared" ca="1" si="199"/>
        <v>4.9194057721147715</v>
      </c>
      <c r="AD637" s="1024">
        <f t="shared" ca="1" si="199"/>
        <v>63.530109465177134</v>
      </c>
      <c r="AE637" s="1024">
        <f t="shared" ca="1" si="199"/>
        <v>48.958380840707889</v>
      </c>
      <c r="AF637" s="1024">
        <f t="shared" ca="1" si="199"/>
        <v>0</v>
      </c>
      <c r="AG637" s="1024">
        <f t="shared" ca="1" si="199"/>
        <v>0</v>
      </c>
      <c r="AH637" s="1024">
        <f t="shared" ca="1" si="199"/>
        <v>0</v>
      </c>
      <c r="AI637" s="1024">
        <f t="shared" ca="1" si="199"/>
        <v>0</v>
      </c>
      <c r="AJ637" s="1024">
        <f t="shared" ca="1" si="199"/>
        <v>0</v>
      </c>
      <c r="AK637" s="1024">
        <f t="shared" ca="1" si="199"/>
        <v>0</v>
      </c>
      <c r="AL637" s="1024">
        <f t="shared" ca="1" si="199"/>
        <v>0</v>
      </c>
      <c r="AM637" s="1024">
        <f t="shared" ca="1" si="199"/>
        <v>0</v>
      </c>
      <c r="AN637" s="1024">
        <f t="shared" ca="1" si="199"/>
        <v>0</v>
      </c>
      <c r="AO637" s="1024">
        <f t="shared" ca="1" si="199"/>
        <v>0</v>
      </c>
      <c r="AP637" s="1024">
        <f t="shared" ca="1" si="199"/>
        <v>0</v>
      </c>
      <c r="AQ637" s="1024">
        <f t="shared" ca="1" si="199"/>
        <v>0</v>
      </c>
      <c r="AR637" s="1024">
        <f t="shared" ca="1" si="199"/>
        <v>0</v>
      </c>
      <c r="AS637" s="1024">
        <f t="shared" ca="1" si="199"/>
        <v>0</v>
      </c>
      <c r="AT637" s="1024">
        <f t="shared" ca="1" si="199"/>
        <v>0</v>
      </c>
      <c r="AU637" s="1024">
        <f t="shared" ca="1" si="199"/>
        <v>0</v>
      </c>
      <c r="AV637" s="1024">
        <f t="shared" ca="1" si="199"/>
        <v>0</v>
      </c>
      <c r="AW637" s="1024">
        <f t="shared" ca="1" si="199"/>
        <v>0</v>
      </c>
      <c r="AX637" s="1024">
        <f t="shared" ca="1" si="199"/>
        <v>0</v>
      </c>
    </row>
    <row r="638" spans="1:50" ht="15" customHeight="1">
      <c r="A638" s="397"/>
      <c r="B638" s="508"/>
      <c r="C638" s="372"/>
      <c r="D638" s="1102"/>
      <c r="E638" s="1024"/>
      <c r="F638" s="1024"/>
      <c r="G638" s="1024"/>
      <c r="H638" s="641"/>
      <c r="I638" s="1024"/>
      <c r="J638" s="1024"/>
      <c r="K638" s="1024"/>
      <c r="L638" s="1024"/>
      <c r="M638" s="1024"/>
      <c r="N638" s="1024"/>
      <c r="O638" s="1024"/>
      <c r="P638" s="1024"/>
      <c r="Q638" s="1024"/>
      <c r="R638" s="1024"/>
      <c r="S638" s="1024"/>
      <c r="T638" s="1024"/>
      <c r="U638" s="1024"/>
      <c r="V638" s="1024"/>
      <c r="W638" s="1024"/>
      <c r="X638" s="1024"/>
      <c r="Y638" s="1024"/>
      <c r="Z638" s="1024"/>
      <c r="AA638" s="1024"/>
      <c r="AB638" s="1024"/>
      <c r="AC638" s="1024"/>
      <c r="AD638" s="1024"/>
      <c r="AE638" s="1024"/>
      <c r="AF638" s="1024"/>
      <c r="AG638" s="1024"/>
      <c r="AH638" s="1024"/>
      <c r="AI638" s="1024"/>
      <c r="AJ638" s="1024"/>
      <c r="AK638" s="1024"/>
      <c r="AL638" s="1024"/>
      <c r="AM638" s="1024"/>
      <c r="AN638" s="1024"/>
      <c r="AO638" s="1024"/>
      <c r="AP638" s="1024"/>
      <c r="AQ638" s="1024"/>
      <c r="AR638" s="1024"/>
      <c r="AS638" s="1024"/>
      <c r="AT638" s="1024"/>
      <c r="AU638" s="1024"/>
      <c r="AV638" s="1024"/>
      <c r="AW638" s="1024"/>
      <c r="AX638" s="1024"/>
    </row>
    <row r="639" spans="1:50" ht="15" customHeight="1">
      <c r="A639" s="397"/>
      <c r="B639" s="508"/>
      <c r="C639" s="372"/>
      <c r="D639" s="1102"/>
      <c r="E639" s="386" t="str">
        <f xml:space="preserve"> E$51</f>
        <v>State participation</v>
      </c>
      <c r="F639" s="386">
        <f xml:space="preserve"> F$51</f>
        <v>0</v>
      </c>
      <c r="G639" s="386" t="str">
        <f xml:space="preserve"> G$51</f>
        <v>%</v>
      </c>
      <c r="H639" s="22"/>
      <c r="I639" s="1024"/>
      <c r="J639" s="1024"/>
      <c r="K639" s="1024"/>
      <c r="L639" s="1024"/>
      <c r="M639" s="1024"/>
      <c r="N639" s="1024"/>
      <c r="O639" s="1024"/>
      <c r="P639" s="1024"/>
      <c r="Q639" s="1024"/>
      <c r="R639" s="1024"/>
      <c r="S639" s="1024"/>
      <c r="T639" s="1024"/>
      <c r="U639" s="1024"/>
      <c r="V639" s="1024"/>
      <c r="W639" s="1024"/>
      <c r="X639" s="1024"/>
      <c r="Y639" s="1024"/>
      <c r="Z639" s="1024"/>
      <c r="AA639" s="1024"/>
      <c r="AB639" s="1024"/>
      <c r="AC639" s="1024"/>
      <c r="AD639" s="1024"/>
      <c r="AE639" s="1024"/>
      <c r="AF639" s="1024"/>
      <c r="AG639" s="1024"/>
      <c r="AH639" s="1024"/>
      <c r="AI639" s="1024"/>
      <c r="AJ639" s="1024"/>
      <c r="AK639" s="1024"/>
      <c r="AL639" s="1024"/>
      <c r="AM639" s="1024"/>
      <c r="AN639" s="1024"/>
      <c r="AO639" s="1024"/>
      <c r="AP639" s="1024"/>
      <c r="AQ639" s="1024"/>
      <c r="AR639" s="1024"/>
      <c r="AS639" s="1024"/>
      <c r="AT639" s="1024"/>
      <c r="AU639" s="1024"/>
      <c r="AV639" s="1024"/>
      <c r="AW639" s="1024"/>
      <c r="AX639" s="1024"/>
    </row>
    <row r="640" spans="1:50" s="434" customFormat="1" ht="15" customHeight="1">
      <c r="A640" s="429"/>
      <c r="B640" s="508"/>
      <c r="C640" s="430"/>
      <c r="D640" s="431"/>
      <c r="E640" s="438" t="str">
        <f>Translate!$E$99</f>
        <v>State participation share of distributions</v>
      </c>
      <c r="F640" s="438"/>
      <c r="G640" s="438" t="str">
        <f xml:space="preserve"> Translate!E$10</f>
        <v>US$ mn</v>
      </c>
      <c r="H640" s="432"/>
      <c r="I640" s="432">
        <f ca="1" xml:space="preserve"> SUM(K640:AX640)</f>
        <v>0</v>
      </c>
      <c r="J640" s="432"/>
      <c r="K640" s="432">
        <f t="shared" ref="K640:AX640" ca="1" si="200" xml:space="preserve"> K636 * $F639 + K637 * $F639 * ($F631 = $F632)</f>
        <v>0</v>
      </c>
      <c r="L640" s="432">
        <f t="shared" ca="1" si="200"/>
        <v>0</v>
      </c>
      <c r="M640" s="432">
        <f t="shared" ca="1" si="200"/>
        <v>0</v>
      </c>
      <c r="N640" s="432">
        <f t="shared" ca="1" si="200"/>
        <v>0</v>
      </c>
      <c r="O640" s="432">
        <f t="shared" ca="1" si="200"/>
        <v>0</v>
      </c>
      <c r="P640" s="432">
        <f t="shared" ca="1" si="200"/>
        <v>0</v>
      </c>
      <c r="Q640" s="432">
        <f t="shared" ca="1" si="200"/>
        <v>0</v>
      </c>
      <c r="R640" s="432">
        <f t="shared" ca="1" si="200"/>
        <v>0</v>
      </c>
      <c r="S640" s="432">
        <f t="shared" ca="1" si="200"/>
        <v>0</v>
      </c>
      <c r="T640" s="432">
        <f t="shared" ca="1" si="200"/>
        <v>0</v>
      </c>
      <c r="U640" s="432">
        <f t="shared" ca="1" si="200"/>
        <v>0</v>
      </c>
      <c r="V640" s="432">
        <f t="shared" ca="1" si="200"/>
        <v>0</v>
      </c>
      <c r="W640" s="432">
        <f t="shared" ca="1" si="200"/>
        <v>0</v>
      </c>
      <c r="X640" s="432">
        <f t="shared" ca="1" si="200"/>
        <v>0</v>
      </c>
      <c r="Y640" s="432">
        <f t="shared" ca="1" si="200"/>
        <v>0</v>
      </c>
      <c r="Z640" s="432">
        <f t="shared" ca="1" si="200"/>
        <v>0</v>
      </c>
      <c r="AA640" s="432">
        <f t="shared" ca="1" si="200"/>
        <v>0</v>
      </c>
      <c r="AB640" s="432">
        <f t="shared" ca="1" si="200"/>
        <v>0</v>
      </c>
      <c r="AC640" s="432">
        <f t="shared" ca="1" si="200"/>
        <v>0</v>
      </c>
      <c r="AD640" s="432">
        <f t="shared" ca="1" si="200"/>
        <v>0</v>
      </c>
      <c r="AE640" s="432">
        <f t="shared" ca="1" si="200"/>
        <v>0</v>
      </c>
      <c r="AF640" s="432">
        <f t="shared" ca="1" si="200"/>
        <v>0</v>
      </c>
      <c r="AG640" s="432">
        <f t="shared" ca="1" si="200"/>
        <v>0</v>
      </c>
      <c r="AH640" s="432">
        <f t="shared" ca="1" si="200"/>
        <v>0</v>
      </c>
      <c r="AI640" s="432">
        <f t="shared" ca="1" si="200"/>
        <v>0</v>
      </c>
      <c r="AJ640" s="432">
        <f t="shared" ca="1" si="200"/>
        <v>0</v>
      </c>
      <c r="AK640" s="432">
        <f t="shared" ca="1" si="200"/>
        <v>0</v>
      </c>
      <c r="AL640" s="432">
        <f t="shared" ca="1" si="200"/>
        <v>0</v>
      </c>
      <c r="AM640" s="432">
        <f t="shared" ca="1" si="200"/>
        <v>0</v>
      </c>
      <c r="AN640" s="432">
        <f t="shared" ca="1" si="200"/>
        <v>0</v>
      </c>
      <c r="AO640" s="432">
        <f t="shared" ca="1" si="200"/>
        <v>0</v>
      </c>
      <c r="AP640" s="432">
        <f t="shared" ca="1" si="200"/>
        <v>0</v>
      </c>
      <c r="AQ640" s="432">
        <f t="shared" ca="1" si="200"/>
        <v>0</v>
      </c>
      <c r="AR640" s="432">
        <f t="shared" ca="1" si="200"/>
        <v>0</v>
      </c>
      <c r="AS640" s="432">
        <f t="shared" ca="1" si="200"/>
        <v>0</v>
      </c>
      <c r="AT640" s="432">
        <f t="shared" ca="1" si="200"/>
        <v>0</v>
      </c>
      <c r="AU640" s="432">
        <f t="shared" ca="1" si="200"/>
        <v>0</v>
      </c>
      <c r="AV640" s="432">
        <f t="shared" ca="1" si="200"/>
        <v>0</v>
      </c>
      <c r="AW640" s="432">
        <f t="shared" ca="1" si="200"/>
        <v>0</v>
      </c>
      <c r="AX640" s="432">
        <f t="shared" ca="1" si="200"/>
        <v>0</v>
      </c>
    </row>
    <row r="641" spans="1:50" ht="15" customHeight="1">
      <c r="A641" s="397"/>
      <c r="B641" s="508"/>
      <c r="C641" s="372"/>
      <c r="D641" s="1102"/>
      <c r="E641" s="386"/>
      <c r="F641" s="386"/>
      <c r="G641" s="386"/>
      <c r="H641" s="22"/>
      <c r="I641" s="1024"/>
      <c r="J641" s="1024"/>
      <c r="K641" s="1024"/>
      <c r="L641" s="1024"/>
      <c r="M641" s="1024"/>
      <c r="N641" s="1024"/>
      <c r="O641" s="1024"/>
      <c r="P641" s="1024"/>
      <c r="Q641" s="1024"/>
      <c r="R641" s="1024"/>
      <c r="S641" s="1024"/>
      <c r="T641" s="1024"/>
      <c r="U641" s="1024"/>
      <c r="V641" s="1024"/>
      <c r="W641" s="1024"/>
      <c r="X641" s="1024"/>
      <c r="Y641" s="1024"/>
      <c r="Z641" s="1024"/>
      <c r="AA641" s="1024"/>
      <c r="AB641" s="1024"/>
      <c r="AC641" s="1024"/>
      <c r="AD641" s="1024"/>
      <c r="AE641" s="1024"/>
      <c r="AF641" s="1024"/>
      <c r="AG641" s="1024"/>
      <c r="AH641" s="1024"/>
      <c r="AI641" s="1024"/>
      <c r="AJ641" s="1024"/>
      <c r="AK641" s="1024"/>
      <c r="AL641" s="1024"/>
      <c r="AM641" s="1024"/>
      <c r="AN641" s="1024"/>
      <c r="AO641" s="1024"/>
      <c r="AP641" s="1024"/>
      <c r="AQ641" s="1024"/>
      <c r="AR641" s="1024"/>
      <c r="AS641" s="1024"/>
      <c r="AT641" s="1024"/>
      <c r="AU641" s="1024"/>
      <c r="AV641" s="1024"/>
      <c r="AW641" s="1024"/>
      <c r="AX641" s="1024"/>
    </row>
    <row r="642" spans="1:50" s="434" customFormat="1" ht="15" customHeight="1">
      <c r="A642" s="429"/>
      <c r="B642" s="508"/>
      <c r="C642" s="430" t="str">
        <f>Translate!$E$117</f>
        <v>Loan available until</v>
      </c>
      <c r="D642" s="431"/>
      <c r="H642" s="432"/>
      <c r="I642" s="432"/>
      <c r="J642" s="432"/>
      <c r="K642" s="432"/>
      <c r="L642" s="432"/>
      <c r="M642" s="432"/>
      <c r="N642" s="432"/>
      <c r="O642" s="432"/>
      <c r="P642" s="432"/>
      <c r="Q642" s="432"/>
      <c r="R642" s="432"/>
      <c r="S642" s="432"/>
      <c r="T642" s="432"/>
      <c r="U642" s="432"/>
      <c r="V642" s="432"/>
      <c r="W642" s="432"/>
      <c r="X642" s="432"/>
      <c r="Y642" s="432"/>
      <c r="Z642" s="432"/>
      <c r="AA642" s="432"/>
      <c r="AB642" s="432"/>
      <c r="AC642" s="432"/>
      <c r="AD642" s="432"/>
      <c r="AE642" s="432"/>
      <c r="AF642" s="432"/>
      <c r="AG642" s="432"/>
      <c r="AH642" s="432"/>
      <c r="AI642" s="432"/>
      <c r="AJ642" s="432"/>
      <c r="AK642" s="432"/>
      <c r="AL642" s="432"/>
      <c r="AM642" s="432"/>
      <c r="AN642" s="432"/>
      <c r="AO642" s="432"/>
      <c r="AP642" s="432"/>
      <c r="AQ642" s="432"/>
      <c r="AR642" s="432"/>
      <c r="AS642" s="432"/>
      <c r="AT642" s="432"/>
      <c r="AU642" s="432"/>
      <c r="AV642" s="432"/>
      <c r="AW642" s="432"/>
      <c r="AX642" s="432"/>
    </row>
    <row r="643" spans="1:50" s="434" customFormat="1" ht="15" customHeight="1">
      <c r="A643" s="429"/>
      <c r="B643" s="508"/>
      <c r="C643" s="430"/>
      <c r="D643" s="431"/>
      <c r="E643" s="221" t="str">
        <f xml:space="preserve"> ProjectCashflows!E$193</f>
        <v>Cumulative production years</v>
      </c>
      <c r="F643" s="221">
        <f xml:space="preserve"> ProjectCashflows!F$193</f>
        <v>0</v>
      </c>
      <c r="G643" s="221" t="str">
        <f xml:space="preserve"> ProjectCashflows!G$193</f>
        <v>Years</v>
      </c>
      <c r="H643" s="221">
        <f xml:space="preserve"> ProjectCashflows!H$193</f>
        <v>0</v>
      </c>
      <c r="I643" s="221">
        <f xml:space="preserve"> ProjectCashflows!I$193</f>
        <v>0</v>
      </c>
      <c r="J643" s="221">
        <f xml:space="preserve"> ProjectCashflows!J$193</f>
        <v>0</v>
      </c>
      <c r="K643" s="221">
        <f ca="1" xml:space="preserve"> ProjectCashflows!K$193</f>
        <v>0</v>
      </c>
      <c r="L643" s="221">
        <f ca="1" xml:space="preserve"> ProjectCashflows!L$193</f>
        <v>0</v>
      </c>
      <c r="M643" s="221">
        <f ca="1" xml:space="preserve"> ProjectCashflows!M$193</f>
        <v>0</v>
      </c>
      <c r="N643" s="221">
        <f ca="1" xml:space="preserve"> ProjectCashflows!N$193</f>
        <v>0</v>
      </c>
      <c r="O643" s="221">
        <f ca="1" xml:space="preserve"> ProjectCashflows!O$193</f>
        <v>1</v>
      </c>
      <c r="P643" s="221">
        <f ca="1" xml:space="preserve"> ProjectCashflows!P$193</f>
        <v>2</v>
      </c>
      <c r="Q643" s="221">
        <f ca="1" xml:space="preserve"> ProjectCashflows!Q$193</f>
        <v>3</v>
      </c>
      <c r="R643" s="221">
        <f ca="1" xml:space="preserve"> ProjectCashflows!R$193</f>
        <v>4</v>
      </c>
      <c r="S643" s="221">
        <f ca="1" xml:space="preserve"> ProjectCashflows!S$193</f>
        <v>5</v>
      </c>
      <c r="T643" s="221">
        <f ca="1" xml:space="preserve"> ProjectCashflows!T$193</f>
        <v>6</v>
      </c>
      <c r="U643" s="221">
        <f ca="1" xml:space="preserve"> ProjectCashflows!U$193</f>
        <v>7</v>
      </c>
      <c r="V643" s="221">
        <f ca="1" xml:space="preserve"> ProjectCashflows!V$193</f>
        <v>8</v>
      </c>
      <c r="W643" s="221">
        <f ca="1" xml:space="preserve"> ProjectCashflows!W$193</f>
        <v>9</v>
      </c>
      <c r="X643" s="221">
        <f ca="1" xml:space="preserve"> ProjectCashflows!X$193</f>
        <v>10</v>
      </c>
      <c r="Y643" s="221">
        <f ca="1" xml:space="preserve"> ProjectCashflows!Y$193</f>
        <v>11</v>
      </c>
      <c r="Z643" s="221">
        <f ca="1" xml:space="preserve"> ProjectCashflows!Z$193</f>
        <v>12</v>
      </c>
      <c r="AA643" s="221">
        <f ca="1" xml:space="preserve"> ProjectCashflows!AA$193</f>
        <v>13</v>
      </c>
      <c r="AB643" s="221">
        <f ca="1" xml:space="preserve"> ProjectCashflows!AB$193</f>
        <v>14</v>
      </c>
      <c r="AC643" s="221">
        <f ca="1" xml:space="preserve"> ProjectCashflows!AC$193</f>
        <v>15</v>
      </c>
      <c r="AD643" s="221">
        <f ca="1" xml:space="preserve"> ProjectCashflows!AD$193</f>
        <v>16</v>
      </c>
      <c r="AE643" s="221">
        <f ca="1" xml:space="preserve"> ProjectCashflows!AE$193</f>
        <v>17</v>
      </c>
      <c r="AF643" s="221">
        <f ca="1" xml:space="preserve"> ProjectCashflows!AF$193</f>
        <v>0</v>
      </c>
      <c r="AG643" s="221">
        <f ca="1" xml:space="preserve"> ProjectCashflows!AG$193</f>
        <v>0</v>
      </c>
      <c r="AH643" s="221">
        <f ca="1" xml:space="preserve"> ProjectCashflows!AH$193</f>
        <v>0</v>
      </c>
      <c r="AI643" s="221">
        <f ca="1" xml:space="preserve"> ProjectCashflows!AI$193</f>
        <v>0</v>
      </c>
      <c r="AJ643" s="221">
        <f ca="1" xml:space="preserve"> ProjectCashflows!AJ$193</f>
        <v>0</v>
      </c>
      <c r="AK643" s="221">
        <f ca="1" xml:space="preserve"> ProjectCashflows!AK$193</f>
        <v>0</v>
      </c>
      <c r="AL643" s="221">
        <f ca="1" xml:space="preserve"> ProjectCashflows!AL$193</f>
        <v>0</v>
      </c>
      <c r="AM643" s="221">
        <f ca="1" xml:space="preserve"> ProjectCashflows!AM$193</f>
        <v>0</v>
      </c>
      <c r="AN643" s="221">
        <f ca="1" xml:space="preserve"> ProjectCashflows!AN$193</f>
        <v>0</v>
      </c>
      <c r="AO643" s="221">
        <f ca="1" xml:space="preserve"> ProjectCashflows!AO$193</f>
        <v>0</v>
      </c>
      <c r="AP643" s="221">
        <f ca="1" xml:space="preserve"> ProjectCashflows!AP$193</f>
        <v>0</v>
      </c>
      <c r="AQ643" s="221">
        <f ca="1" xml:space="preserve"> ProjectCashflows!AQ$193</f>
        <v>0</v>
      </c>
      <c r="AR643" s="221">
        <f ca="1" xml:space="preserve"> ProjectCashflows!AR$193</f>
        <v>0</v>
      </c>
      <c r="AS643" s="221">
        <f ca="1" xml:space="preserve"> ProjectCashflows!AS$193</f>
        <v>0</v>
      </c>
      <c r="AT643" s="221">
        <f ca="1" xml:space="preserve"> ProjectCashflows!AT$193</f>
        <v>0</v>
      </c>
      <c r="AU643" s="221">
        <f ca="1" xml:space="preserve"> ProjectCashflows!AU$193</f>
        <v>0</v>
      </c>
      <c r="AV643" s="221">
        <f ca="1" xml:space="preserve"> ProjectCashflows!AV$193</f>
        <v>0</v>
      </c>
      <c r="AW643" s="221">
        <f ca="1" xml:space="preserve"> ProjectCashflows!AW$193</f>
        <v>0</v>
      </c>
      <c r="AX643" s="221">
        <f ca="1" xml:space="preserve"> ProjectCashflows!AX$193</f>
        <v>0</v>
      </c>
    </row>
    <row r="644" spans="1:50" s="434" customFormat="1" ht="15" customHeight="1">
      <c r="A644" s="429"/>
      <c r="B644" s="508"/>
      <c r="C644" s="430"/>
      <c r="D644" s="431"/>
      <c r="E644" s="221" t="str">
        <f xml:space="preserve"> ProjectCashflows!E$188</f>
        <v>Project activity (excl. decommissioning)</v>
      </c>
      <c r="F644" s="221">
        <f xml:space="preserve"> ProjectCashflows!F$188</f>
        <v>0</v>
      </c>
      <c r="G644" s="221" t="str">
        <f xml:space="preserve"> ProjectCashflows!G$188</f>
        <v>Flag</v>
      </c>
      <c r="H644" s="221">
        <f xml:space="preserve"> ProjectCashflows!H$188</f>
        <v>0</v>
      </c>
      <c r="I644" s="221">
        <f ca="1" xml:space="preserve"> ProjectCashflows!I$188</f>
        <v>21</v>
      </c>
      <c r="J644" s="221">
        <f xml:space="preserve"> ProjectCashflows!J$188</f>
        <v>0</v>
      </c>
      <c r="K644" s="221">
        <f ca="1" xml:space="preserve"> ProjectCashflows!K$188</f>
        <v>1</v>
      </c>
      <c r="L644" s="221">
        <f ca="1" xml:space="preserve"> ProjectCashflows!L$188</f>
        <v>1</v>
      </c>
      <c r="M644" s="221">
        <f ca="1" xml:space="preserve"> ProjectCashflows!M$188</f>
        <v>1</v>
      </c>
      <c r="N644" s="221">
        <f ca="1" xml:space="preserve"> ProjectCashflows!N$188</f>
        <v>1</v>
      </c>
      <c r="O644" s="221">
        <f ca="1" xml:space="preserve"> ProjectCashflows!O$188</f>
        <v>1</v>
      </c>
      <c r="P644" s="221">
        <f ca="1" xml:space="preserve"> ProjectCashflows!P$188</f>
        <v>1</v>
      </c>
      <c r="Q644" s="221">
        <f ca="1" xml:space="preserve"> ProjectCashflows!Q$188</f>
        <v>1</v>
      </c>
      <c r="R644" s="221">
        <f ca="1" xml:space="preserve"> ProjectCashflows!R$188</f>
        <v>1</v>
      </c>
      <c r="S644" s="221">
        <f ca="1" xml:space="preserve"> ProjectCashflows!S$188</f>
        <v>1</v>
      </c>
      <c r="T644" s="221">
        <f ca="1" xml:space="preserve"> ProjectCashflows!T$188</f>
        <v>1</v>
      </c>
      <c r="U644" s="221">
        <f ca="1" xml:space="preserve"> ProjectCashflows!U$188</f>
        <v>1</v>
      </c>
      <c r="V644" s="221">
        <f ca="1" xml:space="preserve"> ProjectCashflows!V$188</f>
        <v>1</v>
      </c>
      <c r="W644" s="221">
        <f ca="1" xml:space="preserve"> ProjectCashflows!W$188</f>
        <v>1</v>
      </c>
      <c r="X644" s="221">
        <f ca="1" xml:space="preserve"> ProjectCashflows!X$188</f>
        <v>1</v>
      </c>
      <c r="Y644" s="221">
        <f ca="1" xml:space="preserve"> ProjectCashflows!Y$188</f>
        <v>1</v>
      </c>
      <c r="Z644" s="221">
        <f ca="1" xml:space="preserve"> ProjectCashflows!Z$188</f>
        <v>1</v>
      </c>
      <c r="AA644" s="221">
        <f ca="1" xml:space="preserve"> ProjectCashflows!AA$188</f>
        <v>1</v>
      </c>
      <c r="AB644" s="221">
        <f ca="1" xml:space="preserve"> ProjectCashflows!AB$188</f>
        <v>1</v>
      </c>
      <c r="AC644" s="221">
        <f ca="1" xml:space="preserve"> ProjectCashflows!AC$188</f>
        <v>1</v>
      </c>
      <c r="AD644" s="221">
        <f ca="1" xml:space="preserve"> ProjectCashflows!AD$188</f>
        <v>1</v>
      </c>
      <c r="AE644" s="221">
        <f ca="1" xml:space="preserve"> ProjectCashflows!AE$188</f>
        <v>1</v>
      </c>
      <c r="AF644" s="221">
        <f ca="1" xml:space="preserve"> ProjectCashflows!AF$188</f>
        <v>0</v>
      </c>
      <c r="AG644" s="221">
        <f ca="1" xml:space="preserve"> ProjectCashflows!AG$188</f>
        <v>0</v>
      </c>
      <c r="AH644" s="221">
        <f ca="1" xml:space="preserve"> ProjectCashflows!AH$188</f>
        <v>0</v>
      </c>
      <c r="AI644" s="221">
        <f ca="1" xml:space="preserve"> ProjectCashflows!AI$188</f>
        <v>0</v>
      </c>
      <c r="AJ644" s="221">
        <f ca="1" xml:space="preserve"> ProjectCashflows!AJ$188</f>
        <v>0</v>
      </c>
      <c r="AK644" s="221">
        <f ca="1" xml:space="preserve"> ProjectCashflows!AK$188</f>
        <v>0</v>
      </c>
      <c r="AL644" s="221">
        <f ca="1" xml:space="preserve"> ProjectCashflows!AL$188</f>
        <v>0</v>
      </c>
      <c r="AM644" s="221">
        <f ca="1" xml:space="preserve"> ProjectCashflows!AM$188</f>
        <v>0</v>
      </c>
      <c r="AN644" s="221">
        <f ca="1" xml:space="preserve"> ProjectCashflows!AN$188</f>
        <v>0</v>
      </c>
      <c r="AO644" s="221">
        <f ca="1" xml:space="preserve"> ProjectCashflows!AO$188</f>
        <v>0</v>
      </c>
      <c r="AP644" s="221">
        <f ca="1" xml:space="preserve"> ProjectCashflows!AP$188</f>
        <v>0</v>
      </c>
      <c r="AQ644" s="221">
        <f ca="1" xml:space="preserve"> ProjectCashflows!AQ$188</f>
        <v>0</v>
      </c>
      <c r="AR644" s="221">
        <f ca="1" xml:space="preserve"> ProjectCashflows!AR$188</f>
        <v>0</v>
      </c>
      <c r="AS644" s="221">
        <f ca="1" xml:space="preserve"> ProjectCashflows!AS$188</f>
        <v>0</v>
      </c>
      <c r="AT644" s="221">
        <f ca="1" xml:space="preserve"> ProjectCashflows!AT$188</f>
        <v>0</v>
      </c>
      <c r="AU644" s="221">
        <f ca="1" xml:space="preserve"> ProjectCashflows!AU$188</f>
        <v>0</v>
      </c>
      <c r="AV644" s="221">
        <f ca="1" xml:space="preserve"> ProjectCashflows!AV$188</f>
        <v>0</v>
      </c>
      <c r="AW644" s="221">
        <f ca="1" xml:space="preserve"> ProjectCashflows!AW$188</f>
        <v>0</v>
      </c>
      <c r="AX644" s="221">
        <f ca="1" xml:space="preserve"> ProjectCashflows!AX$188</f>
        <v>0</v>
      </c>
    </row>
    <row r="645" spans="1:50" s="434" customFormat="1" ht="15" customHeight="1">
      <c r="A645" s="429"/>
      <c r="B645" s="508"/>
      <c r="C645" s="430"/>
      <c r="D645" s="431"/>
      <c r="E645" s="367" t="str">
        <f xml:space="preserve"> E$54</f>
        <v>Carried interest: Financing by parent company till production year</v>
      </c>
      <c r="F645" s="367">
        <f xml:space="preserve"> F$54</f>
        <v>0</v>
      </c>
      <c r="G645" s="412" t="str">
        <f xml:space="preserve"> G$54</f>
        <v>Production year</v>
      </c>
      <c r="H645" s="221"/>
      <c r="I645" s="221"/>
      <c r="J645" s="221"/>
      <c r="K645" s="221"/>
      <c r="L645" s="221"/>
      <c r="M645" s="221"/>
      <c r="N645" s="221"/>
      <c r="O645" s="221"/>
      <c r="P645" s="221"/>
      <c r="Q645" s="221"/>
      <c r="R645" s="221"/>
      <c r="S645" s="221"/>
      <c r="T645" s="221"/>
      <c r="U645" s="221"/>
      <c r="V645" s="221"/>
      <c r="W645" s="221"/>
      <c r="X645" s="221"/>
      <c r="Y645" s="221"/>
      <c r="Z645" s="221"/>
      <c r="AA645" s="221"/>
      <c r="AB645" s="221"/>
      <c r="AC645" s="221"/>
      <c r="AD645" s="221"/>
      <c r="AE645" s="221"/>
      <c r="AF645" s="221"/>
      <c r="AG645" s="221"/>
      <c r="AH645" s="221"/>
      <c r="AI645" s="221"/>
      <c r="AJ645" s="221"/>
      <c r="AK645" s="221"/>
      <c r="AL645" s="221"/>
      <c r="AM645" s="221"/>
      <c r="AN645" s="221"/>
      <c r="AO645" s="221"/>
      <c r="AP645" s="221"/>
      <c r="AQ645" s="221"/>
      <c r="AR645" s="221"/>
      <c r="AS645" s="221"/>
      <c r="AT645" s="221"/>
      <c r="AU645" s="221"/>
      <c r="AV645" s="221"/>
      <c r="AW645" s="221"/>
      <c r="AX645" s="221"/>
    </row>
    <row r="646" spans="1:50" s="434" customFormat="1" ht="15" customHeight="1">
      <c r="A646" s="429"/>
      <c r="B646" s="508"/>
      <c r="C646" s="430"/>
      <c r="D646" s="431"/>
      <c r="E646" s="434" t="str">
        <f>Translate!$E$258</f>
        <v>Carried interest financing available</v>
      </c>
      <c r="G646" s="434" t="str">
        <f>Translate!$E$586</f>
        <v>Flag</v>
      </c>
      <c r="I646" s="434">
        <f ca="1" xml:space="preserve"> SUM(K646:AX646)</f>
        <v>4</v>
      </c>
      <c r="K646" s="434">
        <f t="shared" ref="K646:AX646" ca="1" si="201" xml:space="preserve"> (K643 &lt;= $F645) *  K644 * 1</f>
        <v>1</v>
      </c>
      <c r="L646" s="434">
        <f t="shared" ca="1" si="201"/>
        <v>1</v>
      </c>
      <c r="M646" s="434">
        <f t="shared" ca="1" si="201"/>
        <v>1</v>
      </c>
      <c r="N646" s="434">
        <f t="shared" ca="1" si="201"/>
        <v>1</v>
      </c>
      <c r="O646" s="434">
        <f t="shared" ca="1" si="201"/>
        <v>0</v>
      </c>
      <c r="P646" s="434">
        <f t="shared" ca="1" si="201"/>
        <v>0</v>
      </c>
      <c r="Q646" s="434">
        <f t="shared" ca="1" si="201"/>
        <v>0</v>
      </c>
      <c r="R646" s="434">
        <f t="shared" ca="1" si="201"/>
        <v>0</v>
      </c>
      <c r="S646" s="434">
        <f t="shared" ca="1" si="201"/>
        <v>0</v>
      </c>
      <c r="T646" s="434">
        <f t="shared" ca="1" si="201"/>
        <v>0</v>
      </c>
      <c r="U646" s="434">
        <f t="shared" ca="1" si="201"/>
        <v>0</v>
      </c>
      <c r="V646" s="434">
        <f t="shared" ca="1" si="201"/>
        <v>0</v>
      </c>
      <c r="W646" s="434">
        <f t="shared" ca="1" si="201"/>
        <v>0</v>
      </c>
      <c r="X646" s="434">
        <f t="shared" ca="1" si="201"/>
        <v>0</v>
      </c>
      <c r="Y646" s="434">
        <f t="shared" ca="1" si="201"/>
        <v>0</v>
      </c>
      <c r="Z646" s="434">
        <f t="shared" ca="1" si="201"/>
        <v>0</v>
      </c>
      <c r="AA646" s="434">
        <f t="shared" ca="1" si="201"/>
        <v>0</v>
      </c>
      <c r="AB646" s="434">
        <f t="shared" ca="1" si="201"/>
        <v>0</v>
      </c>
      <c r="AC646" s="434">
        <f t="shared" ca="1" si="201"/>
        <v>0</v>
      </c>
      <c r="AD646" s="434">
        <f t="shared" ca="1" si="201"/>
        <v>0</v>
      </c>
      <c r="AE646" s="434">
        <f t="shared" ca="1" si="201"/>
        <v>0</v>
      </c>
      <c r="AF646" s="434">
        <f t="shared" ca="1" si="201"/>
        <v>0</v>
      </c>
      <c r="AG646" s="434">
        <f t="shared" ca="1" si="201"/>
        <v>0</v>
      </c>
      <c r="AH646" s="434">
        <f t="shared" ca="1" si="201"/>
        <v>0</v>
      </c>
      <c r="AI646" s="434">
        <f t="shared" ca="1" si="201"/>
        <v>0</v>
      </c>
      <c r="AJ646" s="434">
        <f t="shared" ca="1" si="201"/>
        <v>0</v>
      </c>
      <c r="AK646" s="434">
        <f t="shared" ca="1" si="201"/>
        <v>0</v>
      </c>
      <c r="AL646" s="434">
        <f t="shared" ca="1" si="201"/>
        <v>0</v>
      </c>
      <c r="AM646" s="434">
        <f t="shared" ca="1" si="201"/>
        <v>0</v>
      </c>
      <c r="AN646" s="434">
        <f t="shared" ca="1" si="201"/>
        <v>0</v>
      </c>
      <c r="AO646" s="434">
        <f t="shared" ca="1" si="201"/>
        <v>0</v>
      </c>
      <c r="AP646" s="434">
        <f t="shared" ca="1" si="201"/>
        <v>0</v>
      </c>
      <c r="AQ646" s="434">
        <f t="shared" ca="1" si="201"/>
        <v>0</v>
      </c>
      <c r="AR646" s="434">
        <f t="shared" ca="1" si="201"/>
        <v>0</v>
      </c>
      <c r="AS646" s="434">
        <f t="shared" ca="1" si="201"/>
        <v>0</v>
      </c>
      <c r="AT646" s="434">
        <f t="shared" ca="1" si="201"/>
        <v>0</v>
      </c>
      <c r="AU646" s="434">
        <f t="shared" ca="1" si="201"/>
        <v>0</v>
      </c>
      <c r="AV646" s="434">
        <f t="shared" ca="1" si="201"/>
        <v>0</v>
      </c>
      <c r="AW646" s="434">
        <f t="shared" ca="1" si="201"/>
        <v>0</v>
      </c>
      <c r="AX646" s="434">
        <f t="shared" ca="1" si="201"/>
        <v>0</v>
      </c>
    </row>
    <row r="647" spans="1:50" s="434" customFormat="1" ht="15" customHeight="1">
      <c r="A647" s="429"/>
      <c r="B647" s="508"/>
      <c r="C647" s="430"/>
      <c r="D647" s="431"/>
      <c r="H647" s="432"/>
      <c r="I647" s="432"/>
      <c r="J647" s="432"/>
      <c r="K647" s="432"/>
      <c r="L647" s="432"/>
      <c r="M647" s="432"/>
      <c r="N647" s="432"/>
      <c r="O647" s="432"/>
      <c r="P647" s="432"/>
      <c r="Q647" s="432"/>
      <c r="R647" s="432"/>
      <c r="S647" s="432"/>
      <c r="T647" s="432"/>
      <c r="U647" s="432"/>
      <c r="V647" s="432"/>
      <c r="W647" s="432"/>
      <c r="X647" s="432"/>
      <c r="Y647" s="432"/>
      <c r="Z647" s="432"/>
      <c r="AA647" s="432"/>
      <c r="AB647" s="432"/>
      <c r="AC647" s="432"/>
      <c r="AD647" s="432"/>
      <c r="AE647" s="432"/>
      <c r="AF647" s="432"/>
      <c r="AG647" s="432"/>
      <c r="AH647" s="432"/>
      <c r="AI647" s="432"/>
      <c r="AJ647" s="432"/>
      <c r="AK647" s="432"/>
      <c r="AL647" s="432"/>
      <c r="AM647" s="432"/>
      <c r="AN647" s="432"/>
      <c r="AO647" s="432"/>
      <c r="AP647" s="432"/>
      <c r="AQ647" s="432"/>
      <c r="AR647" s="432"/>
      <c r="AS647" s="432"/>
      <c r="AT647" s="432"/>
      <c r="AU647" s="432"/>
      <c r="AV647" s="432"/>
      <c r="AW647" s="432"/>
      <c r="AX647" s="432"/>
    </row>
    <row r="648" spans="1:50" s="434" customFormat="1" ht="15" customHeight="1">
      <c r="A648" s="429"/>
      <c r="B648" s="508"/>
      <c r="C648" s="430" t="str">
        <f>Translate!$E$118</f>
        <v xml:space="preserve">Drawdowns </v>
      </c>
      <c r="D648" s="431"/>
      <c r="E648" s="429"/>
      <c r="F648" s="429"/>
      <c r="G648" s="432"/>
      <c r="H648" s="432"/>
      <c r="I648" s="432"/>
      <c r="J648" s="432"/>
      <c r="K648" s="432"/>
      <c r="L648" s="432"/>
      <c r="M648" s="432"/>
      <c r="N648" s="432"/>
      <c r="O648" s="432"/>
      <c r="P648" s="432"/>
      <c r="Q648" s="432"/>
      <c r="R648" s="432"/>
      <c r="S648" s="432"/>
      <c r="T648" s="432"/>
      <c r="U648" s="432"/>
      <c r="V648" s="432"/>
      <c r="W648" s="432"/>
      <c r="X648" s="432"/>
      <c r="Y648" s="432"/>
      <c r="Z648" s="432"/>
      <c r="AA648" s="432"/>
      <c r="AB648" s="432"/>
      <c r="AC648" s="432"/>
      <c r="AD648" s="432"/>
      <c r="AE648" s="432"/>
      <c r="AF648" s="432"/>
      <c r="AG648" s="432"/>
      <c r="AH648" s="432"/>
      <c r="AI648" s="432"/>
      <c r="AJ648" s="432"/>
      <c r="AK648" s="432"/>
      <c r="AL648" s="432"/>
      <c r="AM648" s="432"/>
      <c r="AN648" s="432"/>
      <c r="AO648" s="432"/>
      <c r="AP648" s="432"/>
      <c r="AQ648" s="432"/>
      <c r="AR648" s="432"/>
      <c r="AS648" s="432"/>
      <c r="AT648" s="432"/>
      <c r="AU648" s="432"/>
      <c r="AV648" s="432"/>
      <c r="AW648" s="432"/>
      <c r="AX648" s="432"/>
    </row>
    <row r="649" spans="1:50" s="434" customFormat="1" ht="15" customHeight="1">
      <c r="A649" s="429"/>
      <c r="B649" s="508"/>
      <c r="C649" s="430"/>
      <c r="D649" s="431"/>
      <c r="E649" s="429" t="str">
        <f t="shared" ref="E649:AX649" si="202" xml:space="preserve"> E$633</f>
        <v>State participation share of equity contributions: met by state</v>
      </c>
      <c r="F649" s="429">
        <f t="shared" si="202"/>
        <v>0</v>
      </c>
      <c r="G649" s="429" t="str">
        <f t="shared" si="202"/>
        <v>US$ mn</v>
      </c>
      <c r="H649" s="429">
        <f t="shared" si="202"/>
        <v>0</v>
      </c>
      <c r="I649" s="429">
        <f t="shared" ca="1" si="202"/>
        <v>0</v>
      </c>
      <c r="J649" s="429">
        <f t="shared" si="202"/>
        <v>0</v>
      </c>
      <c r="K649" s="429">
        <f t="shared" ca="1" si="202"/>
        <v>0</v>
      </c>
      <c r="L649" s="429">
        <f t="shared" ca="1" si="202"/>
        <v>0</v>
      </c>
      <c r="M649" s="429">
        <f t="shared" ca="1" si="202"/>
        <v>0</v>
      </c>
      <c r="N649" s="429">
        <f t="shared" ca="1" si="202"/>
        <v>0</v>
      </c>
      <c r="O649" s="429">
        <f t="shared" ca="1" si="202"/>
        <v>0</v>
      </c>
      <c r="P649" s="429">
        <f t="shared" ca="1" si="202"/>
        <v>0</v>
      </c>
      <c r="Q649" s="429">
        <f t="shared" ca="1" si="202"/>
        <v>0</v>
      </c>
      <c r="R649" s="429">
        <f t="shared" ca="1" si="202"/>
        <v>0</v>
      </c>
      <c r="S649" s="429">
        <f t="shared" ca="1" si="202"/>
        <v>0</v>
      </c>
      <c r="T649" s="429">
        <f t="shared" ca="1" si="202"/>
        <v>0</v>
      </c>
      <c r="U649" s="429">
        <f t="shared" ca="1" si="202"/>
        <v>0</v>
      </c>
      <c r="V649" s="429">
        <f t="shared" ca="1" si="202"/>
        <v>0</v>
      </c>
      <c r="W649" s="429">
        <f t="shared" ca="1" si="202"/>
        <v>0</v>
      </c>
      <c r="X649" s="429">
        <f t="shared" ca="1" si="202"/>
        <v>0</v>
      </c>
      <c r="Y649" s="429">
        <f t="shared" ca="1" si="202"/>
        <v>0</v>
      </c>
      <c r="Z649" s="429">
        <f t="shared" ca="1" si="202"/>
        <v>0</v>
      </c>
      <c r="AA649" s="429">
        <f t="shared" ca="1" si="202"/>
        <v>0</v>
      </c>
      <c r="AB649" s="429">
        <f t="shared" ca="1" si="202"/>
        <v>0</v>
      </c>
      <c r="AC649" s="429">
        <f t="shared" ca="1" si="202"/>
        <v>0</v>
      </c>
      <c r="AD649" s="429">
        <f t="shared" ca="1" si="202"/>
        <v>0</v>
      </c>
      <c r="AE649" s="429">
        <f t="shared" ca="1" si="202"/>
        <v>0</v>
      </c>
      <c r="AF649" s="429">
        <f t="shared" ca="1" si="202"/>
        <v>0</v>
      </c>
      <c r="AG649" s="429">
        <f t="shared" ca="1" si="202"/>
        <v>0</v>
      </c>
      <c r="AH649" s="429">
        <f t="shared" ca="1" si="202"/>
        <v>0</v>
      </c>
      <c r="AI649" s="429">
        <f t="shared" ca="1" si="202"/>
        <v>0</v>
      </c>
      <c r="AJ649" s="429">
        <f t="shared" ca="1" si="202"/>
        <v>0</v>
      </c>
      <c r="AK649" s="429">
        <f t="shared" ca="1" si="202"/>
        <v>0</v>
      </c>
      <c r="AL649" s="429">
        <f t="shared" ca="1" si="202"/>
        <v>0</v>
      </c>
      <c r="AM649" s="429">
        <f t="shared" ca="1" si="202"/>
        <v>0</v>
      </c>
      <c r="AN649" s="429">
        <f t="shared" ca="1" si="202"/>
        <v>0</v>
      </c>
      <c r="AO649" s="429">
        <f t="shared" ca="1" si="202"/>
        <v>0</v>
      </c>
      <c r="AP649" s="429">
        <f t="shared" ca="1" si="202"/>
        <v>0</v>
      </c>
      <c r="AQ649" s="429">
        <f t="shared" ca="1" si="202"/>
        <v>0</v>
      </c>
      <c r="AR649" s="429">
        <f t="shared" ca="1" si="202"/>
        <v>0</v>
      </c>
      <c r="AS649" s="429">
        <f t="shared" ca="1" si="202"/>
        <v>0</v>
      </c>
      <c r="AT649" s="429">
        <f t="shared" ca="1" si="202"/>
        <v>0</v>
      </c>
      <c r="AU649" s="429">
        <f t="shared" ca="1" si="202"/>
        <v>0</v>
      </c>
      <c r="AV649" s="429">
        <f t="shared" ca="1" si="202"/>
        <v>0</v>
      </c>
      <c r="AW649" s="429">
        <f t="shared" ca="1" si="202"/>
        <v>0</v>
      </c>
      <c r="AX649" s="429">
        <f t="shared" ca="1" si="202"/>
        <v>0</v>
      </c>
    </row>
    <row r="650" spans="1:50" s="434" customFormat="1" ht="15" customHeight="1">
      <c r="A650" s="429"/>
      <c r="B650" s="508"/>
      <c r="C650" s="430"/>
      <c r="D650" s="431"/>
      <c r="E650" s="429" t="str">
        <f>Translate!$E$259</f>
        <v>Negative state participation cashflows during financing period</v>
      </c>
      <c r="F650" s="429"/>
      <c r="G650" s="429" t="str">
        <f xml:space="preserve"> Translate!E$10</f>
        <v>US$ mn</v>
      </c>
      <c r="H650" s="429"/>
      <c r="I650" s="429">
        <f ca="1" xml:space="preserve"> SUM(K650:AX650)</f>
        <v>0</v>
      </c>
      <c r="J650" s="429"/>
      <c r="K650" s="429">
        <f t="shared" ref="K650:AX650" ca="1" si="203" xml:space="preserve"> (K649 &lt; 0) * K649 * K646</f>
        <v>0</v>
      </c>
      <c r="L650" s="429">
        <f t="shared" ca="1" si="203"/>
        <v>0</v>
      </c>
      <c r="M650" s="429">
        <f t="shared" ca="1" si="203"/>
        <v>0</v>
      </c>
      <c r="N650" s="429">
        <f t="shared" ca="1" si="203"/>
        <v>0</v>
      </c>
      <c r="O650" s="429">
        <f t="shared" ca="1" si="203"/>
        <v>0</v>
      </c>
      <c r="P650" s="429">
        <f t="shared" ca="1" si="203"/>
        <v>0</v>
      </c>
      <c r="Q650" s="429">
        <f t="shared" ca="1" si="203"/>
        <v>0</v>
      </c>
      <c r="R650" s="429">
        <f t="shared" ca="1" si="203"/>
        <v>0</v>
      </c>
      <c r="S650" s="429">
        <f t="shared" ca="1" si="203"/>
        <v>0</v>
      </c>
      <c r="T650" s="429">
        <f t="shared" ca="1" si="203"/>
        <v>0</v>
      </c>
      <c r="U650" s="429">
        <f t="shared" ca="1" si="203"/>
        <v>0</v>
      </c>
      <c r="V650" s="429">
        <f t="shared" ca="1" si="203"/>
        <v>0</v>
      </c>
      <c r="W650" s="429">
        <f t="shared" ca="1" si="203"/>
        <v>0</v>
      </c>
      <c r="X650" s="429">
        <f t="shared" ca="1" si="203"/>
        <v>0</v>
      </c>
      <c r="Y650" s="429">
        <f t="shared" ca="1" si="203"/>
        <v>0</v>
      </c>
      <c r="Z650" s="429">
        <f t="shared" ca="1" si="203"/>
        <v>0</v>
      </c>
      <c r="AA650" s="429">
        <f t="shared" ca="1" si="203"/>
        <v>0</v>
      </c>
      <c r="AB650" s="429">
        <f t="shared" ca="1" si="203"/>
        <v>0</v>
      </c>
      <c r="AC650" s="429">
        <f t="shared" ca="1" si="203"/>
        <v>0</v>
      </c>
      <c r="AD650" s="429">
        <f t="shared" ca="1" si="203"/>
        <v>0</v>
      </c>
      <c r="AE650" s="429">
        <f t="shared" ca="1" si="203"/>
        <v>0</v>
      </c>
      <c r="AF650" s="429">
        <f t="shared" ca="1" si="203"/>
        <v>0</v>
      </c>
      <c r="AG650" s="429">
        <f t="shared" ca="1" si="203"/>
        <v>0</v>
      </c>
      <c r="AH650" s="429">
        <f t="shared" ca="1" si="203"/>
        <v>0</v>
      </c>
      <c r="AI650" s="429">
        <f t="shared" ca="1" si="203"/>
        <v>0</v>
      </c>
      <c r="AJ650" s="429">
        <f t="shared" ca="1" si="203"/>
        <v>0</v>
      </c>
      <c r="AK650" s="429">
        <f t="shared" ca="1" si="203"/>
        <v>0</v>
      </c>
      <c r="AL650" s="429">
        <f t="shared" ca="1" si="203"/>
        <v>0</v>
      </c>
      <c r="AM650" s="429">
        <f t="shared" ca="1" si="203"/>
        <v>0</v>
      </c>
      <c r="AN650" s="429">
        <f t="shared" ca="1" si="203"/>
        <v>0</v>
      </c>
      <c r="AO650" s="429">
        <f t="shared" ca="1" si="203"/>
        <v>0</v>
      </c>
      <c r="AP650" s="429">
        <f t="shared" ca="1" si="203"/>
        <v>0</v>
      </c>
      <c r="AQ650" s="429">
        <f t="shared" ca="1" si="203"/>
        <v>0</v>
      </c>
      <c r="AR650" s="429">
        <f t="shared" ca="1" si="203"/>
        <v>0</v>
      </c>
      <c r="AS650" s="429">
        <f t="shared" ca="1" si="203"/>
        <v>0</v>
      </c>
      <c r="AT650" s="429">
        <f t="shared" ca="1" si="203"/>
        <v>0</v>
      </c>
      <c r="AU650" s="429">
        <f t="shared" ca="1" si="203"/>
        <v>0</v>
      </c>
      <c r="AV650" s="429">
        <f t="shared" ca="1" si="203"/>
        <v>0</v>
      </c>
      <c r="AW650" s="429">
        <f t="shared" ca="1" si="203"/>
        <v>0</v>
      </c>
      <c r="AX650" s="429">
        <f t="shared" ca="1" si="203"/>
        <v>0</v>
      </c>
    </row>
    <row r="651" spans="1:50" s="434" customFormat="1" ht="15" customHeight="1">
      <c r="A651" s="429"/>
      <c r="B651" s="508"/>
      <c r="C651" s="430"/>
      <c r="D651" s="431"/>
      <c r="E651" s="367" t="str">
        <f xml:space="preserve"> E$53</f>
        <v>Carried interest: State participation equity and share of loan met by parent company</v>
      </c>
      <c r="F651" s="440">
        <f xml:space="preserve"> F$53</f>
        <v>0</v>
      </c>
      <c r="G651" s="412" t="str">
        <f xml:space="preserve"> G$53</f>
        <v>%</v>
      </c>
      <c r="H651" s="429"/>
      <c r="I651" s="429"/>
      <c r="J651" s="429"/>
      <c r="K651" s="429"/>
      <c r="L651" s="429"/>
      <c r="M651" s="429"/>
      <c r="N651" s="429"/>
      <c r="O651" s="429"/>
      <c r="P651" s="429"/>
      <c r="Q651" s="429"/>
      <c r="R651" s="429"/>
      <c r="S651" s="429"/>
      <c r="T651" s="429"/>
      <c r="U651" s="429"/>
      <c r="V651" s="429"/>
      <c r="W651" s="429"/>
      <c r="X651" s="429"/>
      <c r="Y651" s="429"/>
      <c r="Z651" s="429"/>
      <c r="AA651" s="429"/>
      <c r="AB651" s="429"/>
      <c r="AC651" s="429"/>
      <c r="AD651" s="429"/>
      <c r="AE651" s="429"/>
      <c r="AF651" s="429"/>
      <c r="AG651" s="429"/>
      <c r="AH651" s="429"/>
      <c r="AI651" s="429"/>
      <c r="AJ651" s="429"/>
      <c r="AK651" s="429"/>
      <c r="AL651" s="429"/>
      <c r="AM651" s="429"/>
      <c r="AN651" s="429"/>
      <c r="AO651" s="429"/>
      <c r="AP651" s="429"/>
      <c r="AQ651" s="429"/>
      <c r="AR651" s="429"/>
      <c r="AS651" s="429"/>
      <c r="AT651" s="429"/>
      <c r="AU651" s="429"/>
      <c r="AV651" s="429"/>
      <c r="AW651" s="429"/>
      <c r="AX651" s="429"/>
    </row>
    <row r="652" spans="1:50" s="434" customFormat="1" ht="15" customHeight="1">
      <c r="A652" s="429"/>
      <c r="B652" s="508"/>
      <c r="C652" s="430"/>
      <c r="D652" s="431"/>
      <c r="E652" s="429" t="str">
        <f xml:space="preserve"> Translate!$E$122 &amp; ": " &amp; Translate!$E$260</f>
        <v>Carried interest loan: Drawdowns (mid period)</v>
      </c>
      <c r="F652" s="429"/>
      <c r="G652" s="429" t="str">
        <f xml:space="preserve"> Translate!E$10</f>
        <v>US$ mn</v>
      </c>
      <c r="H652" s="429"/>
      <c r="I652" s="429">
        <f ca="1" xml:space="preserve"> SUM(K652:AX652)</f>
        <v>0</v>
      </c>
      <c r="J652" s="429"/>
      <c r="K652" s="429">
        <f t="shared" ref="K652:AX652" ca="1" si="204" xml:space="preserve"> K650 * $F651</f>
        <v>0</v>
      </c>
      <c r="L652" s="429">
        <f t="shared" ca="1" si="204"/>
        <v>0</v>
      </c>
      <c r="M652" s="429">
        <f t="shared" ca="1" si="204"/>
        <v>0</v>
      </c>
      <c r="N652" s="429">
        <f t="shared" ca="1" si="204"/>
        <v>0</v>
      </c>
      <c r="O652" s="429">
        <f t="shared" ca="1" si="204"/>
        <v>0</v>
      </c>
      <c r="P652" s="429">
        <f t="shared" ca="1" si="204"/>
        <v>0</v>
      </c>
      <c r="Q652" s="429">
        <f t="shared" ca="1" si="204"/>
        <v>0</v>
      </c>
      <c r="R652" s="429">
        <f t="shared" ca="1" si="204"/>
        <v>0</v>
      </c>
      <c r="S652" s="429">
        <f t="shared" ca="1" si="204"/>
        <v>0</v>
      </c>
      <c r="T652" s="429">
        <f t="shared" ca="1" si="204"/>
        <v>0</v>
      </c>
      <c r="U652" s="429">
        <f t="shared" ca="1" si="204"/>
        <v>0</v>
      </c>
      <c r="V652" s="429">
        <f t="shared" ca="1" si="204"/>
        <v>0</v>
      </c>
      <c r="W652" s="429">
        <f t="shared" ca="1" si="204"/>
        <v>0</v>
      </c>
      <c r="X652" s="429">
        <f t="shared" ca="1" si="204"/>
        <v>0</v>
      </c>
      <c r="Y652" s="429">
        <f t="shared" ca="1" si="204"/>
        <v>0</v>
      </c>
      <c r="Z652" s="429">
        <f t="shared" ca="1" si="204"/>
        <v>0</v>
      </c>
      <c r="AA652" s="429">
        <f t="shared" ca="1" si="204"/>
        <v>0</v>
      </c>
      <c r="AB652" s="429">
        <f t="shared" ca="1" si="204"/>
        <v>0</v>
      </c>
      <c r="AC652" s="429">
        <f t="shared" ca="1" si="204"/>
        <v>0</v>
      </c>
      <c r="AD652" s="429">
        <f t="shared" ca="1" si="204"/>
        <v>0</v>
      </c>
      <c r="AE652" s="429">
        <f t="shared" ca="1" si="204"/>
        <v>0</v>
      </c>
      <c r="AF652" s="429">
        <f t="shared" ca="1" si="204"/>
        <v>0</v>
      </c>
      <c r="AG652" s="429">
        <f t="shared" ca="1" si="204"/>
        <v>0</v>
      </c>
      <c r="AH652" s="429">
        <f t="shared" ca="1" si="204"/>
        <v>0</v>
      </c>
      <c r="AI652" s="429">
        <f t="shared" ca="1" si="204"/>
        <v>0</v>
      </c>
      <c r="AJ652" s="429">
        <f t="shared" ca="1" si="204"/>
        <v>0</v>
      </c>
      <c r="AK652" s="429">
        <f t="shared" ca="1" si="204"/>
        <v>0</v>
      </c>
      <c r="AL652" s="429">
        <f t="shared" ca="1" si="204"/>
        <v>0</v>
      </c>
      <c r="AM652" s="429">
        <f t="shared" ca="1" si="204"/>
        <v>0</v>
      </c>
      <c r="AN652" s="429">
        <f t="shared" ca="1" si="204"/>
        <v>0</v>
      </c>
      <c r="AO652" s="429">
        <f t="shared" ca="1" si="204"/>
        <v>0</v>
      </c>
      <c r="AP652" s="429">
        <f t="shared" ca="1" si="204"/>
        <v>0</v>
      </c>
      <c r="AQ652" s="429">
        <f t="shared" ca="1" si="204"/>
        <v>0</v>
      </c>
      <c r="AR652" s="429">
        <f t="shared" ca="1" si="204"/>
        <v>0</v>
      </c>
      <c r="AS652" s="429">
        <f t="shared" ca="1" si="204"/>
        <v>0</v>
      </c>
      <c r="AT652" s="429">
        <f t="shared" ca="1" si="204"/>
        <v>0</v>
      </c>
      <c r="AU652" s="429">
        <f t="shared" ca="1" si="204"/>
        <v>0</v>
      </c>
      <c r="AV652" s="429">
        <f t="shared" ca="1" si="204"/>
        <v>0</v>
      </c>
      <c r="AW652" s="429">
        <f t="shared" ca="1" si="204"/>
        <v>0</v>
      </c>
      <c r="AX652" s="429">
        <f t="shared" ca="1" si="204"/>
        <v>0</v>
      </c>
    </row>
    <row r="653" spans="1:50" s="434" customFormat="1" ht="15" customHeight="1">
      <c r="A653" s="429"/>
      <c r="B653" s="508"/>
      <c r="C653" s="430"/>
      <c r="D653" s="431"/>
      <c r="E653" s="429" t="str">
        <f xml:space="preserve"> E652 &amp; ": " &amp; Translate!$E$475</f>
        <v>Carried interest loan: Drawdowns (mid period): Positive</v>
      </c>
      <c r="F653" s="429"/>
      <c r="G653" s="429" t="str">
        <f xml:space="preserve"> Translate!E$10</f>
        <v>US$ mn</v>
      </c>
      <c r="H653" s="429"/>
      <c r="I653" s="429">
        <f ca="1" xml:space="preserve"> SUM(K653:AX653)</f>
        <v>0</v>
      </c>
      <c r="J653" s="429"/>
      <c r="K653" s="429">
        <f t="shared" ref="K653:AX653" ca="1" si="205" xml:space="preserve"> K652 * -1</f>
        <v>0</v>
      </c>
      <c r="L653" s="429">
        <f t="shared" ca="1" si="205"/>
        <v>0</v>
      </c>
      <c r="M653" s="429">
        <f t="shared" ca="1" si="205"/>
        <v>0</v>
      </c>
      <c r="N653" s="429">
        <f t="shared" ca="1" si="205"/>
        <v>0</v>
      </c>
      <c r="O653" s="429">
        <f t="shared" ca="1" si="205"/>
        <v>0</v>
      </c>
      <c r="P653" s="429">
        <f t="shared" ca="1" si="205"/>
        <v>0</v>
      </c>
      <c r="Q653" s="429">
        <f t="shared" ca="1" si="205"/>
        <v>0</v>
      </c>
      <c r="R653" s="429">
        <f t="shared" ca="1" si="205"/>
        <v>0</v>
      </c>
      <c r="S653" s="429">
        <f t="shared" ca="1" si="205"/>
        <v>0</v>
      </c>
      <c r="T653" s="429">
        <f t="shared" ca="1" si="205"/>
        <v>0</v>
      </c>
      <c r="U653" s="429">
        <f t="shared" ca="1" si="205"/>
        <v>0</v>
      </c>
      <c r="V653" s="429">
        <f t="shared" ca="1" si="205"/>
        <v>0</v>
      </c>
      <c r="W653" s="429">
        <f t="shared" ca="1" si="205"/>
        <v>0</v>
      </c>
      <c r="X653" s="429">
        <f t="shared" ca="1" si="205"/>
        <v>0</v>
      </c>
      <c r="Y653" s="429">
        <f t="shared" ca="1" si="205"/>
        <v>0</v>
      </c>
      <c r="Z653" s="429">
        <f t="shared" ca="1" si="205"/>
        <v>0</v>
      </c>
      <c r="AA653" s="429">
        <f t="shared" ca="1" si="205"/>
        <v>0</v>
      </c>
      <c r="AB653" s="429">
        <f t="shared" ca="1" si="205"/>
        <v>0</v>
      </c>
      <c r="AC653" s="429">
        <f t="shared" ca="1" si="205"/>
        <v>0</v>
      </c>
      <c r="AD653" s="429">
        <f t="shared" ca="1" si="205"/>
        <v>0</v>
      </c>
      <c r="AE653" s="429">
        <f t="shared" ca="1" si="205"/>
        <v>0</v>
      </c>
      <c r="AF653" s="429">
        <f t="shared" ca="1" si="205"/>
        <v>0</v>
      </c>
      <c r="AG653" s="429">
        <f t="shared" ca="1" si="205"/>
        <v>0</v>
      </c>
      <c r="AH653" s="429">
        <f t="shared" ca="1" si="205"/>
        <v>0</v>
      </c>
      <c r="AI653" s="429">
        <f t="shared" ca="1" si="205"/>
        <v>0</v>
      </c>
      <c r="AJ653" s="429">
        <f t="shared" ca="1" si="205"/>
        <v>0</v>
      </c>
      <c r="AK653" s="429">
        <f t="shared" ca="1" si="205"/>
        <v>0</v>
      </c>
      <c r="AL653" s="429">
        <f t="shared" ca="1" si="205"/>
        <v>0</v>
      </c>
      <c r="AM653" s="429">
        <f t="shared" ca="1" si="205"/>
        <v>0</v>
      </c>
      <c r="AN653" s="429">
        <f t="shared" ca="1" si="205"/>
        <v>0</v>
      </c>
      <c r="AO653" s="429">
        <f t="shared" ca="1" si="205"/>
        <v>0</v>
      </c>
      <c r="AP653" s="429">
        <f t="shared" ca="1" si="205"/>
        <v>0</v>
      </c>
      <c r="AQ653" s="429">
        <f t="shared" ca="1" si="205"/>
        <v>0</v>
      </c>
      <c r="AR653" s="429">
        <f t="shared" ca="1" si="205"/>
        <v>0</v>
      </c>
      <c r="AS653" s="429">
        <f t="shared" ca="1" si="205"/>
        <v>0</v>
      </c>
      <c r="AT653" s="429">
        <f t="shared" ca="1" si="205"/>
        <v>0</v>
      </c>
      <c r="AU653" s="429">
        <f t="shared" ca="1" si="205"/>
        <v>0</v>
      </c>
      <c r="AV653" s="429">
        <f t="shared" ca="1" si="205"/>
        <v>0</v>
      </c>
      <c r="AW653" s="429">
        <f t="shared" ca="1" si="205"/>
        <v>0</v>
      </c>
      <c r="AX653" s="429">
        <f t="shared" ca="1" si="205"/>
        <v>0</v>
      </c>
    </row>
    <row r="654" spans="1:50" s="434" customFormat="1" ht="15" customHeight="1">
      <c r="A654" s="429"/>
      <c r="B654" s="508"/>
      <c r="C654" s="430"/>
      <c r="D654" s="431"/>
      <c r="E654" s="429"/>
      <c r="F654" s="429"/>
      <c r="G654" s="429"/>
      <c r="H654" s="429"/>
      <c r="I654" s="429"/>
      <c r="J654" s="429"/>
      <c r="K654" s="429"/>
      <c r="L654" s="429"/>
      <c r="M654" s="429"/>
      <c r="N654" s="429"/>
      <c r="O654" s="429"/>
      <c r="P654" s="429"/>
      <c r="Q654" s="429"/>
      <c r="R654" s="429"/>
      <c r="S654" s="429"/>
      <c r="T654" s="429"/>
      <c r="U654" s="429"/>
      <c r="V654" s="429"/>
      <c r="W654" s="429"/>
      <c r="X654" s="429"/>
      <c r="Y654" s="429"/>
      <c r="Z654" s="429"/>
      <c r="AA654" s="429"/>
      <c r="AB654" s="429"/>
      <c r="AC654" s="429"/>
      <c r="AD654" s="429"/>
      <c r="AE654" s="429"/>
      <c r="AF654" s="429"/>
      <c r="AG654" s="429"/>
      <c r="AH654" s="429"/>
      <c r="AI654" s="429"/>
      <c r="AJ654" s="429"/>
      <c r="AK654" s="429"/>
      <c r="AL654" s="429"/>
      <c r="AM654" s="429"/>
      <c r="AN654" s="429"/>
      <c r="AO654" s="429"/>
      <c r="AP654" s="429"/>
      <c r="AQ654" s="429"/>
      <c r="AR654" s="429"/>
      <c r="AS654" s="429"/>
      <c r="AT654" s="429"/>
      <c r="AU654" s="429"/>
      <c r="AV654" s="429"/>
      <c r="AW654" s="429"/>
      <c r="AX654" s="429"/>
    </row>
    <row r="655" spans="1:50" s="434" customFormat="1" ht="15" customHeight="1">
      <c r="A655" s="441"/>
      <c r="B655" s="509"/>
      <c r="C655" s="442" t="str">
        <f>Translate!$E$119</f>
        <v>Interest rate</v>
      </c>
      <c r="D655" s="443"/>
      <c r="F655" s="444"/>
      <c r="G655" s="445"/>
      <c r="I655" s="443"/>
      <c r="J655" s="446"/>
      <c r="K655" s="447"/>
      <c r="L655" s="447"/>
      <c r="M655" s="447"/>
      <c r="N655" s="447"/>
      <c r="O655" s="447"/>
      <c r="P655" s="447"/>
      <c r="Q655" s="447"/>
      <c r="R655" s="447"/>
      <c r="S655" s="447"/>
      <c r="T655" s="447"/>
      <c r="U655" s="447"/>
      <c r="V655" s="447"/>
      <c r="W655" s="447"/>
      <c r="X655" s="447"/>
      <c r="Y655" s="447"/>
      <c r="Z655" s="447"/>
      <c r="AA655" s="447"/>
      <c r="AB655" s="447"/>
      <c r="AC655" s="447"/>
      <c r="AD655" s="447"/>
      <c r="AE655" s="447"/>
      <c r="AF655" s="447"/>
      <c r="AG655" s="447"/>
      <c r="AH655" s="447"/>
      <c r="AI655" s="447"/>
      <c r="AJ655" s="447"/>
      <c r="AK655" s="447"/>
      <c r="AL655" s="447"/>
      <c r="AM655" s="447"/>
      <c r="AN655" s="447"/>
      <c r="AO655" s="447"/>
      <c r="AP655" s="447"/>
      <c r="AQ655" s="447"/>
      <c r="AR655" s="447"/>
      <c r="AS655" s="447"/>
      <c r="AT655" s="447"/>
      <c r="AU655" s="447"/>
      <c r="AV655" s="447"/>
      <c r="AW655" s="447"/>
      <c r="AX655" s="447"/>
    </row>
    <row r="656" spans="1:50" s="434" customFormat="1" ht="15" customHeight="1">
      <c r="A656" s="441"/>
      <c r="B656" s="509"/>
      <c r="C656" s="442"/>
      <c r="D656" s="443"/>
      <c r="E656" s="448" t="str">
        <f xml:space="preserve"> Inputs!E$47</f>
        <v>LIBOR: nominal</v>
      </c>
      <c r="F656" s="448">
        <f xml:space="preserve"> Inputs!F$47</f>
        <v>2.0000000000000018E-2</v>
      </c>
      <c r="G656" s="448" t="str">
        <f xml:space="preserve"> Inputs!G$47</f>
        <v>%</v>
      </c>
      <c r="I656" s="443"/>
      <c r="J656" s="446"/>
      <c r="K656" s="447"/>
      <c r="L656" s="447"/>
      <c r="M656" s="447"/>
      <c r="N656" s="447"/>
      <c r="O656" s="447"/>
      <c r="P656" s="447"/>
      <c r="Q656" s="447"/>
      <c r="R656" s="447"/>
      <c r="S656" s="447"/>
      <c r="T656" s="447"/>
      <c r="U656" s="447"/>
      <c r="V656" s="447"/>
      <c r="W656" s="447"/>
      <c r="X656" s="447"/>
      <c r="Y656" s="447"/>
      <c r="Z656" s="447"/>
      <c r="AA656" s="447"/>
      <c r="AB656" s="447"/>
      <c r="AC656" s="447"/>
      <c r="AD656" s="447"/>
      <c r="AE656" s="447"/>
      <c r="AF656" s="447"/>
      <c r="AG656" s="447"/>
      <c r="AH656" s="447"/>
      <c r="AI656" s="447"/>
      <c r="AJ656" s="447"/>
      <c r="AK656" s="447"/>
      <c r="AL656" s="447"/>
      <c r="AM656" s="447"/>
      <c r="AN656" s="447"/>
      <c r="AO656" s="447"/>
      <c r="AP656" s="447"/>
      <c r="AQ656" s="447"/>
      <c r="AR656" s="447"/>
      <c r="AS656" s="447"/>
      <c r="AT656" s="447"/>
      <c r="AU656" s="447"/>
      <c r="AV656" s="447"/>
      <c r="AW656" s="447"/>
      <c r="AX656" s="447"/>
    </row>
    <row r="657" spans="1:50" s="434" customFormat="1" ht="15" customHeight="1">
      <c r="A657" s="441"/>
      <c r="B657" s="509"/>
      <c r="C657" s="442"/>
      <c r="D657" s="443"/>
      <c r="E657" s="367" t="str">
        <f xml:space="preserve"> E$56</f>
        <v>Carried interest: Interest rate margin above LIBOR</v>
      </c>
      <c r="F657" s="440">
        <f xml:space="preserve"> F$56</f>
        <v>0</v>
      </c>
      <c r="G657" s="412" t="str">
        <f xml:space="preserve"> G$56</f>
        <v>%</v>
      </c>
      <c r="I657" s="443"/>
      <c r="J657" s="446"/>
      <c r="K657" s="447"/>
      <c r="L657" s="447"/>
      <c r="M657" s="447"/>
      <c r="N657" s="447"/>
      <c r="O657" s="447"/>
      <c r="P657" s="447"/>
      <c r="Q657" s="447"/>
      <c r="R657" s="447"/>
      <c r="S657" s="447"/>
      <c r="T657" s="447"/>
      <c r="U657" s="447"/>
      <c r="V657" s="447"/>
      <c r="W657" s="447"/>
      <c r="X657" s="447"/>
      <c r="Y657" s="447"/>
      <c r="Z657" s="447"/>
      <c r="AA657" s="447"/>
      <c r="AB657" s="447"/>
      <c r="AC657" s="447"/>
      <c r="AD657" s="447"/>
      <c r="AE657" s="447"/>
      <c r="AF657" s="447"/>
      <c r="AG657" s="447"/>
      <c r="AH657" s="447"/>
      <c r="AI657" s="447"/>
      <c r="AJ657" s="447"/>
      <c r="AK657" s="447"/>
      <c r="AL657" s="447"/>
      <c r="AM657" s="447"/>
      <c r="AN657" s="447"/>
      <c r="AO657" s="447"/>
      <c r="AP657" s="447"/>
      <c r="AQ657" s="447"/>
      <c r="AR657" s="447"/>
      <c r="AS657" s="447"/>
      <c r="AT657" s="447"/>
      <c r="AU657" s="447"/>
      <c r="AV657" s="447"/>
      <c r="AW657" s="447"/>
      <c r="AX657" s="447"/>
    </row>
    <row r="658" spans="1:50" s="434" customFormat="1" ht="15" customHeight="1">
      <c r="A658" s="441"/>
      <c r="B658" s="509"/>
      <c r="C658" s="442"/>
      <c r="D658" s="443"/>
      <c r="E658" s="429" t="str">
        <f xml:space="preserve">  Translate!$E$122 &amp; ": " &amp; Translate!E$119</f>
        <v>Carried interest loan: Interest rate</v>
      </c>
      <c r="F658" s="449">
        <f xml:space="preserve"> F656 + F657</f>
        <v>2.0000000000000018E-2</v>
      </c>
      <c r="G658" s="450" t="s">
        <v>29</v>
      </c>
      <c r="I658" s="443"/>
      <c r="J658" s="446"/>
      <c r="K658" s="447"/>
      <c r="L658" s="447"/>
      <c r="M658" s="447"/>
      <c r="N658" s="447"/>
      <c r="O658" s="447"/>
      <c r="P658" s="447"/>
      <c r="Q658" s="447"/>
      <c r="R658" s="447"/>
      <c r="S658" s="447"/>
      <c r="T658" s="447"/>
      <c r="U658" s="447"/>
      <c r="V658" s="447"/>
      <c r="W658" s="447"/>
      <c r="X658" s="447"/>
      <c r="Y658" s="447"/>
      <c r="Z658" s="447"/>
      <c r="AA658" s="447"/>
      <c r="AB658" s="447"/>
      <c r="AC658" s="447"/>
      <c r="AD658" s="447"/>
      <c r="AE658" s="447"/>
      <c r="AF658" s="447"/>
      <c r="AG658" s="447"/>
      <c r="AH658" s="447"/>
      <c r="AI658" s="447"/>
      <c r="AJ658" s="447"/>
      <c r="AK658" s="447"/>
      <c r="AL658" s="447"/>
      <c r="AM658" s="447"/>
      <c r="AN658" s="447"/>
      <c r="AO658" s="447"/>
      <c r="AP658" s="447"/>
      <c r="AQ658" s="447"/>
      <c r="AR658" s="447"/>
      <c r="AS658" s="447"/>
      <c r="AT658" s="447"/>
      <c r="AU658" s="447"/>
      <c r="AV658" s="447"/>
      <c r="AW658" s="447"/>
      <c r="AX658" s="447"/>
    </row>
    <row r="659" spans="1:50" s="434" customFormat="1" ht="15" customHeight="1">
      <c r="A659" s="441"/>
      <c r="B659" s="509"/>
      <c r="C659" s="442"/>
      <c r="D659" s="443"/>
      <c r="E659" s="429"/>
      <c r="F659" s="449"/>
      <c r="G659" s="450"/>
      <c r="I659" s="443"/>
      <c r="J659" s="446"/>
      <c r="K659" s="447"/>
      <c r="L659" s="447"/>
      <c r="M659" s="447"/>
      <c r="N659" s="447"/>
      <c r="O659" s="447"/>
      <c r="P659" s="447"/>
      <c r="Q659" s="447"/>
      <c r="R659" s="447"/>
      <c r="S659" s="447"/>
      <c r="T659" s="447"/>
      <c r="U659" s="447"/>
      <c r="V659" s="447"/>
      <c r="W659" s="447"/>
      <c r="X659" s="447"/>
      <c r="Y659" s="447"/>
      <c r="Z659" s="447"/>
      <c r="AA659" s="447"/>
      <c r="AB659" s="447"/>
      <c r="AC659" s="447"/>
      <c r="AD659" s="447"/>
      <c r="AE659" s="447"/>
      <c r="AF659" s="447"/>
      <c r="AG659" s="447"/>
      <c r="AH659" s="447"/>
      <c r="AI659" s="447"/>
      <c r="AJ659" s="447"/>
      <c r="AK659" s="447"/>
      <c r="AL659" s="447"/>
      <c r="AM659" s="447"/>
      <c r="AN659" s="447"/>
      <c r="AO659" s="447"/>
      <c r="AP659" s="447"/>
      <c r="AQ659" s="447"/>
      <c r="AR659" s="447"/>
      <c r="AS659" s="447"/>
      <c r="AT659" s="447"/>
      <c r="AU659" s="447"/>
      <c r="AV659" s="447"/>
      <c r="AW659" s="447"/>
      <c r="AX659" s="447"/>
    </row>
    <row r="660" spans="1:50" s="434" customFormat="1" ht="15" customHeight="1">
      <c r="A660" s="441"/>
      <c r="B660" s="509"/>
      <c r="C660" s="442" t="str">
        <f>Translate!$E$120</f>
        <v>Repayments</v>
      </c>
      <c r="D660" s="443"/>
      <c r="E660" s="429"/>
      <c r="F660" s="449"/>
      <c r="G660" s="450"/>
      <c r="I660" s="443"/>
      <c r="J660" s="446"/>
      <c r="K660" s="447"/>
      <c r="L660" s="447"/>
      <c r="M660" s="447"/>
      <c r="N660" s="447"/>
      <c r="O660" s="447"/>
      <c r="P660" s="447"/>
      <c r="Q660" s="447"/>
      <c r="R660" s="447"/>
      <c r="S660" s="447"/>
      <c r="T660" s="447"/>
      <c r="U660" s="447"/>
      <c r="V660" s="447"/>
      <c r="W660" s="447"/>
      <c r="X660" s="447"/>
      <c r="Y660" s="447"/>
      <c r="Z660" s="447"/>
      <c r="AA660" s="447"/>
      <c r="AB660" s="447"/>
      <c r="AC660" s="447"/>
      <c r="AD660" s="447"/>
      <c r="AE660" s="447"/>
      <c r="AF660" s="447"/>
      <c r="AG660" s="447"/>
      <c r="AH660" s="447"/>
      <c r="AI660" s="447"/>
      <c r="AJ660" s="447"/>
      <c r="AK660" s="447"/>
      <c r="AL660" s="447"/>
      <c r="AM660" s="447"/>
      <c r="AN660" s="447"/>
      <c r="AO660" s="447"/>
      <c r="AP660" s="447"/>
      <c r="AQ660" s="447"/>
      <c r="AR660" s="447"/>
      <c r="AS660" s="447"/>
      <c r="AT660" s="447"/>
      <c r="AU660" s="447"/>
      <c r="AV660" s="447"/>
      <c r="AW660" s="447"/>
      <c r="AX660" s="447"/>
    </row>
    <row r="661" spans="1:50" s="434" customFormat="1" ht="15" customHeight="1">
      <c r="A661" s="441"/>
      <c r="B661" s="509"/>
      <c r="C661" s="442"/>
      <c r="D661" s="443"/>
      <c r="E661" s="429" t="str">
        <f t="shared" ref="E661:AX661" si="206" xml:space="preserve"> E$640</f>
        <v>State participation share of distributions</v>
      </c>
      <c r="F661" s="429">
        <f t="shared" si="206"/>
        <v>0</v>
      </c>
      <c r="G661" s="429" t="str">
        <f t="shared" si="206"/>
        <v>US$ mn</v>
      </c>
      <c r="H661" s="429">
        <f t="shared" si="206"/>
        <v>0</v>
      </c>
      <c r="I661" s="429">
        <f t="shared" ca="1" si="206"/>
        <v>0</v>
      </c>
      <c r="J661" s="429">
        <f t="shared" si="206"/>
        <v>0</v>
      </c>
      <c r="K661" s="429">
        <f ca="1" xml:space="preserve"> K$640</f>
        <v>0</v>
      </c>
      <c r="L661" s="429">
        <f t="shared" ca="1" si="206"/>
        <v>0</v>
      </c>
      <c r="M661" s="429">
        <f t="shared" ca="1" si="206"/>
        <v>0</v>
      </c>
      <c r="N661" s="429">
        <f t="shared" ca="1" si="206"/>
        <v>0</v>
      </c>
      <c r="O661" s="429">
        <f ca="1" xml:space="preserve"> O$640</f>
        <v>0</v>
      </c>
      <c r="P661" s="429">
        <f t="shared" ca="1" si="206"/>
        <v>0</v>
      </c>
      <c r="Q661" s="429">
        <f t="shared" ca="1" si="206"/>
        <v>0</v>
      </c>
      <c r="R661" s="429">
        <f t="shared" ca="1" si="206"/>
        <v>0</v>
      </c>
      <c r="S661" s="429">
        <f t="shared" ca="1" si="206"/>
        <v>0</v>
      </c>
      <c r="T661" s="429">
        <f t="shared" ca="1" si="206"/>
        <v>0</v>
      </c>
      <c r="U661" s="429">
        <f t="shared" ca="1" si="206"/>
        <v>0</v>
      </c>
      <c r="V661" s="429">
        <f t="shared" ca="1" si="206"/>
        <v>0</v>
      </c>
      <c r="W661" s="429">
        <f t="shared" ca="1" si="206"/>
        <v>0</v>
      </c>
      <c r="X661" s="429">
        <f t="shared" ca="1" si="206"/>
        <v>0</v>
      </c>
      <c r="Y661" s="429">
        <f t="shared" ca="1" si="206"/>
        <v>0</v>
      </c>
      <c r="Z661" s="429">
        <f t="shared" ca="1" si="206"/>
        <v>0</v>
      </c>
      <c r="AA661" s="429">
        <f t="shared" ca="1" si="206"/>
        <v>0</v>
      </c>
      <c r="AB661" s="429">
        <f t="shared" ca="1" si="206"/>
        <v>0</v>
      </c>
      <c r="AC661" s="429">
        <f t="shared" ca="1" si="206"/>
        <v>0</v>
      </c>
      <c r="AD661" s="429">
        <f t="shared" ca="1" si="206"/>
        <v>0</v>
      </c>
      <c r="AE661" s="429">
        <f t="shared" ca="1" si="206"/>
        <v>0</v>
      </c>
      <c r="AF661" s="429">
        <f t="shared" ca="1" si="206"/>
        <v>0</v>
      </c>
      <c r="AG661" s="429">
        <f t="shared" ca="1" si="206"/>
        <v>0</v>
      </c>
      <c r="AH661" s="429">
        <f t="shared" ca="1" si="206"/>
        <v>0</v>
      </c>
      <c r="AI661" s="429">
        <f t="shared" ca="1" si="206"/>
        <v>0</v>
      </c>
      <c r="AJ661" s="429">
        <f t="shared" ca="1" si="206"/>
        <v>0</v>
      </c>
      <c r="AK661" s="429">
        <f t="shared" ca="1" si="206"/>
        <v>0</v>
      </c>
      <c r="AL661" s="429">
        <f t="shared" ca="1" si="206"/>
        <v>0</v>
      </c>
      <c r="AM661" s="429">
        <f t="shared" ca="1" si="206"/>
        <v>0</v>
      </c>
      <c r="AN661" s="429">
        <f t="shared" ca="1" si="206"/>
        <v>0</v>
      </c>
      <c r="AO661" s="429">
        <f t="shared" ca="1" si="206"/>
        <v>0</v>
      </c>
      <c r="AP661" s="429">
        <f t="shared" ca="1" si="206"/>
        <v>0</v>
      </c>
      <c r="AQ661" s="429">
        <f t="shared" ca="1" si="206"/>
        <v>0</v>
      </c>
      <c r="AR661" s="429">
        <f t="shared" ca="1" si="206"/>
        <v>0</v>
      </c>
      <c r="AS661" s="429">
        <f t="shared" ca="1" si="206"/>
        <v>0</v>
      </c>
      <c r="AT661" s="429">
        <f t="shared" ca="1" si="206"/>
        <v>0</v>
      </c>
      <c r="AU661" s="429">
        <f t="shared" ca="1" si="206"/>
        <v>0</v>
      </c>
      <c r="AV661" s="429">
        <f t="shared" ca="1" si="206"/>
        <v>0</v>
      </c>
      <c r="AW661" s="429">
        <f t="shared" ca="1" si="206"/>
        <v>0</v>
      </c>
      <c r="AX661" s="429">
        <f t="shared" ca="1" si="206"/>
        <v>0</v>
      </c>
    </row>
    <row r="662" spans="1:50" s="434" customFormat="1" ht="15" customHeight="1">
      <c r="A662" s="441"/>
      <c r="B662" s="509"/>
      <c r="C662" s="442"/>
      <c r="D662" s="443"/>
      <c r="E662" s="367" t="str">
        <f xml:space="preserve"> E$55</f>
        <v>Carried interest: Proportion state participation cashflows used to repay equity carry</v>
      </c>
      <c r="F662" s="440">
        <f xml:space="preserve"> F$55</f>
        <v>0</v>
      </c>
      <c r="G662" s="412" t="str">
        <f xml:space="preserve"> G$55</f>
        <v>%</v>
      </c>
      <c r="H662" s="429"/>
      <c r="I662" s="429"/>
      <c r="J662" s="429"/>
      <c r="K662" s="429"/>
      <c r="L662" s="429"/>
      <c r="M662" s="429"/>
      <c r="N662" s="429"/>
      <c r="O662" s="429"/>
      <c r="P662" s="429"/>
      <c r="Q662" s="429"/>
      <c r="R662" s="429"/>
      <c r="S662" s="429"/>
      <c r="T662" s="429"/>
      <c r="U662" s="429"/>
      <c r="V662" s="429"/>
      <c r="W662" s="429"/>
      <c r="X662" s="429"/>
      <c r="Y662" s="429"/>
      <c r="Z662" s="429"/>
      <c r="AA662" s="429"/>
      <c r="AB662" s="429"/>
      <c r="AC662" s="429"/>
      <c r="AD662" s="429"/>
      <c r="AE662" s="429"/>
      <c r="AF662" s="429"/>
      <c r="AG662" s="429"/>
      <c r="AH662" s="429"/>
      <c r="AI662" s="429"/>
      <c r="AJ662" s="429"/>
      <c r="AK662" s="429"/>
      <c r="AL662" s="429"/>
      <c r="AM662" s="429"/>
      <c r="AN662" s="429"/>
      <c r="AO662" s="429"/>
      <c r="AP662" s="429"/>
      <c r="AQ662" s="429"/>
      <c r="AR662" s="429"/>
      <c r="AS662" s="429"/>
      <c r="AT662" s="429"/>
      <c r="AU662" s="429"/>
      <c r="AV662" s="429"/>
      <c r="AW662" s="429"/>
      <c r="AX662" s="429"/>
    </row>
    <row r="663" spans="1:50" s="434" customFormat="1" ht="15" customHeight="1">
      <c r="A663" s="441"/>
      <c r="B663" s="509"/>
      <c r="C663" s="442"/>
      <c r="D663" s="443"/>
      <c r="E663" s="429" t="str">
        <f xml:space="preserve">  Translate!$E$122 &amp; ": " &amp; Translate!$E$261</f>
        <v>Carried interest loan: Potential repayment</v>
      </c>
      <c r="F663" s="429"/>
      <c r="G663" s="429" t="str">
        <f xml:space="preserve"> Translate!E$10</f>
        <v>US$ mn</v>
      </c>
      <c r="H663" s="429"/>
      <c r="I663" s="429">
        <f ca="1" xml:space="preserve"> SUM(K663:AX663)</f>
        <v>0</v>
      </c>
      <c r="J663" s="429"/>
      <c r="K663" s="429">
        <f t="shared" ref="K663:AX663" ca="1" si="207" xml:space="preserve"> (K661 &gt; 0) * K661 * $F662</f>
        <v>0</v>
      </c>
      <c r="L663" s="429">
        <f t="shared" ca="1" si="207"/>
        <v>0</v>
      </c>
      <c r="M663" s="429">
        <f t="shared" ca="1" si="207"/>
        <v>0</v>
      </c>
      <c r="N663" s="429">
        <f t="shared" ca="1" si="207"/>
        <v>0</v>
      </c>
      <c r="O663" s="429">
        <f t="shared" ca="1" si="207"/>
        <v>0</v>
      </c>
      <c r="P663" s="429">
        <f t="shared" ca="1" si="207"/>
        <v>0</v>
      </c>
      <c r="Q663" s="429">
        <f t="shared" ca="1" si="207"/>
        <v>0</v>
      </c>
      <c r="R663" s="429">
        <f t="shared" ca="1" si="207"/>
        <v>0</v>
      </c>
      <c r="S663" s="429">
        <f t="shared" ca="1" si="207"/>
        <v>0</v>
      </c>
      <c r="T663" s="429">
        <f t="shared" ca="1" si="207"/>
        <v>0</v>
      </c>
      <c r="U663" s="429">
        <f t="shared" ca="1" si="207"/>
        <v>0</v>
      </c>
      <c r="V663" s="429">
        <f t="shared" ca="1" si="207"/>
        <v>0</v>
      </c>
      <c r="W663" s="429">
        <f t="shared" ca="1" si="207"/>
        <v>0</v>
      </c>
      <c r="X663" s="429">
        <f t="shared" ca="1" si="207"/>
        <v>0</v>
      </c>
      <c r="Y663" s="429">
        <f t="shared" ca="1" si="207"/>
        <v>0</v>
      </c>
      <c r="Z663" s="429">
        <f t="shared" ca="1" si="207"/>
        <v>0</v>
      </c>
      <c r="AA663" s="429">
        <f t="shared" ca="1" si="207"/>
        <v>0</v>
      </c>
      <c r="AB663" s="429">
        <f t="shared" ca="1" si="207"/>
        <v>0</v>
      </c>
      <c r="AC663" s="429">
        <f t="shared" ca="1" si="207"/>
        <v>0</v>
      </c>
      <c r="AD663" s="429">
        <f t="shared" ca="1" si="207"/>
        <v>0</v>
      </c>
      <c r="AE663" s="429">
        <f t="shared" ca="1" si="207"/>
        <v>0</v>
      </c>
      <c r="AF663" s="429">
        <f t="shared" ca="1" si="207"/>
        <v>0</v>
      </c>
      <c r="AG663" s="429">
        <f t="shared" ca="1" si="207"/>
        <v>0</v>
      </c>
      <c r="AH663" s="429">
        <f t="shared" ca="1" si="207"/>
        <v>0</v>
      </c>
      <c r="AI663" s="429">
        <f t="shared" ca="1" si="207"/>
        <v>0</v>
      </c>
      <c r="AJ663" s="429">
        <f t="shared" ca="1" si="207"/>
        <v>0</v>
      </c>
      <c r="AK663" s="429">
        <f t="shared" ca="1" si="207"/>
        <v>0</v>
      </c>
      <c r="AL663" s="429">
        <f t="shared" ca="1" si="207"/>
        <v>0</v>
      </c>
      <c r="AM663" s="429">
        <f t="shared" ca="1" si="207"/>
        <v>0</v>
      </c>
      <c r="AN663" s="429">
        <f t="shared" ca="1" si="207"/>
        <v>0</v>
      </c>
      <c r="AO663" s="429">
        <f t="shared" ca="1" si="207"/>
        <v>0</v>
      </c>
      <c r="AP663" s="429">
        <f t="shared" ca="1" si="207"/>
        <v>0</v>
      </c>
      <c r="AQ663" s="429">
        <f t="shared" ca="1" si="207"/>
        <v>0</v>
      </c>
      <c r="AR663" s="429">
        <f t="shared" ca="1" si="207"/>
        <v>0</v>
      </c>
      <c r="AS663" s="429">
        <f t="shared" ca="1" si="207"/>
        <v>0</v>
      </c>
      <c r="AT663" s="429">
        <f t="shared" ca="1" si="207"/>
        <v>0</v>
      </c>
      <c r="AU663" s="429">
        <f t="shared" ca="1" si="207"/>
        <v>0</v>
      </c>
      <c r="AV663" s="429">
        <f t="shared" ca="1" si="207"/>
        <v>0</v>
      </c>
      <c r="AW663" s="429">
        <f t="shared" ca="1" si="207"/>
        <v>0</v>
      </c>
      <c r="AX663" s="429">
        <f t="shared" ca="1" si="207"/>
        <v>0</v>
      </c>
    </row>
    <row r="664" spans="1:50" s="434" customFormat="1" ht="15" customHeight="1">
      <c r="A664" s="441"/>
      <c r="B664" s="509"/>
      <c r="C664" s="442"/>
      <c r="D664" s="443"/>
      <c r="E664" s="429"/>
      <c r="F664" s="429"/>
      <c r="G664" s="429"/>
      <c r="H664" s="429"/>
      <c r="I664" s="429"/>
      <c r="J664" s="429"/>
      <c r="K664" s="429"/>
      <c r="L664" s="429"/>
      <c r="M664" s="429"/>
      <c r="N664" s="429"/>
      <c r="O664" s="429"/>
      <c r="P664" s="429"/>
      <c r="Q664" s="429"/>
      <c r="R664" s="429"/>
      <c r="S664" s="429"/>
      <c r="T664" s="429"/>
      <c r="U664" s="429"/>
      <c r="V664" s="429"/>
      <c r="W664" s="429"/>
      <c r="X664" s="429"/>
      <c r="Y664" s="429"/>
      <c r="Z664" s="429"/>
      <c r="AA664" s="429"/>
      <c r="AB664" s="429"/>
      <c r="AC664" s="429"/>
      <c r="AD664" s="429"/>
      <c r="AE664" s="429"/>
      <c r="AF664" s="429"/>
      <c r="AG664" s="429"/>
      <c r="AH664" s="429"/>
      <c r="AI664" s="429"/>
      <c r="AJ664" s="429"/>
      <c r="AK664" s="429"/>
      <c r="AL664" s="429"/>
      <c r="AM664" s="429"/>
      <c r="AN664" s="429"/>
      <c r="AO664" s="429"/>
      <c r="AP664" s="429"/>
      <c r="AQ664" s="429"/>
      <c r="AR664" s="429"/>
      <c r="AS664" s="429"/>
      <c r="AT664" s="429"/>
      <c r="AU664" s="429"/>
      <c r="AV664" s="429"/>
      <c r="AW664" s="429"/>
      <c r="AX664" s="429"/>
    </row>
    <row r="665" spans="1:50" s="434" customFormat="1" ht="15" customHeight="1">
      <c r="A665" s="441"/>
      <c r="B665" s="509"/>
      <c r="C665" s="442" t="str">
        <f xml:space="preserve">  Translate!$E$122 &amp; ": " &amp; Translate!$E$69</f>
        <v>Carried interest loan: Loan account</v>
      </c>
      <c r="D665" s="443"/>
      <c r="E665" s="367"/>
      <c r="F665" s="440"/>
      <c r="G665" s="412"/>
      <c r="I665" s="443"/>
      <c r="J665" s="446"/>
      <c r="K665" s="447"/>
      <c r="L665" s="447"/>
      <c r="M665" s="447"/>
      <c r="N665" s="447"/>
      <c r="O665" s="447"/>
      <c r="P665" s="447"/>
      <c r="Q665" s="447"/>
      <c r="R665" s="447"/>
      <c r="S665" s="447"/>
      <c r="T665" s="447"/>
      <c r="U665" s="447"/>
      <c r="V665" s="447"/>
      <c r="W665" s="447"/>
      <c r="X665" s="447"/>
      <c r="Y665" s="447"/>
      <c r="Z665" s="447"/>
      <c r="AA665" s="447"/>
      <c r="AB665" s="447"/>
      <c r="AC665" s="447"/>
      <c r="AD665" s="447"/>
      <c r="AE665" s="447"/>
      <c r="AF665" s="447"/>
      <c r="AG665" s="447"/>
      <c r="AH665" s="447"/>
      <c r="AI665" s="447"/>
      <c r="AJ665" s="447"/>
      <c r="AK665" s="447"/>
      <c r="AL665" s="447"/>
      <c r="AM665" s="447"/>
      <c r="AN665" s="447"/>
      <c r="AO665" s="447"/>
      <c r="AP665" s="447"/>
      <c r="AQ665" s="447"/>
      <c r="AR665" s="447"/>
      <c r="AS665" s="447"/>
      <c r="AT665" s="447"/>
      <c r="AU665" s="447"/>
      <c r="AV665" s="447"/>
      <c r="AW665" s="447"/>
      <c r="AX665" s="447"/>
    </row>
    <row r="666" spans="1:50" s="453" customFormat="1" ht="15" customHeight="1">
      <c r="B666" s="590"/>
      <c r="C666" s="591"/>
      <c r="D666" s="593" t="str">
        <f>Translate!$E$605</f>
        <v>add</v>
      </c>
      <c r="E666" s="592" t="str">
        <f xml:space="preserve">  Translate!$E$122 &amp; ": " &amp; Translate!$E$262</f>
        <v>Carried interest loan: Opening balance: BEG</v>
      </c>
      <c r="F666" s="592"/>
      <c r="G666" s="592" t="str">
        <f xml:space="preserve"> Translate!E$10</f>
        <v>US$ mn</v>
      </c>
      <c r="I666" s="592"/>
      <c r="J666" s="592"/>
      <c r="K666" s="592">
        <f xml:space="preserve"> J671</f>
        <v>0</v>
      </c>
      <c r="L666" s="592">
        <f t="shared" ref="L666:AX666" ca="1" si="208" xml:space="preserve"> K671</f>
        <v>0</v>
      </c>
      <c r="M666" s="592">
        <f t="shared" ca="1" si="208"/>
        <v>0</v>
      </c>
      <c r="N666" s="592">
        <f t="shared" ca="1" si="208"/>
        <v>0</v>
      </c>
      <c r="O666" s="592">
        <f t="shared" ca="1" si="208"/>
        <v>0</v>
      </c>
      <c r="P666" s="592">
        <f t="shared" ca="1" si="208"/>
        <v>0</v>
      </c>
      <c r="Q666" s="592">
        <f t="shared" ca="1" si="208"/>
        <v>0</v>
      </c>
      <c r="R666" s="592">
        <f t="shared" ca="1" si="208"/>
        <v>0</v>
      </c>
      <c r="S666" s="592">
        <f t="shared" ca="1" si="208"/>
        <v>0</v>
      </c>
      <c r="T666" s="592">
        <f t="shared" ca="1" si="208"/>
        <v>0</v>
      </c>
      <c r="U666" s="592">
        <f t="shared" ca="1" si="208"/>
        <v>0</v>
      </c>
      <c r="V666" s="592">
        <f t="shared" ca="1" si="208"/>
        <v>0</v>
      </c>
      <c r="W666" s="592">
        <f t="shared" ca="1" si="208"/>
        <v>0</v>
      </c>
      <c r="X666" s="592">
        <f t="shared" ca="1" si="208"/>
        <v>0</v>
      </c>
      <c r="Y666" s="592">
        <f t="shared" ca="1" si="208"/>
        <v>0</v>
      </c>
      <c r="Z666" s="592">
        <f t="shared" ca="1" si="208"/>
        <v>0</v>
      </c>
      <c r="AA666" s="592">
        <f t="shared" ca="1" si="208"/>
        <v>0</v>
      </c>
      <c r="AB666" s="592">
        <f t="shared" ca="1" si="208"/>
        <v>0</v>
      </c>
      <c r="AC666" s="592">
        <f t="shared" ca="1" si="208"/>
        <v>0</v>
      </c>
      <c r="AD666" s="592">
        <f t="shared" ca="1" si="208"/>
        <v>0</v>
      </c>
      <c r="AE666" s="592">
        <f t="shared" ca="1" si="208"/>
        <v>0</v>
      </c>
      <c r="AF666" s="592">
        <f t="shared" ca="1" si="208"/>
        <v>0</v>
      </c>
      <c r="AG666" s="592">
        <f t="shared" ca="1" si="208"/>
        <v>0</v>
      </c>
      <c r="AH666" s="592">
        <f t="shared" ca="1" si="208"/>
        <v>0</v>
      </c>
      <c r="AI666" s="592">
        <f t="shared" ca="1" si="208"/>
        <v>0</v>
      </c>
      <c r="AJ666" s="592">
        <f t="shared" ca="1" si="208"/>
        <v>0</v>
      </c>
      <c r="AK666" s="592">
        <f t="shared" ca="1" si="208"/>
        <v>0</v>
      </c>
      <c r="AL666" s="592">
        <f t="shared" ca="1" si="208"/>
        <v>0</v>
      </c>
      <c r="AM666" s="592">
        <f t="shared" ca="1" si="208"/>
        <v>0</v>
      </c>
      <c r="AN666" s="592">
        <f t="shared" ca="1" si="208"/>
        <v>0</v>
      </c>
      <c r="AO666" s="592">
        <f t="shared" ca="1" si="208"/>
        <v>0</v>
      </c>
      <c r="AP666" s="592">
        <f t="shared" ca="1" si="208"/>
        <v>0</v>
      </c>
      <c r="AQ666" s="592">
        <f t="shared" ca="1" si="208"/>
        <v>0</v>
      </c>
      <c r="AR666" s="592">
        <f t="shared" ca="1" si="208"/>
        <v>0</v>
      </c>
      <c r="AS666" s="592">
        <f t="shared" ca="1" si="208"/>
        <v>0</v>
      </c>
      <c r="AT666" s="592">
        <f t="shared" ca="1" si="208"/>
        <v>0</v>
      </c>
      <c r="AU666" s="592">
        <f t="shared" ca="1" si="208"/>
        <v>0</v>
      </c>
      <c r="AV666" s="592">
        <f t="shared" ca="1" si="208"/>
        <v>0</v>
      </c>
      <c r="AW666" s="592">
        <f t="shared" ca="1" si="208"/>
        <v>0</v>
      </c>
      <c r="AX666" s="592">
        <f t="shared" ca="1" si="208"/>
        <v>0</v>
      </c>
    </row>
    <row r="667" spans="1:50" s="456" customFormat="1" ht="15" customHeight="1">
      <c r="A667" s="454"/>
      <c r="B667" s="510"/>
      <c r="C667" s="455"/>
      <c r="D667" s="594" t="str">
        <f>Translate!$E$605</f>
        <v>add</v>
      </c>
      <c r="E667" s="432" t="str">
        <f xml:space="preserve"> E$653</f>
        <v>Carried interest loan: Drawdowns (mid period): Positive</v>
      </c>
      <c r="F667" s="432">
        <f t="shared" ref="F667:AX667" si="209" xml:space="preserve"> F$653</f>
        <v>0</v>
      </c>
      <c r="G667" s="432" t="str">
        <f t="shared" si="209"/>
        <v>US$ mn</v>
      </c>
      <c r="H667" s="432">
        <f t="shared" si="209"/>
        <v>0</v>
      </c>
      <c r="I667" s="432">
        <f t="shared" ca="1" si="209"/>
        <v>0</v>
      </c>
      <c r="J667" s="432">
        <f t="shared" si="209"/>
        <v>0</v>
      </c>
      <c r="K667" s="432">
        <f ca="1" xml:space="preserve"> K$653</f>
        <v>0</v>
      </c>
      <c r="L667" s="432">
        <f t="shared" ca="1" si="209"/>
        <v>0</v>
      </c>
      <c r="M667" s="432">
        <f t="shared" ca="1" si="209"/>
        <v>0</v>
      </c>
      <c r="N667" s="432">
        <f t="shared" ca="1" si="209"/>
        <v>0</v>
      </c>
      <c r="O667" s="432">
        <f t="shared" ca="1" si="209"/>
        <v>0</v>
      </c>
      <c r="P667" s="432">
        <f t="shared" ca="1" si="209"/>
        <v>0</v>
      </c>
      <c r="Q667" s="432">
        <f t="shared" ca="1" si="209"/>
        <v>0</v>
      </c>
      <c r="R667" s="432">
        <f t="shared" ca="1" si="209"/>
        <v>0</v>
      </c>
      <c r="S667" s="432">
        <f t="shared" ca="1" si="209"/>
        <v>0</v>
      </c>
      <c r="T667" s="432">
        <f t="shared" ca="1" si="209"/>
        <v>0</v>
      </c>
      <c r="U667" s="432">
        <f t="shared" ca="1" si="209"/>
        <v>0</v>
      </c>
      <c r="V667" s="432">
        <f t="shared" ca="1" si="209"/>
        <v>0</v>
      </c>
      <c r="W667" s="432">
        <f t="shared" ca="1" si="209"/>
        <v>0</v>
      </c>
      <c r="X667" s="432">
        <f t="shared" ca="1" si="209"/>
        <v>0</v>
      </c>
      <c r="Y667" s="432">
        <f t="shared" ca="1" si="209"/>
        <v>0</v>
      </c>
      <c r="Z667" s="432">
        <f t="shared" ca="1" si="209"/>
        <v>0</v>
      </c>
      <c r="AA667" s="432">
        <f t="shared" ca="1" si="209"/>
        <v>0</v>
      </c>
      <c r="AB667" s="432">
        <f t="shared" ca="1" si="209"/>
        <v>0</v>
      </c>
      <c r="AC667" s="432">
        <f t="shared" ca="1" si="209"/>
        <v>0</v>
      </c>
      <c r="AD667" s="432">
        <f t="shared" ca="1" si="209"/>
        <v>0</v>
      </c>
      <c r="AE667" s="432">
        <f t="shared" ca="1" si="209"/>
        <v>0</v>
      </c>
      <c r="AF667" s="432">
        <f t="shared" ca="1" si="209"/>
        <v>0</v>
      </c>
      <c r="AG667" s="432">
        <f t="shared" ca="1" si="209"/>
        <v>0</v>
      </c>
      <c r="AH667" s="432">
        <f t="shared" ca="1" si="209"/>
        <v>0</v>
      </c>
      <c r="AI667" s="432">
        <f t="shared" ca="1" si="209"/>
        <v>0</v>
      </c>
      <c r="AJ667" s="432">
        <f t="shared" ca="1" si="209"/>
        <v>0</v>
      </c>
      <c r="AK667" s="432">
        <f t="shared" ca="1" si="209"/>
        <v>0</v>
      </c>
      <c r="AL667" s="432">
        <f t="shared" ca="1" si="209"/>
        <v>0</v>
      </c>
      <c r="AM667" s="432">
        <f t="shared" ca="1" si="209"/>
        <v>0</v>
      </c>
      <c r="AN667" s="432">
        <f t="shared" ca="1" si="209"/>
        <v>0</v>
      </c>
      <c r="AO667" s="432">
        <f t="shared" ca="1" si="209"/>
        <v>0</v>
      </c>
      <c r="AP667" s="432">
        <f t="shared" ca="1" si="209"/>
        <v>0</v>
      </c>
      <c r="AQ667" s="432">
        <f t="shared" ca="1" si="209"/>
        <v>0</v>
      </c>
      <c r="AR667" s="432">
        <f t="shared" ca="1" si="209"/>
        <v>0</v>
      </c>
      <c r="AS667" s="432">
        <f t="shared" ca="1" si="209"/>
        <v>0</v>
      </c>
      <c r="AT667" s="432">
        <f t="shared" ca="1" si="209"/>
        <v>0</v>
      </c>
      <c r="AU667" s="432">
        <f t="shared" ca="1" si="209"/>
        <v>0</v>
      </c>
      <c r="AV667" s="432">
        <f t="shared" ca="1" si="209"/>
        <v>0</v>
      </c>
      <c r="AW667" s="432">
        <f t="shared" ca="1" si="209"/>
        <v>0</v>
      </c>
      <c r="AX667" s="432">
        <f t="shared" ca="1" si="209"/>
        <v>0</v>
      </c>
    </row>
    <row r="668" spans="1:50" s="456" customFormat="1" ht="15" customHeight="1">
      <c r="A668" s="454"/>
      <c r="B668" s="510"/>
      <c r="C668" s="455"/>
      <c r="D668" s="594" t="str">
        <f>Translate!$E$605</f>
        <v>add</v>
      </c>
      <c r="E668" s="432" t="str">
        <f xml:space="preserve">   Translate!$E$122 &amp; ": " &amp; Translate!$E$263</f>
        <v>Carried interest loan: Interest charge</v>
      </c>
      <c r="F668" s="432"/>
      <c r="G668" s="432" t="str">
        <f xml:space="preserve"> Translate!E$10</f>
        <v>US$ mn</v>
      </c>
      <c r="H668" s="432"/>
      <c r="I668" s="432">
        <f ca="1" xml:space="preserve"> SUM(K668:AX668)</f>
        <v>0</v>
      </c>
      <c r="J668" s="432"/>
      <c r="K668" s="432">
        <f t="shared" ref="K668:AX668" ca="1" si="210" xml:space="preserve"> (K666 + K667 / 2) * $F658</f>
        <v>0</v>
      </c>
      <c r="L668" s="432">
        <f t="shared" ca="1" si="210"/>
        <v>0</v>
      </c>
      <c r="M668" s="432">
        <f t="shared" ca="1" si="210"/>
        <v>0</v>
      </c>
      <c r="N668" s="432">
        <f t="shared" ca="1" si="210"/>
        <v>0</v>
      </c>
      <c r="O668" s="432">
        <f t="shared" ca="1" si="210"/>
        <v>0</v>
      </c>
      <c r="P668" s="432">
        <f t="shared" ca="1" si="210"/>
        <v>0</v>
      </c>
      <c r="Q668" s="432">
        <f t="shared" ca="1" si="210"/>
        <v>0</v>
      </c>
      <c r="R668" s="432">
        <f t="shared" ca="1" si="210"/>
        <v>0</v>
      </c>
      <c r="S668" s="432">
        <f t="shared" ca="1" si="210"/>
        <v>0</v>
      </c>
      <c r="T668" s="432">
        <f t="shared" ca="1" si="210"/>
        <v>0</v>
      </c>
      <c r="U668" s="432">
        <f t="shared" ca="1" si="210"/>
        <v>0</v>
      </c>
      <c r="V668" s="432">
        <f t="shared" ca="1" si="210"/>
        <v>0</v>
      </c>
      <c r="W668" s="432">
        <f t="shared" ca="1" si="210"/>
        <v>0</v>
      </c>
      <c r="X668" s="432">
        <f t="shared" ca="1" si="210"/>
        <v>0</v>
      </c>
      <c r="Y668" s="432">
        <f t="shared" ca="1" si="210"/>
        <v>0</v>
      </c>
      <c r="Z668" s="432">
        <f t="shared" ca="1" si="210"/>
        <v>0</v>
      </c>
      <c r="AA668" s="432">
        <f t="shared" ca="1" si="210"/>
        <v>0</v>
      </c>
      <c r="AB668" s="432">
        <f t="shared" ca="1" si="210"/>
        <v>0</v>
      </c>
      <c r="AC668" s="432">
        <f t="shared" ca="1" si="210"/>
        <v>0</v>
      </c>
      <c r="AD668" s="432">
        <f t="shared" ca="1" si="210"/>
        <v>0</v>
      </c>
      <c r="AE668" s="432">
        <f t="shared" ca="1" si="210"/>
        <v>0</v>
      </c>
      <c r="AF668" s="432">
        <f t="shared" ca="1" si="210"/>
        <v>0</v>
      </c>
      <c r="AG668" s="432">
        <f t="shared" ca="1" si="210"/>
        <v>0</v>
      </c>
      <c r="AH668" s="432">
        <f t="shared" ca="1" si="210"/>
        <v>0</v>
      </c>
      <c r="AI668" s="432">
        <f t="shared" ca="1" si="210"/>
        <v>0</v>
      </c>
      <c r="AJ668" s="432">
        <f t="shared" ca="1" si="210"/>
        <v>0</v>
      </c>
      <c r="AK668" s="432">
        <f t="shared" ca="1" si="210"/>
        <v>0</v>
      </c>
      <c r="AL668" s="432">
        <f t="shared" ca="1" si="210"/>
        <v>0</v>
      </c>
      <c r="AM668" s="432">
        <f t="shared" ca="1" si="210"/>
        <v>0</v>
      </c>
      <c r="AN668" s="432">
        <f t="shared" ca="1" si="210"/>
        <v>0</v>
      </c>
      <c r="AO668" s="432">
        <f t="shared" ca="1" si="210"/>
        <v>0</v>
      </c>
      <c r="AP668" s="432">
        <f t="shared" ca="1" si="210"/>
        <v>0</v>
      </c>
      <c r="AQ668" s="432">
        <f t="shared" ca="1" si="210"/>
        <v>0</v>
      </c>
      <c r="AR668" s="432">
        <f t="shared" ca="1" si="210"/>
        <v>0</v>
      </c>
      <c r="AS668" s="432">
        <f t="shared" ca="1" si="210"/>
        <v>0</v>
      </c>
      <c r="AT668" s="432">
        <f t="shared" ca="1" si="210"/>
        <v>0</v>
      </c>
      <c r="AU668" s="432">
        <f t="shared" ca="1" si="210"/>
        <v>0</v>
      </c>
      <c r="AV668" s="432">
        <f t="shared" ca="1" si="210"/>
        <v>0</v>
      </c>
      <c r="AW668" s="432">
        <f t="shared" ca="1" si="210"/>
        <v>0</v>
      </c>
      <c r="AX668" s="432">
        <f t="shared" ca="1" si="210"/>
        <v>0</v>
      </c>
    </row>
    <row r="669" spans="1:50" s="456" customFormat="1" ht="15" customHeight="1">
      <c r="A669" s="454"/>
      <c r="B669" s="510"/>
      <c r="C669" s="455"/>
      <c r="D669" s="594"/>
      <c r="E669" s="432" t="str">
        <f xml:space="preserve">   Translate!$E$122 &amp; ": " &amp; Translate!$E$264</f>
        <v>Carried interest loan: Balance to be repaid</v>
      </c>
      <c r="F669" s="432"/>
      <c r="G669" s="432" t="str">
        <f xml:space="preserve"> Translate!E$10</f>
        <v>US$ mn</v>
      </c>
      <c r="H669" s="432"/>
      <c r="I669" s="432"/>
      <c r="J669" s="432"/>
      <c r="K669" s="432">
        <f t="shared" ref="K669:AX669" ca="1" si="211" xml:space="preserve"> K666 + K667 + K668</f>
        <v>0</v>
      </c>
      <c r="L669" s="432">
        <f t="shared" ca="1" si="211"/>
        <v>0</v>
      </c>
      <c r="M669" s="432">
        <f t="shared" ca="1" si="211"/>
        <v>0</v>
      </c>
      <c r="N669" s="432">
        <f t="shared" ca="1" si="211"/>
        <v>0</v>
      </c>
      <c r="O669" s="432">
        <f t="shared" ca="1" si="211"/>
        <v>0</v>
      </c>
      <c r="P669" s="432">
        <f t="shared" ca="1" si="211"/>
        <v>0</v>
      </c>
      <c r="Q669" s="432">
        <f t="shared" ca="1" si="211"/>
        <v>0</v>
      </c>
      <c r="R669" s="432">
        <f t="shared" ca="1" si="211"/>
        <v>0</v>
      </c>
      <c r="S669" s="432">
        <f t="shared" ca="1" si="211"/>
        <v>0</v>
      </c>
      <c r="T669" s="432">
        <f t="shared" ca="1" si="211"/>
        <v>0</v>
      </c>
      <c r="U669" s="432">
        <f t="shared" ca="1" si="211"/>
        <v>0</v>
      </c>
      <c r="V669" s="432">
        <f t="shared" ca="1" si="211"/>
        <v>0</v>
      </c>
      <c r="W669" s="432">
        <f t="shared" ca="1" si="211"/>
        <v>0</v>
      </c>
      <c r="X669" s="432">
        <f t="shared" ca="1" si="211"/>
        <v>0</v>
      </c>
      <c r="Y669" s="432">
        <f t="shared" ca="1" si="211"/>
        <v>0</v>
      </c>
      <c r="Z669" s="432">
        <f t="shared" ca="1" si="211"/>
        <v>0</v>
      </c>
      <c r="AA669" s="432">
        <f t="shared" ca="1" si="211"/>
        <v>0</v>
      </c>
      <c r="AB669" s="432">
        <f t="shared" ca="1" si="211"/>
        <v>0</v>
      </c>
      <c r="AC669" s="432">
        <f t="shared" ca="1" si="211"/>
        <v>0</v>
      </c>
      <c r="AD669" s="432">
        <f t="shared" ca="1" si="211"/>
        <v>0</v>
      </c>
      <c r="AE669" s="432">
        <f t="shared" ca="1" si="211"/>
        <v>0</v>
      </c>
      <c r="AF669" s="432">
        <f t="shared" ca="1" si="211"/>
        <v>0</v>
      </c>
      <c r="AG669" s="432">
        <f t="shared" ca="1" si="211"/>
        <v>0</v>
      </c>
      <c r="AH669" s="432">
        <f t="shared" ca="1" si="211"/>
        <v>0</v>
      </c>
      <c r="AI669" s="432">
        <f t="shared" ca="1" si="211"/>
        <v>0</v>
      </c>
      <c r="AJ669" s="432">
        <f t="shared" ca="1" si="211"/>
        <v>0</v>
      </c>
      <c r="AK669" s="432">
        <f t="shared" ca="1" si="211"/>
        <v>0</v>
      </c>
      <c r="AL669" s="432">
        <f t="shared" ca="1" si="211"/>
        <v>0</v>
      </c>
      <c r="AM669" s="432">
        <f t="shared" ca="1" si="211"/>
        <v>0</v>
      </c>
      <c r="AN669" s="432">
        <f t="shared" ca="1" si="211"/>
        <v>0</v>
      </c>
      <c r="AO669" s="432">
        <f t="shared" ca="1" si="211"/>
        <v>0</v>
      </c>
      <c r="AP669" s="432">
        <f t="shared" ca="1" si="211"/>
        <v>0</v>
      </c>
      <c r="AQ669" s="432">
        <f t="shared" ca="1" si="211"/>
        <v>0</v>
      </c>
      <c r="AR669" s="432">
        <f t="shared" ca="1" si="211"/>
        <v>0</v>
      </c>
      <c r="AS669" s="432">
        <f t="shared" ca="1" si="211"/>
        <v>0</v>
      </c>
      <c r="AT669" s="432">
        <f t="shared" ca="1" si="211"/>
        <v>0</v>
      </c>
      <c r="AU669" s="432">
        <f t="shared" ca="1" si="211"/>
        <v>0</v>
      </c>
      <c r="AV669" s="432">
        <f t="shared" ca="1" si="211"/>
        <v>0</v>
      </c>
      <c r="AW669" s="432">
        <f t="shared" ca="1" si="211"/>
        <v>0</v>
      </c>
      <c r="AX669" s="432">
        <f t="shared" ca="1" si="211"/>
        <v>0</v>
      </c>
    </row>
    <row r="670" spans="1:50" s="456" customFormat="1" ht="15" customHeight="1">
      <c r="A670" s="454"/>
      <c r="B670" s="510"/>
      <c r="C670" s="455"/>
      <c r="D670" s="594" t="str">
        <f>Translate!$E$606</f>
        <v>less</v>
      </c>
      <c r="E670" s="432" t="str">
        <f xml:space="preserve">   Translate!$E$122 &amp; ": " &amp; Translate!$E$265</f>
        <v>Carried interest loan: Repayment (end of period)</v>
      </c>
      <c r="F670" s="432"/>
      <c r="G670" s="432" t="str">
        <f xml:space="preserve"> Translate!E$10</f>
        <v>US$ mn</v>
      </c>
      <c r="H670" s="432"/>
      <c r="I670" s="432">
        <f ca="1" xml:space="preserve"> SUM(K670:AX670)</f>
        <v>0</v>
      </c>
      <c r="J670" s="432"/>
      <c r="K670" s="432">
        <f t="shared" ref="K670:AX670" ca="1" si="212" xml:space="preserve"> MIN(K669, K663)</f>
        <v>0</v>
      </c>
      <c r="L670" s="432">
        <f t="shared" ca="1" si="212"/>
        <v>0</v>
      </c>
      <c r="M670" s="432">
        <f t="shared" ca="1" si="212"/>
        <v>0</v>
      </c>
      <c r="N670" s="432">
        <f t="shared" ca="1" si="212"/>
        <v>0</v>
      </c>
      <c r="O670" s="432">
        <f t="shared" ca="1" si="212"/>
        <v>0</v>
      </c>
      <c r="P670" s="432">
        <f t="shared" ca="1" si="212"/>
        <v>0</v>
      </c>
      <c r="Q670" s="432">
        <f t="shared" ca="1" si="212"/>
        <v>0</v>
      </c>
      <c r="R670" s="432">
        <f t="shared" ca="1" si="212"/>
        <v>0</v>
      </c>
      <c r="S670" s="432">
        <f t="shared" ca="1" si="212"/>
        <v>0</v>
      </c>
      <c r="T670" s="432">
        <f t="shared" ca="1" si="212"/>
        <v>0</v>
      </c>
      <c r="U670" s="432">
        <f t="shared" ca="1" si="212"/>
        <v>0</v>
      </c>
      <c r="V670" s="432">
        <f t="shared" ca="1" si="212"/>
        <v>0</v>
      </c>
      <c r="W670" s="432">
        <f t="shared" ca="1" si="212"/>
        <v>0</v>
      </c>
      <c r="X670" s="432">
        <f t="shared" ca="1" si="212"/>
        <v>0</v>
      </c>
      <c r="Y670" s="432">
        <f t="shared" ca="1" si="212"/>
        <v>0</v>
      </c>
      <c r="Z670" s="432">
        <f t="shared" ca="1" si="212"/>
        <v>0</v>
      </c>
      <c r="AA670" s="432">
        <f t="shared" ca="1" si="212"/>
        <v>0</v>
      </c>
      <c r="AB670" s="432">
        <f t="shared" ca="1" si="212"/>
        <v>0</v>
      </c>
      <c r="AC670" s="432">
        <f t="shared" ca="1" si="212"/>
        <v>0</v>
      </c>
      <c r="AD670" s="432">
        <f t="shared" ca="1" si="212"/>
        <v>0</v>
      </c>
      <c r="AE670" s="432">
        <f t="shared" ca="1" si="212"/>
        <v>0</v>
      </c>
      <c r="AF670" s="432">
        <f t="shared" ca="1" si="212"/>
        <v>0</v>
      </c>
      <c r="AG670" s="432">
        <f t="shared" ca="1" si="212"/>
        <v>0</v>
      </c>
      <c r="AH670" s="432">
        <f t="shared" ca="1" si="212"/>
        <v>0</v>
      </c>
      <c r="AI670" s="432">
        <f t="shared" ca="1" si="212"/>
        <v>0</v>
      </c>
      <c r="AJ670" s="432">
        <f t="shared" ca="1" si="212"/>
        <v>0</v>
      </c>
      <c r="AK670" s="432">
        <f t="shared" ca="1" si="212"/>
        <v>0</v>
      </c>
      <c r="AL670" s="432">
        <f t="shared" ca="1" si="212"/>
        <v>0</v>
      </c>
      <c r="AM670" s="432">
        <f t="shared" ca="1" si="212"/>
        <v>0</v>
      </c>
      <c r="AN670" s="432">
        <f t="shared" ca="1" si="212"/>
        <v>0</v>
      </c>
      <c r="AO670" s="432">
        <f t="shared" ca="1" si="212"/>
        <v>0</v>
      </c>
      <c r="AP670" s="432">
        <f t="shared" ca="1" si="212"/>
        <v>0</v>
      </c>
      <c r="AQ670" s="432">
        <f t="shared" ca="1" si="212"/>
        <v>0</v>
      </c>
      <c r="AR670" s="432">
        <f t="shared" ca="1" si="212"/>
        <v>0</v>
      </c>
      <c r="AS670" s="432">
        <f t="shared" ca="1" si="212"/>
        <v>0</v>
      </c>
      <c r="AT670" s="432">
        <f t="shared" ca="1" si="212"/>
        <v>0</v>
      </c>
      <c r="AU670" s="432">
        <f t="shared" ca="1" si="212"/>
        <v>0</v>
      </c>
      <c r="AV670" s="432">
        <f t="shared" ca="1" si="212"/>
        <v>0</v>
      </c>
      <c r="AW670" s="432">
        <f t="shared" ca="1" si="212"/>
        <v>0</v>
      </c>
      <c r="AX670" s="432">
        <f t="shared" ca="1" si="212"/>
        <v>0</v>
      </c>
    </row>
    <row r="671" spans="1:50" s="462" customFormat="1" ht="15" customHeight="1">
      <c r="A671" s="457"/>
      <c r="B671" s="511"/>
      <c r="C671" s="458"/>
      <c r="D671" s="459"/>
      <c r="E671" s="460" t="str">
        <f xml:space="preserve"> Translate!$E$122 &amp; ": " &amp; Translate!$E$266</f>
        <v>Carried interest loan: Closing balance: END</v>
      </c>
      <c r="F671" s="460"/>
      <c r="G671" s="460" t="str">
        <f xml:space="preserve"> Translate!E$10</f>
        <v>US$ mn</v>
      </c>
      <c r="H671" s="460"/>
      <c r="I671" s="460"/>
      <c r="J671" s="461"/>
      <c r="K671" s="460">
        <f ca="1" xml:space="preserve"> K666 + K667 + K668 - K670</f>
        <v>0</v>
      </c>
      <c r="L671" s="460">
        <f t="shared" ref="L671:AX671" ca="1" si="213" xml:space="preserve"> L666 + L667 + L668 - L670</f>
        <v>0</v>
      </c>
      <c r="M671" s="460">
        <f t="shared" ca="1" si="213"/>
        <v>0</v>
      </c>
      <c r="N671" s="460">
        <f t="shared" ca="1" si="213"/>
        <v>0</v>
      </c>
      <c r="O671" s="460">
        <f t="shared" ca="1" si="213"/>
        <v>0</v>
      </c>
      <c r="P671" s="460">
        <f t="shared" ca="1" si="213"/>
        <v>0</v>
      </c>
      <c r="Q671" s="460">
        <f t="shared" ca="1" si="213"/>
        <v>0</v>
      </c>
      <c r="R671" s="460">
        <f t="shared" ca="1" si="213"/>
        <v>0</v>
      </c>
      <c r="S671" s="460">
        <f t="shared" ca="1" si="213"/>
        <v>0</v>
      </c>
      <c r="T671" s="460">
        <f t="shared" ca="1" si="213"/>
        <v>0</v>
      </c>
      <c r="U671" s="460">
        <f t="shared" ca="1" si="213"/>
        <v>0</v>
      </c>
      <c r="V671" s="460">
        <f t="shared" ca="1" si="213"/>
        <v>0</v>
      </c>
      <c r="W671" s="460">
        <f t="shared" ca="1" si="213"/>
        <v>0</v>
      </c>
      <c r="X671" s="460">
        <f t="shared" ca="1" si="213"/>
        <v>0</v>
      </c>
      <c r="Y671" s="460">
        <f t="shared" ca="1" si="213"/>
        <v>0</v>
      </c>
      <c r="Z671" s="460">
        <f t="shared" ca="1" si="213"/>
        <v>0</v>
      </c>
      <c r="AA671" s="460">
        <f t="shared" ca="1" si="213"/>
        <v>0</v>
      </c>
      <c r="AB671" s="460">
        <f t="shared" ca="1" si="213"/>
        <v>0</v>
      </c>
      <c r="AC671" s="460">
        <f t="shared" ca="1" si="213"/>
        <v>0</v>
      </c>
      <c r="AD671" s="460">
        <f t="shared" ca="1" si="213"/>
        <v>0</v>
      </c>
      <c r="AE671" s="460">
        <f t="shared" ca="1" si="213"/>
        <v>0</v>
      </c>
      <c r="AF671" s="460">
        <f t="shared" ca="1" si="213"/>
        <v>0</v>
      </c>
      <c r="AG671" s="460">
        <f t="shared" ca="1" si="213"/>
        <v>0</v>
      </c>
      <c r="AH671" s="460">
        <f t="shared" ca="1" si="213"/>
        <v>0</v>
      </c>
      <c r="AI671" s="460">
        <f t="shared" ca="1" si="213"/>
        <v>0</v>
      </c>
      <c r="AJ671" s="460">
        <f t="shared" ca="1" si="213"/>
        <v>0</v>
      </c>
      <c r="AK671" s="460">
        <f t="shared" ca="1" si="213"/>
        <v>0</v>
      </c>
      <c r="AL671" s="460">
        <f t="shared" ca="1" si="213"/>
        <v>0</v>
      </c>
      <c r="AM671" s="460">
        <f t="shared" ca="1" si="213"/>
        <v>0</v>
      </c>
      <c r="AN671" s="460">
        <f t="shared" ca="1" si="213"/>
        <v>0</v>
      </c>
      <c r="AO671" s="460">
        <f t="shared" ca="1" si="213"/>
        <v>0</v>
      </c>
      <c r="AP671" s="460">
        <f t="shared" ca="1" si="213"/>
        <v>0</v>
      </c>
      <c r="AQ671" s="460">
        <f t="shared" ca="1" si="213"/>
        <v>0</v>
      </c>
      <c r="AR671" s="460">
        <f t="shared" ca="1" si="213"/>
        <v>0</v>
      </c>
      <c r="AS671" s="460">
        <f t="shared" ca="1" si="213"/>
        <v>0</v>
      </c>
      <c r="AT671" s="460">
        <f t="shared" ca="1" si="213"/>
        <v>0</v>
      </c>
      <c r="AU671" s="460">
        <f t="shared" ca="1" si="213"/>
        <v>0</v>
      </c>
      <c r="AV671" s="460">
        <f t="shared" ca="1" si="213"/>
        <v>0</v>
      </c>
      <c r="AW671" s="460">
        <f t="shared" ca="1" si="213"/>
        <v>0</v>
      </c>
      <c r="AX671" s="460">
        <f t="shared" ca="1" si="213"/>
        <v>0</v>
      </c>
    </row>
    <row r="672" spans="1:50" s="434" customFormat="1" ht="15" customHeight="1">
      <c r="A672" s="441"/>
      <c r="B672" s="509"/>
      <c r="C672" s="442"/>
      <c r="D672" s="443"/>
      <c r="E672" s="429"/>
      <c r="F672" s="429"/>
      <c r="G672" s="429"/>
      <c r="H672" s="429"/>
      <c r="I672" s="429"/>
      <c r="J672" s="429"/>
      <c r="K672" s="429"/>
      <c r="L672" s="429"/>
      <c r="M672" s="429"/>
      <c r="N672" s="429"/>
      <c r="O672" s="429"/>
      <c r="P672" s="429"/>
      <c r="Q672" s="429"/>
      <c r="R672" s="429"/>
      <c r="S672" s="429"/>
      <c r="T672" s="429"/>
      <c r="U672" s="429"/>
      <c r="V672" s="429"/>
      <c r="W672" s="429"/>
      <c r="X672" s="429"/>
      <c r="Y672" s="429"/>
      <c r="Z672" s="429"/>
      <c r="AA672" s="429"/>
      <c r="AB672" s="429"/>
      <c r="AC672" s="429"/>
      <c r="AD672" s="429"/>
      <c r="AE672" s="429"/>
      <c r="AF672" s="429"/>
      <c r="AG672" s="429"/>
      <c r="AH672" s="429"/>
      <c r="AI672" s="429"/>
      <c r="AJ672" s="429"/>
      <c r="AK672" s="429"/>
      <c r="AL672" s="429"/>
      <c r="AM672" s="429"/>
      <c r="AN672" s="429"/>
      <c r="AO672" s="429"/>
      <c r="AP672" s="429"/>
      <c r="AQ672" s="429"/>
      <c r="AR672" s="429"/>
      <c r="AS672" s="429"/>
      <c r="AT672" s="429"/>
      <c r="AU672" s="429"/>
      <c r="AV672" s="429"/>
      <c r="AW672" s="429"/>
      <c r="AX672" s="429"/>
    </row>
    <row r="673" spans="1:50" s="434" customFormat="1" ht="15" customHeight="1">
      <c r="A673" s="441"/>
      <c r="B673" s="509"/>
      <c r="C673" s="442" t="str">
        <f>Translate!$E$121</f>
        <v>Carried interest loan cashflows</v>
      </c>
      <c r="D673" s="443"/>
      <c r="E673" s="429"/>
      <c r="F673" s="429"/>
      <c r="G673" s="429"/>
      <c r="H673" s="429"/>
      <c r="I673" s="429"/>
      <c r="J673" s="429"/>
      <c r="K673" s="429"/>
      <c r="L673" s="429"/>
      <c r="M673" s="429"/>
      <c r="N673" s="429"/>
      <c r="O673" s="429"/>
      <c r="P673" s="429"/>
      <c r="Q673" s="429"/>
      <c r="R673" s="429"/>
      <c r="S673" s="429"/>
      <c r="T673" s="429"/>
      <c r="U673" s="429"/>
      <c r="V673" s="429"/>
      <c r="W673" s="429"/>
      <c r="X673" s="429"/>
      <c r="Y673" s="429"/>
      <c r="Z673" s="429"/>
      <c r="AA673" s="429"/>
      <c r="AB673" s="429"/>
      <c r="AC673" s="429"/>
      <c r="AD673" s="429"/>
      <c r="AE673" s="429"/>
      <c r="AF673" s="429"/>
      <c r="AG673" s="429"/>
      <c r="AH673" s="429"/>
      <c r="AI673" s="429"/>
      <c r="AJ673" s="429"/>
      <c r="AK673" s="429"/>
      <c r="AL673" s="429"/>
      <c r="AM673" s="429"/>
      <c r="AN673" s="429"/>
      <c r="AO673" s="429"/>
      <c r="AP673" s="429"/>
      <c r="AQ673" s="429"/>
      <c r="AR673" s="429"/>
      <c r="AS673" s="429"/>
      <c r="AT673" s="429"/>
      <c r="AU673" s="429"/>
      <c r="AV673" s="429"/>
      <c r="AW673" s="429"/>
      <c r="AX673" s="429"/>
    </row>
    <row r="674" spans="1:50" s="434" customFormat="1" ht="15" customHeight="1">
      <c r="A674" s="441"/>
      <c r="B674" s="509"/>
      <c r="C674" s="442"/>
      <c r="D674" s="443"/>
      <c r="E674" s="429" t="str">
        <f xml:space="preserve">  Translate!$E$121 &amp; ": " &amp; Translate!E$152</f>
        <v>Carried interest loan cashflows: State participation</v>
      </c>
      <c r="F674" s="429"/>
      <c r="G674" s="429" t="str">
        <f xml:space="preserve"> Translate!E$10</f>
        <v>US$ mn</v>
      </c>
      <c r="H674" s="429"/>
      <c r="I674" s="429">
        <f ca="1" xml:space="preserve"> SUM(K674:AX674)</f>
        <v>0</v>
      </c>
      <c r="J674" s="429"/>
      <c r="K674" s="429">
        <f t="shared" ref="K674:AX674" ca="1" si="214" xml:space="preserve"> K667 - K670</f>
        <v>0</v>
      </c>
      <c r="L674" s="429">
        <f t="shared" ca="1" si="214"/>
        <v>0</v>
      </c>
      <c r="M674" s="429">
        <f t="shared" ca="1" si="214"/>
        <v>0</v>
      </c>
      <c r="N674" s="429">
        <f t="shared" ca="1" si="214"/>
        <v>0</v>
      </c>
      <c r="O674" s="429">
        <f t="shared" ca="1" si="214"/>
        <v>0</v>
      </c>
      <c r="P674" s="429">
        <f t="shared" ca="1" si="214"/>
        <v>0</v>
      </c>
      <c r="Q674" s="429">
        <f t="shared" ca="1" si="214"/>
        <v>0</v>
      </c>
      <c r="R674" s="429">
        <f t="shared" ca="1" si="214"/>
        <v>0</v>
      </c>
      <c r="S674" s="429">
        <f t="shared" ca="1" si="214"/>
        <v>0</v>
      </c>
      <c r="T674" s="429">
        <f t="shared" ca="1" si="214"/>
        <v>0</v>
      </c>
      <c r="U674" s="429">
        <f t="shared" ca="1" si="214"/>
        <v>0</v>
      </c>
      <c r="V674" s="429">
        <f t="shared" ca="1" si="214"/>
        <v>0</v>
      </c>
      <c r="W674" s="429">
        <f t="shared" ca="1" si="214"/>
        <v>0</v>
      </c>
      <c r="X674" s="429">
        <f t="shared" ca="1" si="214"/>
        <v>0</v>
      </c>
      <c r="Y674" s="429">
        <f t="shared" ca="1" si="214"/>
        <v>0</v>
      </c>
      <c r="Z674" s="429">
        <f t="shared" ca="1" si="214"/>
        <v>0</v>
      </c>
      <c r="AA674" s="429">
        <f t="shared" ca="1" si="214"/>
        <v>0</v>
      </c>
      <c r="AB674" s="429">
        <f t="shared" ca="1" si="214"/>
        <v>0</v>
      </c>
      <c r="AC674" s="429">
        <f t="shared" ca="1" si="214"/>
        <v>0</v>
      </c>
      <c r="AD674" s="429">
        <f t="shared" ca="1" si="214"/>
        <v>0</v>
      </c>
      <c r="AE674" s="429">
        <f t="shared" ca="1" si="214"/>
        <v>0</v>
      </c>
      <c r="AF674" s="429">
        <f t="shared" ca="1" si="214"/>
        <v>0</v>
      </c>
      <c r="AG674" s="429">
        <f t="shared" ca="1" si="214"/>
        <v>0</v>
      </c>
      <c r="AH674" s="429">
        <f t="shared" ca="1" si="214"/>
        <v>0</v>
      </c>
      <c r="AI674" s="429">
        <f t="shared" ca="1" si="214"/>
        <v>0</v>
      </c>
      <c r="AJ674" s="429">
        <f t="shared" ca="1" si="214"/>
        <v>0</v>
      </c>
      <c r="AK674" s="429">
        <f t="shared" ca="1" si="214"/>
        <v>0</v>
      </c>
      <c r="AL674" s="429">
        <f t="shared" ca="1" si="214"/>
        <v>0</v>
      </c>
      <c r="AM674" s="429">
        <f t="shared" ca="1" si="214"/>
        <v>0</v>
      </c>
      <c r="AN674" s="429">
        <f t="shared" ca="1" si="214"/>
        <v>0</v>
      </c>
      <c r="AO674" s="429">
        <f t="shared" ca="1" si="214"/>
        <v>0</v>
      </c>
      <c r="AP674" s="429">
        <f t="shared" ca="1" si="214"/>
        <v>0</v>
      </c>
      <c r="AQ674" s="429">
        <f t="shared" ca="1" si="214"/>
        <v>0</v>
      </c>
      <c r="AR674" s="429">
        <f t="shared" ca="1" si="214"/>
        <v>0</v>
      </c>
      <c r="AS674" s="429">
        <f t="shared" ca="1" si="214"/>
        <v>0</v>
      </c>
      <c r="AT674" s="429">
        <f t="shared" ca="1" si="214"/>
        <v>0</v>
      </c>
      <c r="AU674" s="429">
        <f t="shared" ca="1" si="214"/>
        <v>0</v>
      </c>
      <c r="AV674" s="429">
        <f t="shared" ca="1" si="214"/>
        <v>0</v>
      </c>
      <c r="AW674" s="429">
        <f t="shared" ca="1" si="214"/>
        <v>0</v>
      </c>
      <c r="AX674" s="429">
        <f t="shared" ca="1" si="214"/>
        <v>0</v>
      </c>
    </row>
    <row r="675" spans="1:50" s="434" customFormat="1" ht="15" customHeight="1">
      <c r="A675" s="441"/>
      <c r="B675" s="509"/>
      <c r="C675" s="442"/>
      <c r="D675" s="443"/>
      <c r="E675" s="429"/>
      <c r="F675" s="429"/>
      <c r="G675" s="429"/>
      <c r="H675" s="429"/>
      <c r="I675" s="429"/>
      <c r="J675" s="429"/>
      <c r="K675" s="429"/>
      <c r="L675" s="429"/>
      <c r="M675" s="429"/>
      <c r="N675" s="429"/>
      <c r="O675" s="429"/>
      <c r="P675" s="429"/>
      <c r="Q675" s="429"/>
      <c r="R675" s="429"/>
      <c r="S675" s="429"/>
      <c r="T675" s="429"/>
      <c r="U675" s="429"/>
      <c r="V675" s="429"/>
      <c r="W675" s="429"/>
      <c r="X675" s="429"/>
      <c r="Y675" s="429"/>
      <c r="Z675" s="429"/>
      <c r="AA675" s="429"/>
      <c r="AB675" s="429"/>
      <c r="AC675" s="429"/>
      <c r="AD675" s="429"/>
      <c r="AE675" s="429"/>
      <c r="AF675" s="429"/>
      <c r="AG675" s="429"/>
      <c r="AH675" s="429"/>
      <c r="AI675" s="429"/>
      <c r="AJ675" s="429"/>
      <c r="AK675" s="429"/>
      <c r="AL675" s="429"/>
      <c r="AM675" s="429"/>
      <c r="AN675" s="429"/>
      <c r="AO675" s="429"/>
      <c r="AP675" s="429"/>
      <c r="AQ675" s="429"/>
      <c r="AR675" s="429"/>
      <c r="AS675" s="429"/>
      <c r="AT675" s="429"/>
      <c r="AU675" s="429"/>
      <c r="AV675" s="429"/>
      <c r="AW675" s="429"/>
      <c r="AX675" s="429"/>
    </row>
    <row r="676" spans="1:50" s="434" customFormat="1" ht="15" customHeight="1">
      <c r="A676" s="441"/>
      <c r="B676" s="509"/>
      <c r="C676" s="430" t="str">
        <f xml:space="preserve"> Translate!$E$444 &amp; ": " &amp;Translate!$E$122</f>
        <v>Check: Carried interest loan</v>
      </c>
      <c r="D676" s="443"/>
      <c r="E676" s="429"/>
      <c r="F676" s="429"/>
      <c r="G676" s="429"/>
      <c r="H676" s="429"/>
      <c r="I676" s="429"/>
      <c r="J676" s="429"/>
      <c r="K676" s="429"/>
      <c r="L676" s="429"/>
      <c r="M676" s="429"/>
      <c r="N676" s="429"/>
      <c r="O676" s="429"/>
      <c r="P676" s="429"/>
      <c r="Q676" s="429"/>
      <c r="R676" s="429"/>
      <c r="S676" s="429"/>
      <c r="T676" s="429"/>
      <c r="U676" s="429"/>
      <c r="V676" s="429"/>
      <c r="W676" s="429"/>
      <c r="X676" s="429"/>
      <c r="Y676" s="429"/>
      <c r="Z676" s="429"/>
      <c r="AA676" s="429"/>
      <c r="AB676" s="429"/>
      <c r="AC676" s="429"/>
      <c r="AD676" s="429"/>
      <c r="AE676" s="429"/>
      <c r="AF676" s="429"/>
      <c r="AG676" s="429"/>
      <c r="AH676" s="429"/>
      <c r="AI676" s="429"/>
      <c r="AJ676" s="429"/>
      <c r="AK676" s="429"/>
      <c r="AL676" s="429"/>
      <c r="AM676" s="429"/>
      <c r="AN676" s="429"/>
      <c r="AO676" s="429"/>
      <c r="AP676" s="429"/>
      <c r="AQ676" s="429"/>
      <c r="AR676" s="429"/>
      <c r="AS676" s="429"/>
      <c r="AT676" s="429"/>
      <c r="AU676" s="429"/>
      <c r="AV676" s="429"/>
      <c r="AW676" s="429"/>
      <c r="AX676" s="429"/>
    </row>
    <row r="677" spans="1:50" s="434" customFormat="1" ht="15" customHeight="1">
      <c r="A677" s="441"/>
      <c r="B677" s="509"/>
      <c r="C677" s="442"/>
      <c r="D677" s="443"/>
      <c r="E677" s="429" t="str">
        <f xml:space="preserve"> E667 &amp; ", " &amp; Translate!$E$19</f>
        <v>Carried interest loan: Drawdowns (mid period): Positive, Total</v>
      </c>
      <c r="F677" s="429">
        <f ca="1" xml:space="preserve"> SUM(K667:AX667)</f>
        <v>0</v>
      </c>
      <c r="G677" s="429" t="str">
        <f xml:space="preserve"> G667</f>
        <v>US$ mn</v>
      </c>
      <c r="H677" s="429"/>
      <c r="I677" s="429"/>
      <c r="J677" s="429"/>
      <c r="K677" s="429"/>
      <c r="L677" s="429"/>
      <c r="M677" s="429"/>
      <c r="N677" s="429"/>
      <c r="O677" s="429"/>
      <c r="P677" s="429"/>
      <c r="Q677" s="429"/>
      <c r="R677" s="429"/>
      <c r="S677" s="429"/>
      <c r="T677" s="429"/>
      <c r="U677" s="429"/>
      <c r="V677" s="429"/>
      <c r="W677" s="429"/>
      <c r="X677" s="429"/>
      <c r="Y677" s="429"/>
      <c r="Z677" s="429"/>
      <c r="AA677" s="429"/>
      <c r="AB677" s="429"/>
      <c r="AC677" s="429"/>
      <c r="AD677" s="429"/>
      <c r="AE677" s="429"/>
      <c r="AF677" s="429"/>
      <c r="AG677" s="429"/>
      <c r="AH677" s="429"/>
      <c r="AI677" s="429"/>
      <c r="AJ677" s="429"/>
      <c r="AK677" s="429"/>
      <c r="AL677" s="429"/>
      <c r="AM677" s="429"/>
      <c r="AN677" s="429"/>
      <c r="AO677" s="429"/>
      <c r="AP677" s="429"/>
      <c r="AQ677" s="429"/>
      <c r="AR677" s="429"/>
      <c r="AS677" s="429"/>
      <c r="AT677" s="429"/>
      <c r="AU677" s="429"/>
      <c r="AV677" s="429"/>
      <c r="AW677" s="429"/>
      <c r="AX677" s="429"/>
    </row>
    <row r="678" spans="1:50" s="434" customFormat="1" ht="15" customHeight="1">
      <c r="A678" s="441"/>
      <c r="B678" s="509"/>
      <c r="C678" s="442"/>
      <c r="D678" s="443"/>
      <c r="E678" s="429" t="str">
        <f xml:space="preserve"> E668 &amp; ", " &amp; Translate!$E$19</f>
        <v>Carried interest loan: Interest charge, Total</v>
      </c>
      <c r="F678" s="429">
        <f ca="1" xml:space="preserve"> SUM(K668:AX668)</f>
        <v>0</v>
      </c>
      <c r="G678" s="429" t="str">
        <f xml:space="preserve"> G668</f>
        <v>US$ mn</v>
      </c>
      <c r="H678" s="429"/>
      <c r="I678" s="429"/>
      <c r="J678" s="429"/>
      <c r="K678" s="429"/>
      <c r="L678" s="429"/>
      <c r="M678" s="429"/>
      <c r="N678" s="429"/>
      <c r="O678" s="429"/>
      <c r="P678" s="429"/>
      <c r="Q678" s="429"/>
      <c r="R678" s="429"/>
      <c r="S678" s="429"/>
      <c r="T678" s="429"/>
      <c r="U678" s="429"/>
      <c r="V678" s="429"/>
      <c r="W678" s="429"/>
      <c r="X678" s="429"/>
      <c r="Y678" s="429"/>
      <c r="Z678" s="429"/>
      <c r="AA678" s="429"/>
      <c r="AB678" s="429"/>
      <c r="AC678" s="429"/>
      <c r="AD678" s="429"/>
      <c r="AE678" s="429"/>
      <c r="AF678" s="429"/>
      <c r="AG678" s="429"/>
      <c r="AH678" s="429"/>
      <c r="AI678" s="429"/>
      <c r="AJ678" s="429"/>
      <c r="AK678" s="429"/>
      <c r="AL678" s="429"/>
      <c r="AM678" s="429"/>
      <c r="AN678" s="429"/>
      <c r="AO678" s="429"/>
      <c r="AP678" s="429"/>
      <c r="AQ678" s="429"/>
      <c r="AR678" s="429"/>
      <c r="AS678" s="429"/>
      <c r="AT678" s="429"/>
      <c r="AU678" s="429"/>
      <c r="AV678" s="429"/>
      <c r="AW678" s="429"/>
      <c r="AX678" s="429"/>
    </row>
    <row r="679" spans="1:50" s="434" customFormat="1" ht="15" customHeight="1">
      <c r="A679" s="441"/>
      <c r="B679" s="509"/>
      <c r="C679" s="442"/>
      <c r="D679" s="443"/>
      <c r="E679" s="429" t="str">
        <f xml:space="preserve"> E670 &amp; ", " &amp; Translate!$E$19</f>
        <v>Carried interest loan: Repayment (end of period), Total</v>
      </c>
      <c r="F679" s="429">
        <f ca="1" xml:space="preserve"> SUM(K670:AX670)</f>
        <v>0</v>
      </c>
      <c r="G679" s="429" t="str">
        <f xml:space="preserve"> G670</f>
        <v>US$ mn</v>
      </c>
      <c r="H679" s="429"/>
      <c r="I679" s="429"/>
      <c r="J679" s="429"/>
      <c r="K679" s="429"/>
      <c r="L679" s="429"/>
      <c r="M679" s="429"/>
      <c r="N679" s="429"/>
      <c r="O679" s="429"/>
      <c r="P679" s="429"/>
      <c r="Q679" s="429"/>
      <c r="R679" s="429"/>
      <c r="S679" s="429"/>
      <c r="T679" s="429"/>
      <c r="U679" s="429"/>
      <c r="V679" s="429"/>
      <c r="W679" s="429"/>
      <c r="X679" s="429"/>
      <c r="Y679" s="429"/>
      <c r="Z679" s="429"/>
      <c r="AA679" s="429"/>
      <c r="AB679" s="429"/>
      <c r="AC679" s="429"/>
      <c r="AD679" s="429"/>
      <c r="AE679" s="429"/>
      <c r="AF679" s="429"/>
      <c r="AG679" s="429"/>
      <c r="AH679" s="429"/>
      <c r="AI679" s="429"/>
      <c r="AJ679" s="429"/>
      <c r="AK679" s="429"/>
      <c r="AL679" s="429"/>
      <c r="AM679" s="429"/>
      <c r="AN679" s="429"/>
      <c r="AO679" s="429"/>
      <c r="AP679" s="429"/>
      <c r="AQ679" s="429"/>
      <c r="AR679" s="429"/>
      <c r="AS679" s="429"/>
      <c r="AT679" s="429"/>
      <c r="AU679" s="429"/>
      <c r="AV679" s="429"/>
      <c r="AW679" s="429"/>
      <c r="AX679" s="429"/>
    </row>
    <row r="680" spans="1:50" s="434" customFormat="1" ht="15" customHeight="1">
      <c r="A680" s="441"/>
      <c r="B680" s="509"/>
      <c r="C680" s="442"/>
      <c r="D680" s="443"/>
      <c r="E680" s="429" t="str">
        <f xml:space="preserve">  Translate!$E$122 &amp; ": " &amp; Translate!$E$268</f>
        <v>Carried interest loan: Closing balance</v>
      </c>
      <c r="F680" s="429">
        <f ca="1" xml:space="preserve"> AX671</f>
        <v>0</v>
      </c>
      <c r="G680" s="429" t="str">
        <f xml:space="preserve"> G671</f>
        <v>US$ mn</v>
      </c>
      <c r="H680" s="429"/>
      <c r="I680" s="429"/>
      <c r="J680" s="429"/>
      <c r="K680" s="429"/>
      <c r="L680" s="429"/>
      <c r="M680" s="429"/>
      <c r="N680" s="429"/>
      <c r="O680" s="429"/>
      <c r="P680" s="429"/>
      <c r="Q680" s="429"/>
      <c r="R680" s="429"/>
      <c r="S680" s="429"/>
      <c r="T680" s="429"/>
      <c r="U680" s="429"/>
      <c r="V680" s="429"/>
      <c r="W680" s="429"/>
      <c r="X680" s="429"/>
      <c r="Y680" s="429"/>
      <c r="Z680" s="429"/>
      <c r="AA680" s="429"/>
      <c r="AB680" s="429"/>
      <c r="AC680" s="429"/>
      <c r="AD680" s="429"/>
      <c r="AE680" s="429"/>
      <c r="AF680" s="429"/>
      <c r="AG680" s="429"/>
      <c r="AH680" s="429"/>
      <c r="AI680" s="429"/>
      <c r="AJ680" s="429"/>
      <c r="AK680" s="429"/>
      <c r="AL680" s="429"/>
      <c r="AM680" s="429"/>
      <c r="AN680" s="429"/>
      <c r="AO680" s="429"/>
      <c r="AP680" s="429"/>
      <c r="AQ680" s="429"/>
      <c r="AR680" s="429"/>
      <c r="AS680" s="429"/>
      <c r="AT680" s="429"/>
      <c r="AU680" s="429"/>
      <c r="AV680" s="429"/>
      <c r="AW680" s="429"/>
      <c r="AX680" s="429"/>
    </row>
    <row r="681" spans="1:50" s="434" customFormat="1" ht="15" customHeight="1">
      <c r="A681" s="441"/>
      <c r="B681" s="509"/>
      <c r="C681" s="442"/>
      <c r="D681" s="443"/>
      <c r="E681" s="429" t="str">
        <f xml:space="preserve"> Translate!$E$444 &amp; ": " &amp; Translate!$E$121</f>
        <v>Check: Carried interest loan cashflows</v>
      </c>
      <c r="F681" s="128">
        <f ca="1" xml:space="preserve"> IF( ABS( F677 + F678 - F679 - F680) &gt; CHK_TOL, 1, 0)</f>
        <v>0</v>
      </c>
      <c r="G681" s="429" t="str">
        <f xml:space="preserve"> Translate!E$444</f>
        <v>Check</v>
      </c>
      <c r="H681" s="429"/>
      <c r="I681" s="429"/>
      <c r="J681" s="429"/>
      <c r="K681" s="429"/>
      <c r="L681" s="429"/>
      <c r="M681" s="429"/>
      <c r="N681" s="429"/>
      <c r="O681" s="429"/>
      <c r="P681" s="429"/>
      <c r="Q681" s="429"/>
      <c r="R681" s="429"/>
      <c r="S681" s="429"/>
      <c r="T681" s="429"/>
      <c r="U681" s="429"/>
      <c r="V681" s="429"/>
      <c r="W681" s="429"/>
      <c r="X681" s="429"/>
      <c r="Y681" s="429"/>
      <c r="Z681" s="429"/>
      <c r="AA681" s="429"/>
      <c r="AB681" s="429"/>
      <c r="AC681" s="429"/>
      <c r="AD681" s="429"/>
      <c r="AE681" s="429"/>
      <c r="AF681" s="429"/>
      <c r="AG681" s="429"/>
      <c r="AH681" s="429"/>
      <c r="AI681" s="429"/>
      <c r="AJ681" s="429"/>
      <c r="AK681" s="429"/>
      <c r="AL681" s="429"/>
      <c r="AM681" s="429"/>
      <c r="AN681" s="429"/>
      <c r="AO681" s="429"/>
      <c r="AP681" s="429"/>
      <c r="AQ681" s="429"/>
      <c r="AR681" s="429"/>
      <c r="AS681" s="429"/>
      <c r="AT681" s="429"/>
      <c r="AU681" s="429"/>
      <c r="AV681" s="429"/>
      <c r="AW681" s="429"/>
      <c r="AX681" s="429"/>
    </row>
    <row r="682" spans="1:50" s="434" customFormat="1" ht="15" customHeight="1">
      <c r="A682" s="441"/>
      <c r="B682" s="509"/>
      <c r="C682" s="442"/>
      <c r="D682" s="443"/>
      <c r="E682" s="429"/>
      <c r="F682" s="429"/>
      <c r="G682" s="429"/>
      <c r="H682" s="429"/>
      <c r="I682" s="429"/>
      <c r="J682" s="429"/>
      <c r="K682" s="429"/>
      <c r="L682" s="429"/>
      <c r="M682" s="429"/>
      <c r="N682" s="429"/>
      <c r="O682" s="429"/>
      <c r="P682" s="429"/>
      <c r="Q682" s="429"/>
      <c r="R682" s="429"/>
      <c r="S682" s="429"/>
      <c r="T682" s="429"/>
      <c r="U682" s="429"/>
      <c r="V682" s="429"/>
      <c r="W682" s="429"/>
      <c r="X682" s="429"/>
      <c r="Y682" s="429"/>
      <c r="Z682" s="429"/>
      <c r="AA682" s="429"/>
      <c r="AB682" s="429"/>
      <c r="AC682" s="429"/>
      <c r="AD682" s="429"/>
      <c r="AE682" s="429"/>
      <c r="AF682" s="429"/>
      <c r="AG682" s="429"/>
      <c r="AH682" s="429"/>
      <c r="AI682" s="429"/>
      <c r="AJ682" s="429"/>
      <c r="AK682" s="429"/>
      <c r="AL682" s="429"/>
      <c r="AM682" s="429"/>
      <c r="AN682" s="429"/>
      <c r="AO682" s="429"/>
      <c r="AP682" s="429"/>
      <c r="AQ682" s="429"/>
      <c r="AR682" s="429"/>
      <c r="AS682" s="429"/>
      <c r="AT682" s="429"/>
      <c r="AU682" s="429"/>
      <c r="AV682" s="429"/>
      <c r="AW682" s="429"/>
      <c r="AX682" s="429"/>
    </row>
    <row r="683" spans="1:50" s="434" customFormat="1" ht="15" customHeight="1">
      <c r="A683" s="441"/>
      <c r="B683" s="701" t="str">
        <f>Translate!$E$100</f>
        <v>State participation cashflows after carried interest financing</v>
      </c>
      <c r="C683" s="442"/>
      <c r="D683" s="443"/>
      <c r="E683" s="429"/>
      <c r="F683" s="429"/>
      <c r="G683" s="429"/>
      <c r="H683" s="429"/>
      <c r="I683" s="429"/>
      <c r="J683" s="429"/>
      <c r="K683" s="429"/>
      <c r="L683" s="429"/>
      <c r="M683" s="429"/>
      <c r="N683" s="429"/>
      <c r="O683" s="429"/>
      <c r="P683" s="429"/>
      <c r="Q683" s="429"/>
      <c r="R683" s="429"/>
      <c r="S683" s="429"/>
      <c r="T683" s="429"/>
      <c r="U683" s="429"/>
      <c r="V683" s="429"/>
      <c r="W683" s="429"/>
      <c r="X683" s="429"/>
      <c r="Y683" s="429"/>
      <c r="Z683" s="429"/>
      <c r="AA683" s="429"/>
      <c r="AB683" s="429"/>
      <c r="AC683" s="429"/>
      <c r="AD683" s="429"/>
      <c r="AE683" s="429"/>
      <c r="AF683" s="429"/>
      <c r="AG683" s="429"/>
      <c r="AH683" s="429"/>
      <c r="AI683" s="429"/>
      <c r="AJ683" s="429"/>
      <c r="AK683" s="429"/>
      <c r="AL683" s="429"/>
      <c r="AM683" s="429"/>
      <c r="AN683" s="429"/>
      <c r="AO683" s="429"/>
      <c r="AP683" s="429"/>
      <c r="AQ683" s="429"/>
      <c r="AR683" s="429"/>
      <c r="AS683" s="429"/>
      <c r="AT683" s="429"/>
      <c r="AU683" s="429"/>
      <c r="AV683" s="429"/>
      <c r="AW683" s="429"/>
      <c r="AX683" s="429"/>
    </row>
    <row r="684" spans="1:50" ht="15" customHeight="1">
      <c r="A684" s="397"/>
      <c r="B684" s="508"/>
      <c r="C684" s="372"/>
      <c r="D684" s="1102"/>
      <c r="E684" s="1024" t="str">
        <f t="shared" ref="E684:AX684" si="215" xml:space="preserve"> E$633</f>
        <v>State participation share of equity contributions: met by state</v>
      </c>
      <c r="F684" s="1024">
        <f t="shared" si="215"/>
        <v>0</v>
      </c>
      <c r="G684" s="1024" t="str">
        <f t="shared" si="215"/>
        <v>US$ mn</v>
      </c>
      <c r="H684" s="1024">
        <f t="shared" si="215"/>
        <v>0</v>
      </c>
      <c r="I684" s="1024">
        <f t="shared" ca="1" si="215"/>
        <v>0</v>
      </c>
      <c r="J684" s="1024">
        <f t="shared" si="215"/>
        <v>0</v>
      </c>
      <c r="K684" s="1024">
        <f t="shared" ca="1" si="215"/>
        <v>0</v>
      </c>
      <c r="L684" s="1024">
        <f t="shared" ca="1" si="215"/>
        <v>0</v>
      </c>
      <c r="M684" s="1024">
        <f t="shared" ca="1" si="215"/>
        <v>0</v>
      </c>
      <c r="N684" s="1024">
        <f t="shared" ca="1" si="215"/>
        <v>0</v>
      </c>
      <c r="O684" s="1024">
        <f t="shared" ca="1" si="215"/>
        <v>0</v>
      </c>
      <c r="P684" s="1024">
        <f t="shared" ca="1" si="215"/>
        <v>0</v>
      </c>
      <c r="Q684" s="1024">
        <f t="shared" ca="1" si="215"/>
        <v>0</v>
      </c>
      <c r="R684" s="1024">
        <f t="shared" ca="1" si="215"/>
        <v>0</v>
      </c>
      <c r="S684" s="1024">
        <f t="shared" ca="1" si="215"/>
        <v>0</v>
      </c>
      <c r="T684" s="1024">
        <f t="shared" ca="1" si="215"/>
        <v>0</v>
      </c>
      <c r="U684" s="1024">
        <f t="shared" ca="1" si="215"/>
        <v>0</v>
      </c>
      <c r="V684" s="1024">
        <f t="shared" ca="1" si="215"/>
        <v>0</v>
      </c>
      <c r="W684" s="1024">
        <f t="shared" ca="1" si="215"/>
        <v>0</v>
      </c>
      <c r="X684" s="1024">
        <f t="shared" ca="1" si="215"/>
        <v>0</v>
      </c>
      <c r="Y684" s="1024">
        <f t="shared" ca="1" si="215"/>
        <v>0</v>
      </c>
      <c r="Z684" s="1024">
        <f t="shared" ca="1" si="215"/>
        <v>0</v>
      </c>
      <c r="AA684" s="1024">
        <f t="shared" ca="1" si="215"/>
        <v>0</v>
      </c>
      <c r="AB684" s="1024">
        <f t="shared" ca="1" si="215"/>
        <v>0</v>
      </c>
      <c r="AC684" s="1024">
        <f t="shared" ca="1" si="215"/>
        <v>0</v>
      </c>
      <c r="AD684" s="1024">
        <f t="shared" ca="1" si="215"/>
        <v>0</v>
      </c>
      <c r="AE684" s="1024">
        <f t="shared" ca="1" si="215"/>
        <v>0</v>
      </c>
      <c r="AF684" s="1024">
        <f t="shared" ca="1" si="215"/>
        <v>0</v>
      </c>
      <c r="AG684" s="1024">
        <f t="shared" ca="1" si="215"/>
        <v>0</v>
      </c>
      <c r="AH684" s="1024">
        <f t="shared" ca="1" si="215"/>
        <v>0</v>
      </c>
      <c r="AI684" s="1024">
        <f t="shared" ca="1" si="215"/>
        <v>0</v>
      </c>
      <c r="AJ684" s="1024">
        <f t="shared" ca="1" si="215"/>
        <v>0</v>
      </c>
      <c r="AK684" s="1024">
        <f t="shared" ca="1" si="215"/>
        <v>0</v>
      </c>
      <c r="AL684" s="1024">
        <f t="shared" ca="1" si="215"/>
        <v>0</v>
      </c>
      <c r="AM684" s="1024">
        <f t="shared" ca="1" si="215"/>
        <v>0</v>
      </c>
      <c r="AN684" s="1024">
        <f t="shared" ca="1" si="215"/>
        <v>0</v>
      </c>
      <c r="AO684" s="1024">
        <f t="shared" ca="1" si="215"/>
        <v>0</v>
      </c>
      <c r="AP684" s="1024">
        <f t="shared" ca="1" si="215"/>
        <v>0</v>
      </c>
      <c r="AQ684" s="1024">
        <f t="shared" ca="1" si="215"/>
        <v>0</v>
      </c>
      <c r="AR684" s="1024">
        <f t="shared" ca="1" si="215"/>
        <v>0</v>
      </c>
      <c r="AS684" s="1024">
        <f t="shared" ca="1" si="215"/>
        <v>0</v>
      </c>
      <c r="AT684" s="1024">
        <f t="shared" ca="1" si="215"/>
        <v>0</v>
      </c>
      <c r="AU684" s="1024">
        <f t="shared" ca="1" si="215"/>
        <v>0</v>
      </c>
      <c r="AV684" s="1024">
        <f t="shared" ca="1" si="215"/>
        <v>0</v>
      </c>
      <c r="AW684" s="1024">
        <f t="shared" ca="1" si="215"/>
        <v>0</v>
      </c>
      <c r="AX684" s="1024">
        <f t="shared" ca="1" si="215"/>
        <v>0</v>
      </c>
    </row>
    <row r="685" spans="1:50" ht="15" customHeight="1">
      <c r="A685" s="397"/>
      <c r="B685" s="508"/>
      <c r="C685" s="372"/>
      <c r="D685" s="1102"/>
      <c r="E685" s="1024" t="str">
        <f t="shared" ref="E685:AX685" si="216" xml:space="preserve"> E$640</f>
        <v>State participation share of distributions</v>
      </c>
      <c r="F685" s="1024">
        <f t="shared" si="216"/>
        <v>0</v>
      </c>
      <c r="G685" s="1024" t="str">
        <f t="shared" si="216"/>
        <v>US$ mn</v>
      </c>
      <c r="H685" s="1024">
        <f t="shared" si="216"/>
        <v>0</v>
      </c>
      <c r="I685" s="1024">
        <f t="shared" ca="1" si="216"/>
        <v>0</v>
      </c>
      <c r="J685" s="1024">
        <f t="shared" si="216"/>
        <v>0</v>
      </c>
      <c r="K685" s="1024">
        <f t="shared" ca="1" si="216"/>
        <v>0</v>
      </c>
      <c r="L685" s="1024">
        <f t="shared" ca="1" si="216"/>
        <v>0</v>
      </c>
      <c r="M685" s="1024">
        <f t="shared" ca="1" si="216"/>
        <v>0</v>
      </c>
      <c r="N685" s="1024">
        <f t="shared" ca="1" si="216"/>
        <v>0</v>
      </c>
      <c r="O685" s="1024">
        <f t="shared" ca="1" si="216"/>
        <v>0</v>
      </c>
      <c r="P685" s="1024">
        <f t="shared" ca="1" si="216"/>
        <v>0</v>
      </c>
      <c r="Q685" s="1024">
        <f t="shared" ca="1" si="216"/>
        <v>0</v>
      </c>
      <c r="R685" s="1024">
        <f t="shared" ca="1" si="216"/>
        <v>0</v>
      </c>
      <c r="S685" s="1024">
        <f t="shared" ca="1" si="216"/>
        <v>0</v>
      </c>
      <c r="T685" s="1024">
        <f t="shared" ca="1" si="216"/>
        <v>0</v>
      </c>
      <c r="U685" s="1024">
        <f t="shared" ca="1" si="216"/>
        <v>0</v>
      </c>
      <c r="V685" s="1024">
        <f t="shared" ca="1" si="216"/>
        <v>0</v>
      </c>
      <c r="W685" s="1024">
        <f t="shared" ca="1" si="216"/>
        <v>0</v>
      </c>
      <c r="X685" s="1024">
        <f t="shared" ca="1" si="216"/>
        <v>0</v>
      </c>
      <c r="Y685" s="1024">
        <f t="shared" ca="1" si="216"/>
        <v>0</v>
      </c>
      <c r="Z685" s="1024">
        <f t="shared" ca="1" si="216"/>
        <v>0</v>
      </c>
      <c r="AA685" s="1024">
        <f t="shared" ca="1" si="216"/>
        <v>0</v>
      </c>
      <c r="AB685" s="1024">
        <f t="shared" ca="1" si="216"/>
        <v>0</v>
      </c>
      <c r="AC685" s="1024">
        <f t="shared" ca="1" si="216"/>
        <v>0</v>
      </c>
      <c r="AD685" s="1024">
        <f t="shared" ca="1" si="216"/>
        <v>0</v>
      </c>
      <c r="AE685" s="1024">
        <f t="shared" ca="1" si="216"/>
        <v>0</v>
      </c>
      <c r="AF685" s="1024">
        <f t="shared" ca="1" si="216"/>
        <v>0</v>
      </c>
      <c r="AG685" s="1024">
        <f t="shared" ca="1" si="216"/>
        <v>0</v>
      </c>
      <c r="AH685" s="1024">
        <f t="shared" ca="1" si="216"/>
        <v>0</v>
      </c>
      <c r="AI685" s="1024">
        <f t="shared" ca="1" si="216"/>
        <v>0</v>
      </c>
      <c r="AJ685" s="1024">
        <f t="shared" ca="1" si="216"/>
        <v>0</v>
      </c>
      <c r="AK685" s="1024">
        <f t="shared" ca="1" si="216"/>
        <v>0</v>
      </c>
      <c r="AL685" s="1024">
        <f t="shared" ca="1" si="216"/>
        <v>0</v>
      </c>
      <c r="AM685" s="1024">
        <f t="shared" ca="1" si="216"/>
        <v>0</v>
      </c>
      <c r="AN685" s="1024">
        <f t="shared" ca="1" si="216"/>
        <v>0</v>
      </c>
      <c r="AO685" s="1024">
        <f t="shared" ca="1" si="216"/>
        <v>0</v>
      </c>
      <c r="AP685" s="1024">
        <f t="shared" ca="1" si="216"/>
        <v>0</v>
      </c>
      <c r="AQ685" s="1024">
        <f t="shared" ca="1" si="216"/>
        <v>0</v>
      </c>
      <c r="AR685" s="1024">
        <f t="shared" ca="1" si="216"/>
        <v>0</v>
      </c>
      <c r="AS685" s="1024">
        <f t="shared" ca="1" si="216"/>
        <v>0</v>
      </c>
      <c r="AT685" s="1024">
        <f t="shared" ca="1" si="216"/>
        <v>0</v>
      </c>
      <c r="AU685" s="1024">
        <f t="shared" ca="1" si="216"/>
        <v>0</v>
      </c>
      <c r="AV685" s="1024">
        <f t="shared" ca="1" si="216"/>
        <v>0</v>
      </c>
      <c r="AW685" s="1024">
        <f t="shared" ca="1" si="216"/>
        <v>0</v>
      </c>
      <c r="AX685" s="1024">
        <f t="shared" ca="1" si="216"/>
        <v>0</v>
      </c>
    </row>
    <row r="686" spans="1:50" ht="15" customHeight="1">
      <c r="A686" s="397"/>
      <c r="B686" s="508"/>
      <c r="C686" s="372"/>
      <c r="D686" s="1102"/>
      <c r="E686" s="1024" t="str">
        <f t="shared" ref="E686:AX686" si="217" xml:space="preserve"> E$674</f>
        <v>Carried interest loan cashflows: State participation</v>
      </c>
      <c r="F686" s="1024">
        <f t="shared" si="217"/>
        <v>0</v>
      </c>
      <c r="G686" s="1024" t="str">
        <f t="shared" si="217"/>
        <v>US$ mn</v>
      </c>
      <c r="H686" s="1024">
        <f t="shared" si="217"/>
        <v>0</v>
      </c>
      <c r="I686" s="1024">
        <f t="shared" ca="1" si="217"/>
        <v>0</v>
      </c>
      <c r="J686" s="1024">
        <f t="shared" si="217"/>
        <v>0</v>
      </c>
      <c r="K686" s="1024">
        <f t="shared" ca="1" si="217"/>
        <v>0</v>
      </c>
      <c r="L686" s="1024">
        <f t="shared" ca="1" si="217"/>
        <v>0</v>
      </c>
      <c r="M686" s="1024">
        <f t="shared" ca="1" si="217"/>
        <v>0</v>
      </c>
      <c r="N686" s="1024">
        <f t="shared" ca="1" si="217"/>
        <v>0</v>
      </c>
      <c r="O686" s="1024">
        <f t="shared" ca="1" si="217"/>
        <v>0</v>
      </c>
      <c r="P686" s="1024">
        <f t="shared" ca="1" si="217"/>
        <v>0</v>
      </c>
      <c r="Q686" s="1024">
        <f t="shared" ca="1" si="217"/>
        <v>0</v>
      </c>
      <c r="R686" s="1024">
        <f t="shared" ca="1" si="217"/>
        <v>0</v>
      </c>
      <c r="S686" s="1024">
        <f t="shared" ca="1" si="217"/>
        <v>0</v>
      </c>
      <c r="T686" s="1024">
        <f t="shared" ca="1" si="217"/>
        <v>0</v>
      </c>
      <c r="U686" s="1024">
        <f t="shared" ca="1" si="217"/>
        <v>0</v>
      </c>
      <c r="V686" s="1024">
        <f t="shared" ca="1" si="217"/>
        <v>0</v>
      </c>
      <c r="W686" s="1024">
        <f t="shared" ca="1" si="217"/>
        <v>0</v>
      </c>
      <c r="X686" s="1024">
        <f t="shared" ca="1" si="217"/>
        <v>0</v>
      </c>
      <c r="Y686" s="1024">
        <f t="shared" ca="1" si="217"/>
        <v>0</v>
      </c>
      <c r="Z686" s="1024">
        <f t="shared" ca="1" si="217"/>
        <v>0</v>
      </c>
      <c r="AA686" s="1024">
        <f t="shared" ca="1" si="217"/>
        <v>0</v>
      </c>
      <c r="AB686" s="1024">
        <f t="shared" ca="1" si="217"/>
        <v>0</v>
      </c>
      <c r="AC686" s="1024">
        <f t="shared" ca="1" si="217"/>
        <v>0</v>
      </c>
      <c r="AD686" s="1024">
        <f t="shared" ca="1" si="217"/>
        <v>0</v>
      </c>
      <c r="AE686" s="1024">
        <f t="shared" ca="1" si="217"/>
        <v>0</v>
      </c>
      <c r="AF686" s="1024">
        <f t="shared" ca="1" si="217"/>
        <v>0</v>
      </c>
      <c r="AG686" s="1024">
        <f t="shared" ca="1" si="217"/>
        <v>0</v>
      </c>
      <c r="AH686" s="1024">
        <f t="shared" ca="1" si="217"/>
        <v>0</v>
      </c>
      <c r="AI686" s="1024">
        <f t="shared" ca="1" si="217"/>
        <v>0</v>
      </c>
      <c r="AJ686" s="1024">
        <f t="shared" ca="1" si="217"/>
        <v>0</v>
      </c>
      <c r="AK686" s="1024">
        <f t="shared" ca="1" si="217"/>
        <v>0</v>
      </c>
      <c r="AL686" s="1024">
        <f t="shared" ca="1" si="217"/>
        <v>0</v>
      </c>
      <c r="AM686" s="1024">
        <f t="shared" ca="1" si="217"/>
        <v>0</v>
      </c>
      <c r="AN686" s="1024">
        <f t="shared" ca="1" si="217"/>
        <v>0</v>
      </c>
      <c r="AO686" s="1024">
        <f t="shared" ca="1" si="217"/>
        <v>0</v>
      </c>
      <c r="AP686" s="1024">
        <f t="shared" ca="1" si="217"/>
        <v>0</v>
      </c>
      <c r="AQ686" s="1024">
        <f t="shared" ca="1" si="217"/>
        <v>0</v>
      </c>
      <c r="AR686" s="1024">
        <f t="shared" ca="1" si="217"/>
        <v>0</v>
      </c>
      <c r="AS686" s="1024">
        <f t="shared" ca="1" si="217"/>
        <v>0</v>
      </c>
      <c r="AT686" s="1024">
        <f t="shared" ca="1" si="217"/>
        <v>0</v>
      </c>
      <c r="AU686" s="1024">
        <f t="shared" ca="1" si="217"/>
        <v>0</v>
      </c>
      <c r="AV686" s="1024">
        <f t="shared" ca="1" si="217"/>
        <v>0</v>
      </c>
      <c r="AW686" s="1024">
        <f t="shared" ca="1" si="217"/>
        <v>0</v>
      </c>
      <c r="AX686" s="1024">
        <f t="shared" ca="1" si="217"/>
        <v>0</v>
      </c>
    </row>
    <row r="687" spans="1:50" s="597" customFormat="1" ht="15" customHeight="1">
      <c r="A687" s="560"/>
      <c r="B687" s="696"/>
      <c r="C687" s="595"/>
      <c r="D687" s="596"/>
      <c r="E687" s="560" t="str">
        <f>Translate!$E$269</f>
        <v>State participation before tax, after carried interest, excluding share of loan</v>
      </c>
      <c r="F687" s="560"/>
      <c r="G687" s="560" t="str">
        <f xml:space="preserve"> Translate!E$10</f>
        <v>US$ mn</v>
      </c>
      <c r="H687" s="560"/>
      <c r="I687" s="560">
        <f ca="1" xml:space="preserve"> SUM(K687:AX687)</f>
        <v>0</v>
      </c>
      <c r="J687" s="560"/>
      <c r="K687" s="560">
        <f t="shared" ref="K687:AX687" ca="1" si="218">SUM(K684:K686)</f>
        <v>0</v>
      </c>
      <c r="L687" s="560">
        <f t="shared" ca="1" si="218"/>
        <v>0</v>
      </c>
      <c r="M687" s="560">
        <f t="shared" ca="1" si="218"/>
        <v>0</v>
      </c>
      <c r="N687" s="560">
        <f t="shared" ca="1" si="218"/>
        <v>0</v>
      </c>
      <c r="O687" s="560">
        <f ca="1">SUM(O684:O686)</f>
        <v>0</v>
      </c>
      <c r="P687" s="560">
        <f t="shared" ca="1" si="218"/>
        <v>0</v>
      </c>
      <c r="Q687" s="560">
        <f t="shared" ca="1" si="218"/>
        <v>0</v>
      </c>
      <c r="R687" s="560">
        <f t="shared" ca="1" si="218"/>
        <v>0</v>
      </c>
      <c r="S687" s="560">
        <f t="shared" ca="1" si="218"/>
        <v>0</v>
      </c>
      <c r="T687" s="560">
        <f t="shared" ca="1" si="218"/>
        <v>0</v>
      </c>
      <c r="U687" s="560">
        <f t="shared" ca="1" si="218"/>
        <v>0</v>
      </c>
      <c r="V687" s="560">
        <f t="shared" ca="1" si="218"/>
        <v>0</v>
      </c>
      <c r="W687" s="560">
        <f t="shared" ca="1" si="218"/>
        <v>0</v>
      </c>
      <c r="X687" s="560">
        <f t="shared" ca="1" si="218"/>
        <v>0</v>
      </c>
      <c r="Y687" s="560">
        <f t="shared" ca="1" si="218"/>
        <v>0</v>
      </c>
      <c r="Z687" s="560">
        <f t="shared" ca="1" si="218"/>
        <v>0</v>
      </c>
      <c r="AA687" s="560">
        <f t="shared" ca="1" si="218"/>
        <v>0</v>
      </c>
      <c r="AB687" s="560">
        <f t="shared" ca="1" si="218"/>
        <v>0</v>
      </c>
      <c r="AC687" s="560">
        <f t="shared" ca="1" si="218"/>
        <v>0</v>
      </c>
      <c r="AD687" s="560">
        <f t="shared" ca="1" si="218"/>
        <v>0</v>
      </c>
      <c r="AE687" s="560">
        <f t="shared" ca="1" si="218"/>
        <v>0</v>
      </c>
      <c r="AF687" s="560">
        <f t="shared" ca="1" si="218"/>
        <v>0</v>
      </c>
      <c r="AG687" s="560">
        <f t="shared" ca="1" si="218"/>
        <v>0</v>
      </c>
      <c r="AH687" s="560">
        <f t="shared" ca="1" si="218"/>
        <v>0</v>
      </c>
      <c r="AI687" s="560">
        <f t="shared" ca="1" si="218"/>
        <v>0</v>
      </c>
      <c r="AJ687" s="560">
        <f t="shared" ca="1" si="218"/>
        <v>0</v>
      </c>
      <c r="AK687" s="560">
        <f t="shared" ca="1" si="218"/>
        <v>0</v>
      </c>
      <c r="AL687" s="560">
        <f t="shared" ca="1" si="218"/>
        <v>0</v>
      </c>
      <c r="AM687" s="560">
        <f t="shared" ca="1" si="218"/>
        <v>0</v>
      </c>
      <c r="AN687" s="560">
        <f t="shared" ca="1" si="218"/>
        <v>0</v>
      </c>
      <c r="AO687" s="560">
        <f t="shared" ca="1" si="218"/>
        <v>0</v>
      </c>
      <c r="AP687" s="560">
        <f t="shared" ca="1" si="218"/>
        <v>0</v>
      </c>
      <c r="AQ687" s="560">
        <f t="shared" ca="1" si="218"/>
        <v>0</v>
      </c>
      <c r="AR687" s="560">
        <f t="shared" ca="1" si="218"/>
        <v>0</v>
      </c>
      <c r="AS687" s="560">
        <f t="shared" ca="1" si="218"/>
        <v>0</v>
      </c>
      <c r="AT687" s="560">
        <f t="shared" ca="1" si="218"/>
        <v>0</v>
      </c>
      <c r="AU687" s="560">
        <f t="shared" ca="1" si="218"/>
        <v>0</v>
      </c>
      <c r="AV687" s="560">
        <f t="shared" ca="1" si="218"/>
        <v>0</v>
      </c>
      <c r="AW687" s="560">
        <f t="shared" ca="1" si="218"/>
        <v>0</v>
      </c>
      <c r="AX687" s="560">
        <f t="shared" ca="1" si="218"/>
        <v>0</v>
      </c>
    </row>
    <row r="688" spans="1:50" ht="15" customHeight="1">
      <c r="A688" s="397"/>
      <c r="B688" s="508"/>
      <c r="C688" s="372"/>
      <c r="D688" s="1102"/>
      <c r="E688" s="386"/>
      <c r="F688" s="386"/>
      <c r="G688" s="386"/>
      <c r="H688" s="22"/>
      <c r="I688" s="1024"/>
      <c r="J688" s="1024"/>
      <c r="K688" s="1024"/>
      <c r="L688" s="1024"/>
      <c r="M688" s="1024"/>
      <c r="N688" s="1024"/>
      <c r="O688" s="1024"/>
      <c r="P688" s="1024"/>
      <c r="Q688" s="1024"/>
      <c r="R688" s="1024"/>
      <c r="S688" s="1024"/>
      <c r="T688" s="1024"/>
      <c r="U688" s="1024"/>
      <c r="V688" s="1024"/>
      <c r="W688" s="1024"/>
      <c r="X688" s="1024"/>
      <c r="Y688" s="1024"/>
      <c r="Z688" s="1024"/>
      <c r="AA688" s="1024"/>
      <c r="AB688" s="1024"/>
      <c r="AC688" s="1024"/>
      <c r="AD688" s="1024"/>
      <c r="AE688" s="1024"/>
      <c r="AF688" s="1024"/>
      <c r="AG688" s="1024"/>
      <c r="AH688" s="1024"/>
      <c r="AI688" s="1024"/>
      <c r="AJ688" s="1024"/>
      <c r="AK688" s="1024"/>
      <c r="AL688" s="1024"/>
      <c r="AM688" s="1024"/>
      <c r="AN688" s="1024"/>
      <c r="AO688" s="1024"/>
      <c r="AP688" s="1024"/>
      <c r="AQ688" s="1024"/>
      <c r="AR688" s="1024"/>
      <c r="AS688" s="1024"/>
      <c r="AT688" s="1024"/>
      <c r="AU688" s="1024"/>
      <c r="AV688" s="1024"/>
      <c r="AW688" s="1024"/>
      <c r="AX688" s="1024"/>
    </row>
    <row r="689" spans="1:50" ht="15" customHeight="1">
      <c r="A689" s="397"/>
      <c r="B689" s="508"/>
      <c r="C689" s="372"/>
      <c r="D689" s="1102"/>
      <c r="E689" s="386"/>
      <c r="F689" s="386"/>
      <c r="G689" s="386"/>
      <c r="H689" s="22"/>
      <c r="I689" s="1024"/>
      <c r="J689" s="1024"/>
      <c r="K689" s="1024"/>
      <c r="L689" s="1024"/>
      <c r="M689" s="1024"/>
      <c r="N689" s="1024"/>
      <c r="O689" s="1024"/>
      <c r="P689" s="1024"/>
      <c r="Q689" s="1024"/>
      <c r="R689" s="1024"/>
      <c r="S689" s="1024"/>
      <c r="T689" s="1024"/>
      <c r="U689" s="1024"/>
      <c r="V689" s="1024"/>
      <c r="W689" s="1024"/>
      <c r="X689" s="1024"/>
      <c r="Y689" s="1024"/>
      <c r="Z689" s="1024"/>
      <c r="AA689" s="1024"/>
      <c r="AB689" s="1024"/>
      <c r="AC689" s="1024"/>
      <c r="AD689" s="1024"/>
      <c r="AE689" s="1024"/>
      <c r="AF689" s="1024"/>
      <c r="AG689" s="1024"/>
      <c r="AH689" s="1024"/>
      <c r="AI689" s="1024"/>
      <c r="AJ689" s="1024"/>
      <c r="AK689" s="1024"/>
      <c r="AL689" s="1024"/>
      <c r="AM689" s="1024"/>
      <c r="AN689" s="1024"/>
      <c r="AO689" s="1024"/>
      <c r="AP689" s="1024"/>
      <c r="AQ689" s="1024"/>
      <c r="AR689" s="1024"/>
      <c r="AS689" s="1024"/>
      <c r="AT689" s="1024"/>
      <c r="AU689" s="1024"/>
      <c r="AV689" s="1024"/>
      <c r="AW689" s="1024"/>
      <c r="AX689" s="1024"/>
    </row>
    <row r="690" spans="1:50" ht="15" customHeight="1">
      <c r="A690" s="351" t="str">
        <f>Translate!$E$37</f>
        <v>State participation (Share of mining company loan)</v>
      </c>
      <c r="B690" s="686"/>
      <c r="C690" s="352"/>
      <c r="D690" s="353"/>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row>
    <row r="691" spans="1:50" ht="15" customHeight="1">
      <c r="A691" s="397"/>
      <c r="B691" s="508"/>
      <c r="C691" s="372"/>
      <c r="D691" s="1102"/>
      <c r="E691" s="1024"/>
      <c r="F691" s="1024"/>
      <c r="G691" s="22"/>
      <c r="H691" s="22"/>
      <c r="I691" s="1024"/>
      <c r="J691" s="1024"/>
      <c r="K691" s="1024"/>
      <c r="L691" s="1024"/>
      <c r="M691" s="1024"/>
      <c r="N691" s="1024"/>
      <c r="O691" s="1024"/>
      <c r="P691" s="1024"/>
      <c r="Q691" s="1024"/>
      <c r="R691" s="1024"/>
      <c r="S691" s="1024"/>
      <c r="T691" s="1024"/>
      <c r="U691" s="1024"/>
      <c r="V691" s="1024"/>
      <c r="W691" s="1024"/>
      <c r="X691" s="1024"/>
      <c r="Y691" s="1024"/>
      <c r="Z691" s="1024"/>
      <c r="AA691" s="1024"/>
      <c r="AB691" s="1024"/>
      <c r="AC691" s="1024"/>
      <c r="AD691" s="1024"/>
      <c r="AE691" s="1024"/>
      <c r="AF691" s="1024"/>
      <c r="AG691" s="1024"/>
      <c r="AH691" s="1024"/>
      <c r="AI691" s="1024"/>
      <c r="AJ691" s="1024"/>
      <c r="AK691" s="1024"/>
      <c r="AL691" s="1024"/>
      <c r="AM691" s="1024"/>
      <c r="AN691" s="1024"/>
      <c r="AO691" s="1024"/>
      <c r="AP691" s="1024"/>
      <c r="AQ691" s="1024"/>
      <c r="AR691" s="1024"/>
      <c r="AS691" s="1024"/>
      <c r="AT691" s="1024"/>
      <c r="AU691" s="1024"/>
      <c r="AV691" s="1024"/>
      <c r="AW691" s="1024"/>
      <c r="AX691" s="1024"/>
    </row>
    <row r="692" spans="1:50" ht="15" customHeight="1">
      <c r="A692" s="397"/>
      <c r="B692" s="508" t="str">
        <f>Translate!$E$93</f>
        <v>State participation share of mining company loan</v>
      </c>
      <c r="C692" s="372"/>
      <c r="D692" s="1102"/>
      <c r="E692" s="1024"/>
      <c r="F692" s="1024"/>
      <c r="G692" s="22"/>
      <c r="H692" s="22"/>
      <c r="I692" s="1024"/>
      <c r="J692" s="1024"/>
      <c r="K692" s="1024"/>
      <c r="L692" s="1024"/>
      <c r="M692" s="1024"/>
      <c r="N692" s="1024"/>
      <c r="O692" s="1024"/>
      <c r="P692" s="1024"/>
      <c r="Q692" s="1024"/>
      <c r="R692" s="1024"/>
      <c r="S692" s="1024"/>
      <c r="T692" s="1024"/>
      <c r="U692" s="1024"/>
      <c r="V692" s="1024"/>
      <c r="W692" s="1024"/>
      <c r="X692" s="1024"/>
      <c r="Y692" s="1024"/>
      <c r="Z692" s="1024"/>
      <c r="AA692" s="1024"/>
      <c r="AB692" s="1024"/>
      <c r="AC692" s="1024"/>
      <c r="AD692" s="1024"/>
      <c r="AE692" s="1024"/>
      <c r="AF692" s="1024"/>
      <c r="AG692" s="1024"/>
      <c r="AH692" s="1024"/>
      <c r="AI692" s="1024"/>
      <c r="AJ692" s="1024"/>
      <c r="AK692" s="1024"/>
      <c r="AL692" s="1024"/>
      <c r="AM692" s="1024"/>
      <c r="AN692" s="1024"/>
      <c r="AO692" s="1024"/>
      <c r="AP692" s="1024"/>
      <c r="AQ692" s="1024"/>
      <c r="AR692" s="1024"/>
      <c r="AS692" s="1024"/>
      <c r="AT692" s="1024"/>
      <c r="AU692" s="1024"/>
      <c r="AV692" s="1024"/>
      <c r="AW692" s="1024"/>
      <c r="AX692" s="1024"/>
    </row>
    <row r="693" spans="1:50" ht="15" customHeight="1">
      <c r="A693" s="397"/>
      <c r="B693" s="508"/>
      <c r="C693" s="372"/>
      <c r="D693" s="1102"/>
      <c r="E693" s="1024" t="str">
        <f xml:space="preserve"> E$325</f>
        <v>Lender cashflows after interest withholding tax</v>
      </c>
      <c r="F693" s="1024">
        <f t="shared" ref="F693:AX693" si="219" xml:space="preserve"> F$325</f>
        <v>0</v>
      </c>
      <c r="G693" s="1024" t="str">
        <f t="shared" si="219"/>
        <v>US$ mn</v>
      </c>
      <c r="H693" s="1024">
        <f t="shared" si="219"/>
        <v>0</v>
      </c>
      <c r="I693" s="1024">
        <f t="shared" ca="1" si="219"/>
        <v>94.43921227254917</v>
      </c>
      <c r="J693" s="1024">
        <f t="shared" si="219"/>
        <v>0</v>
      </c>
      <c r="K693" s="1024">
        <f t="shared" ca="1" si="219"/>
        <v>0</v>
      </c>
      <c r="L693" s="1024">
        <f t="shared" ca="1" si="219"/>
        <v>0</v>
      </c>
      <c r="M693" s="1024">
        <f t="shared" ca="1" si="219"/>
        <v>0</v>
      </c>
      <c r="N693" s="1024">
        <f t="shared" ca="1" si="219"/>
        <v>-37.142279999999992</v>
      </c>
      <c r="O693" s="1024">
        <f t="shared" ca="1" si="219"/>
        <v>-189.42562799999999</v>
      </c>
      <c r="P693" s="1024">
        <f t="shared" ca="1" si="219"/>
        <v>-77.285656223999993</v>
      </c>
      <c r="Q693" s="1024">
        <f t="shared" ca="1" si="219"/>
        <v>88.201278608239775</v>
      </c>
      <c r="R693" s="1024">
        <f t="shared" ca="1" si="219"/>
        <v>83.929916953774793</v>
      </c>
      <c r="S693" s="1024">
        <f t="shared" ca="1" si="219"/>
        <v>79.658555299309825</v>
      </c>
      <c r="T693" s="1024">
        <f t="shared" ca="1" si="219"/>
        <v>75.387193644844857</v>
      </c>
      <c r="U693" s="1024">
        <f t="shared" ca="1" si="219"/>
        <v>71.115831990379888</v>
      </c>
      <c r="V693" s="1024">
        <f t="shared" ca="1" si="219"/>
        <v>0</v>
      </c>
      <c r="W693" s="1024">
        <f t="shared" ca="1" si="219"/>
        <v>0</v>
      </c>
      <c r="X693" s="1024">
        <f t="shared" ca="1" si="219"/>
        <v>0</v>
      </c>
      <c r="Y693" s="1024">
        <f t="shared" ca="1" si="219"/>
        <v>0</v>
      </c>
      <c r="Z693" s="1024">
        <f t="shared" ca="1" si="219"/>
        <v>0</v>
      </c>
      <c r="AA693" s="1024">
        <f t="shared" ca="1" si="219"/>
        <v>0</v>
      </c>
      <c r="AB693" s="1024">
        <f t="shared" ca="1" si="219"/>
        <v>0</v>
      </c>
      <c r="AC693" s="1024">
        <f t="shared" ca="1" si="219"/>
        <v>0</v>
      </c>
      <c r="AD693" s="1024">
        <f t="shared" ca="1" si="219"/>
        <v>0</v>
      </c>
      <c r="AE693" s="1024">
        <f t="shared" ca="1" si="219"/>
        <v>0</v>
      </c>
      <c r="AF693" s="1024">
        <f t="shared" ca="1" si="219"/>
        <v>0</v>
      </c>
      <c r="AG693" s="1024">
        <f t="shared" ca="1" si="219"/>
        <v>0</v>
      </c>
      <c r="AH693" s="1024">
        <f t="shared" ca="1" si="219"/>
        <v>0</v>
      </c>
      <c r="AI693" s="1024">
        <f t="shared" ca="1" si="219"/>
        <v>0</v>
      </c>
      <c r="AJ693" s="1024">
        <f t="shared" ca="1" si="219"/>
        <v>0</v>
      </c>
      <c r="AK693" s="1024">
        <f t="shared" ca="1" si="219"/>
        <v>0</v>
      </c>
      <c r="AL693" s="1024">
        <f t="shared" ca="1" si="219"/>
        <v>0</v>
      </c>
      <c r="AM693" s="1024">
        <f t="shared" ca="1" si="219"/>
        <v>0</v>
      </c>
      <c r="AN693" s="1024">
        <f t="shared" ca="1" si="219"/>
        <v>0</v>
      </c>
      <c r="AO693" s="1024">
        <f t="shared" ca="1" si="219"/>
        <v>0</v>
      </c>
      <c r="AP693" s="1024">
        <f t="shared" ca="1" si="219"/>
        <v>0</v>
      </c>
      <c r="AQ693" s="1024">
        <f t="shared" ca="1" si="219"/>
        <v>0</v>
      </c>
      <c r="AR693" s="1024">
        <f t="shared" ca="1" si="219"/>
        <v>0</v>
      </c>
      <c r="AS693" s="1024">
        <f t="shared" ca="1" si="219"/>
        <v>0</v>
      </c>
      <c r="AT693" s="1024">
        <f t="shared" ca="1" si="219"/>
        <v>0</v>
      </c>
      <c r="AU693" s="1024">
        <f t="shared" ca="1" si="219"/>
        <v>0</v>
      </c>
      <c r="AV693" s="1024">
        <f t="shared" ca="1" si="219"/>
        <v>0</v>
      </c>
      <c r="AW693" s="1024">
        <f t="shared" ca="1" si="219"/>
        <v>0</v>
      </c>
      <c r="AX693" s="1024">
        <f t="shared" ca="1" si="219"/>
        <v>0</v>
      </c>
    </row>
    <row r="694" spans="1:50" ht="15" customHeight="1">
      <c r="A694" s="397"/>
      <c r="B694" s="508"/>
      <c r="C694" s="372"/>
      <c r="D694" s="1102"/>
      <c r="E694" s="1024"/>
      <c r="F694" s="1024"/>
      <c r="G694" s="22"/>
      <c r="H694" s="22"/>
      <c r="I694" s="1024"/>
      <c r="J694" s="1024"/>
      <c r="K694" s="1024"/>
      <c r="L694" s="1024"/>
      <c r="M694" s="1024"/>
      <c r="N694" s="1024"/>
      <c r="O694" s="1024"/>
      <c r="P694" s="1024"/>
      <c r="Q694" s="1024"/>
      <c r="R694" s="1024"/>
      <c r="S694" s="1024"/>
      <c r="T694" s="1024"/>
      <c r="U694" s="1024"/>
      <c r="V694" s="1024"/>
      <c r="W694" s="1024"/>
      <c r="X694" s="1024"/>
      <c r="Y694" s="1024"/>
      <c r="Z694" s="1024"/>
      <c r="AA694" s="1024"/>
      <c r="AB694" s="1024"/>
      <c r="AC694" s="1024"/>
      <c r="AD694" s="1024"/>
      <c r="AE694" s="1024"/>
      <c r="AF694" s="1024"/>
      <c r="AG694" s="1024"/>
      <c r="AH694" s="1024"/>
      <c r="AI694" s="1024"/>
      <c r="AJ694" s="1024"/>
      <c r="AK694" s="1024"/>
      <c r="AL694" s="1024"/>
      <c r="AM694" s="1024"/>
      <c r="AN694" s="1024"/>
      <c r="AO694" s="1024"/>
      <c r="AP694" s="1024"/>
      <c r="AQ694" s="1024"/>
      <c r="AR694" s="1024"/>
      <c r="AS694" s="1024"/>
      <c r="AT694" s="1024"/>
      <c r="AU694" s="1024"/>
      <c r="AV694" s="1024"/>
      <c r="AW694" s="1024"/>
      <c r="AX694" s="1024"/>
    </row>
    <row r="695" spans="1:50" ht="15" customHeight="1">
      <c r="A695" s="397"/>
      <c r="B695" s="508"/>
      <c r="C695" s="372"/>
      <c r="D695" s="1102"/>
      <c r="E695" s="386" t="str">
        <f xml:space="preserve"> E$51</f>
        <v>State participation</v>
      </c>
      <c r="F695" s="386">
        <f xml:space="preserve"> F$51</f>
        <v>0</v>
      </c>
      <c r="G695" s="386" t="str">
        <f xml:space="preserve"> G$51</f>
        <v>%</v>
      </c>
      <c r="H695" s="22"/>
      <c r="I695" s="1024"/>
      <c r="J695" s="1024"/>
      <c r="K695" s="1024"/>
      <c r="L695" s="1024"/>
      <c r="M695" s="1024"/>
      <c r="N695" s="1024"/>
      <c r="O695" s="1024"/>
      <c r="P695" s="1024"/>
      <c r="Q695" s="1024"/>
      <c r="R695" s="1024"/>
      <c r="S695" s="1024"/>
      <c r="T695" s="1024"/>
      <c r="U695" s="1024"/>
      <c r="V695" s="1024"/>
      <c r="W695" s="1024"/>
      <c r="X695" s="1024"/>
      <c r="Y695" s="1024"/>
      <c r="Z695" s="1024"/>
      <c r="AA695" s="1024"/>
      <c r="AB695" s="1024"/>
      <c r="AC695" s="1024"/>
      <c r="AD695" s="1024"/>
      <c r="AE695" s="1024"/>
      <c r="AF695" s="1024"/>
      <c r="AG695" s="1024"/>
      <c r="AH695" s="1024"/>
      <c r="AI695" s="1024"/>
      <c r="AJ695" s="1024"/>
      <c r="AK695" s="1024"/>
      <c r="AL695" s="1024"/>
      <c r="AM695" s="1024"/>
      <c r="AN695" s="1024"/>
      <c r="AO695" s="1024"/>
      <c r="AP695" s="1024"/>
      <c r="AQ695" s="1024"/>
      <c r="AR695" s="1024"/>
      <c r="AS695" s="1024"/>
      <c r="AT695" s="1024"/>
      <c r="AU695" s="1024"/>
      <c r="AV695" s="1024"/>
      <c r="AW695" s="1024"/>
      <c r="AX695" s="1024"/>
    </row>
    <row r="696" spans="1:50" ht="15" customHeight="1">
      <c r="A696" s="397"/>
      <c r="B696" s="508"/>
      <c r="C696" s="372"/>
      <c r="D696" s="1102"/>
      <c r="E696" s="383" t="str">
        <f xml:space="preserve"> E$52</f>
        <v>State participation meets share of equity contributions and mining company loan</v>
      </c>
      <c r="F696" s="383">
        <f t="shared" ref="F696:G696" si="220" xml:space="preserve"> F$52</f>
        <v>0</v>
      </c>
      <c r="G696" s="383" t="str">
        <f t="shared" si="220"/>
        <v>Option</v>
      </c>
      <c r="H696" s="22"/>
      <c r="I696" s="1024"/>
      <c r="J696" s="1024"/>
      <c r="K696" s="1024"/>
      <c r="L696" s="1024"/>
      <c r="M696" s="1024"/>
      <c r="N696" s="1024"/>
      <c r="O696" s="1024"/>
      <c r="P696" s="1024"/>
      <c r="Q696" s="1024"/>
      <c r="R696" s="1024"/>
      <c r="S696" s="1024"/>
      <c r="T696" s="1024"/>
      <c r="U696" s="1024"/>
      <c r="V696" s="1024"/>
      <c r="W696" s="1024"/>
      <c r="X696" s="1024"/>
      <c r="Y696" s="1024"/>
      <c r="Z696" s="1024"/>
      <c r="AA696" s="1024"/>
      <c r="AB696" s="1024"/>
      <c r="AC696" s="1024"/>
      <c r="AD696" s="1024"/>
      <c r="AE696" s="1024"/>
      <c r="AF696" s="1024"/>
      <c r="AG696" s="1024"/>
      <c r="AH696" s="1024"/>
      <c r="AI696" s="1024"/>
      <c r="AJ696" s="1024"/>
      <c r="AK696" s="1024"/>
      <c r="AL696" s="1024"/>
      <c r="AM696" s="1024"/>
      <c r="AN696" s="1024"/>
      <c r="AO696" s="1024"/>
      <c r="AP696" s="1024"/>
      <c r="AQ696" s="1024"/>
      <c r="AR696" s="1024"/>
      <c r="AS696" s="1024"/>
      <c r="AT696" s="1024"/>
      <c r="AU696" s="1024"/>
      <c r="AV696" s="1024"/>
      <c r="AW696" s="1024"/>
      <c r="AX696" s="1024"/>
    </row>
    <row r="697" spans="1:50" ht="15" customHeight="1">
      <c r="A697" s="325"/>
      <c r="B697" s="643"/>
      <c r="C697" s="333"/>
      <c r="D697" s="1097"/>
      <c r="E697" s="219" t="str">
        <f>Inputs!E$81</f>
        <v>Label: yes</v>
      </c>
      <c r="F697" s="602" t="str">
        <f>Inputs!F$81</f>
        <v>yes</v>
      </c>
      <c r="G697" s="219" t="str">
        <f>Inputs!G$81</f>
        <v>Label</v>
      </c>
      <c r="H697" s="1049"/>
      <c r="I697" s="1097"/>
      <c r="J697" s="1054"/>
      <c r="K697" s="1054"/>
      <c r="L697" s="1054"/>
      <c r="M697" s="1054"/>
      <c r="N697" s="1054"/>
      <c r="O697" s="1054"/>
      <c r="P697" s="1054"/>
      <c r="Q697" s="1054"/>
      <c r="R697" s="1054"/>
      <c r="S697" s="1054"/>
      <c r="T697" s="1054"/>
      <c r="U697" s="1054"/>
      <c r="V697" s="1054"/>
      <c r="W697" s="1054"/>
      <c r="X697" s="1054"/>
      <c r="Y697" s="1054"/>
      <c r="Z697" s="1054"/>
      <c r="AA697" s="1054"/>
      <c r="AB697" s="1054"/>
      <c r="AC697" s="1054"/>
      <c r="AD697" s="1054"/>
      <c r="AE697" s="1054"/>
      <c r="AF697" s="1054"/>
      <c r="AG697" s="1054"/>
      <c r="AH697" s="1054"/>
      <c r="AI697" s="1054"/>
      <c r="AJ697" s="1054"/>
      <c r="AK697" s="1054"/>
      <c r="AL697" s="1054"/>
      <c r="AM697" s="1054"/>
      <c r="AN697" s="1054"/>
      <c r="AO697" s="1054"/>
      <c r="AP697" s="1054"/>
      <c r="AQ697" s="1054"/>
      <c r="AR697" s="1054"/>
      <c r="AS697" s="1054"/>
      <c r="AT697" s="1054"/>
      <c r="AU697" s="1054"/>
      <c r="AV697" s="1054"/>
      <c r="AW697" s="1054"/>
      <c r="AX697" s="1054"/>
    </row>
    <row r="698" spans="1:50" ht="15" customHeight="1">
      <c r="A698" s="397"/>
      <c r="B698" s="508"/>
      <c r="C698" s="372"/>
      <c r="D698" s="1102"/>
      <c r="E698" s="1024"/>
      <c r="F698" s="1024"/>
      <c r="G698" s="22"/>
      <c r="H698" s="22"/>
      <c r="I698" s="1024"/>
      <c r="J698" s="1024"/>
      <c r="K698" s="1024"/>
      <c r="L698" s="1024"/>
      <c r="M698" s="1024"/>
      <c r="N698" s="1024"/>
      <c r="O698" s="1024"/>
      <c r="P698" s="1024"/>
      <c r="Q698" s="1024"/>
      <c r="R698" s="1024"/>
      <c r="S698" s="1024"/>
      <c r="T698" s="1024"/>
      <c r="U698" s="1024"/>
      <c r="V698" s="1024"/>
      <c r="W698" s="1024"/>
      <c r="X698" s="1024"/>
      <c r="Y698" s="1024"/>
      <c r="Z698" s="1024"/>
      <c r="AA698" s="1024"/>
      <c r="AB698" s="1024"/>
      <c r="AC698" s="1024"/>
      <c r="AD698" s="1024"/>
      <c r="AE698" s="1024"/>
      <c r="AF698" s="1024"/>
      <c r="AG698" s="1024"/>
      <c r="AH698" s="1024"/>
      <c r="AI698" s="1024"/>
      <c r="AJ698" s="1024"/>
      <c r="AK698" s="1024"/>
      <c r="AL698" s="1024"/>
      <c r="AM698" s="1024"/>
      <c r="AN698" s="1024"/>
      <c r="AO698" s="1024"/>
      <c r="AP698" s="1024"/>
      <c r="AQ698" s="1024"/>
      <c r="AR698" s="1024"/>
      <c r="AS698" s="1024"/>
      <c r="AT698" s="1024"/>
      <c r="AU698" s="1024"/>
      <c r="AV698" s="1024"/>
      <c r="AW698" s="1024"/>
      <c r="AX698" s="1024"/>
    </row>
    <row r="699" spans="1:50" ht="15" customHeight="1">
      <c r="A699" s="397"/>
      <c r="B699" s="508"/>
      <c r="C699" s="372"/>
      <c r="D699" s="1102"/>
      <c r="E699" s="383" t="str">
        <f xml:space="preserve"> E$53</f>
        <v>Carried interest: State participation equity and share of loan met by parent company</v>
      </c>
      <c r="F699" s="383">
        <f t="shared" ref="F699:G699" si="221" xml:space="preserve"> F$53</f>
        <v>0</v>
      </c>
      <c r="G699" s="383" t="str">
        <f t="shared" si="221"/>
        <v>%</v>
      </c>
      <c r="H699" s="22"/>
      <c r="I699" s="1024"/>
      <c r="J699" s="1024"/>
      <c r="K699" s="1024"/>
      <c r="L699" s="1024"/>
      <c r="M699" s="1024"/>
      <c r="N699" s="1024"/>
      <c r="O699" s="1024"/>
      <c r="P699" s="1024"/>
      <c r="Q699" s="1024"/>
      <c r="R699" s="1024"/>
      <c r="S699" s="1024"/>
      <c r="T699" s="1024"/>
      <c r="U699" s="1024"/>
      <c r="V699" s="1024"/>
      <c r="W699" s="1024"/>
      <c r="X699" s="1024"/>
      <c r="Y699" s="1024"/>
      <c r="Z699" s="1024"/>
      <c r="AA699" s="1024"/>
      <c r="AB699" s="1024"/>
      <c r="AC699" s="1024"/>
      <c r="AD699" s="1024"/>
      <c r="AE699" s="1024"/>
      <c r="AF699" s="1024"/>
      <c r="AG699" s="1024"/>
      <c r="AH699" s="1024"/>
      <c r="AI699" s="1024"/>
      <c r="AJ699" s="1024"/>
      <c r="AK699" s="1024"/>
      <c r="AL699" s="1024"/>
      <c r="AM699" s="1024"/>
      <c r="AN699" s="1024"/>
      <c r="AO699" s="1024"/>
      <c r="AP699" s="1024"/>
      <c r="AQ699" s="1024"/>
      <c r="AR699" s="1024"/>
      <c r="AS699" s="1024"/>
      <c r="AT699" s="1024"/>
      <c r="AU699" s="1024"/>
      <c r="AV699" s="1024"/>
      <c r="AW699" s="1024"/>
      <c r="AX699" s="1024"/>
    </row>
    <row r="700" spans="1:50" ht="15" customHeight="1">
      <c r="A700" s="397"/>
      <c r="B700" s="508"/>
      <c r="C700" s="372"/>
      <c r="D700" s="1102"/>
      <c r="E700" s="1019" t="str">
        <f xml:space="preserve"> Translate!E$94</f>
        <v>Share of loan met directly by state participant</v>
      </c>
      <c r="F700" s="523">
        <f xml:space="preserve"> F695 * (F696 = F697) * ( 1 - F699)</f>
        <v>0</v>
      </c>
      <c r="G700" s="429" t="s">
        <v>29</v>
      </c>
      <c r="H700" s="22"/>
      <c r="I700" s="1024"/>
      <c r="J700" s="1024"/>
      <c r="K700" s="1024"/>
      <c r="L700" s="1024"/>
      <c r="M700" s="1024"/>
      <c r="N700" s="1024"/>
      <c r="O700" s="1024"/>
      <c r="P700" s="1024"/>
      <c r="Q700" s="1024"/>
      <c r="R700" s="1024"/>
      <c r="S700" s="1024"/>
      <c r="T700" s="1024"/>
      <c r="U700" s="1024"/>
      <c r="V700" s="1024"/>
      <c r="W700" s="1024"/>
      <c r="X700" s="1024"/>
      <c r="Y700" s="1024"/>
      <c r="Z700" s="1024"/>
      <c r="AA700" s="1024"/>
      <c r="AB700" s="1024"/>
      <c r="AC700" s="1024"/>
      <c r="AD700" s="1024"/>
      <c r="AE700" s="1024"/>
      <c r="AF700" s="1024"/>
      <c r="AG700" s="1024"/>
      <c r="AH700" s="1024"/>
      <c r="AI700" s="1024"/>
      <c r="AJ700" s="1024"/>
      <c r="AK700" s="1024"/>
      <c r="AL700" s="1024"/>
      <c r="AM700" s="1024"/>
      <c r="AN700" s="1024"/>
      <c r="AO700" s="1024"/>
      <c r="AP700" s="1024"/>
      <c r="AQ700" s="1024"/>
      <c r="AR700" s="1024"/>
      <c r="AS700" s="1024"/>
      <c r="AT700" s="1024"/>
      <c r="AU700" s="1024"/>
      <c r="AV700" s="1024"/>
      <c r="AW700" s="1024"/>
      <c r="AX700" s="1024"/>
    </row>
    <row r="701" spans="1:50" ht="15" customHeight="1">
      <c r="A701" s="397"/>
      <c r="B701" s="508"/>
      <c r="C701" s="372"/>
      <c r="D701" s="1102"/>
      <c r="E701" s="1019" t="str">
        <f xml:space="preserve"> Translate!E$95</f>
        <v>Share of loan met by parent company on behalf of state participant</v>
      </c>
      <c r="F701" s="523">
        <f xml:space="preserve"> F695 - F700</f>
        <v>0</v>
      </c>
      <c r="G701" s="429" t="s">
        <v>29</v>
      </c>
      <c r="H701" s="22"/>
      <c r="I701" s="1024"/>
      <c r="J701" s="1024"/>
      <c r="K701" s="1024"/>
      <c r="L701" s="1024"/>
      <c r="M701" s="1024"/>
      <c r="N701" s="1024"/>
      <c r="O701" s="1024"/>
      <c r="P701" s="1024"/>
      <c r="Q701" s="1024"/>
      <c r="R701" s="1024"/>
      <c r="S701" s="1024"/>
      <c r="T701" s="1024"/>
      <c r="U701" s="1024"/>
      <c r="V701" s="1024"/>
      <c r="W701" s="1024"/>
      <c r="X701" s="1024"/>
      <c r="Y701" s="1024"/>
      <c r="Z701" s="1024"/>
      <c r="AA701" s="1024"/>
      <c r="AB701" s="1024"/>
      <c r="AC701" s="1024"/>
      <c r="AD701" s="1024"/>
      <c r="AE701" s="1024"/>
      <c r="AF701" s="1024"/>
      <c r="AG701" s="1024"/>
      <c r="AH701" s="1024"/>
      <c r="AI701" s="1024"/>
      <c r="AJ701" s="1024"/>
      <c r="AK701" s="1024"/>
      <c r="AL701" s="1024"/>
      <c r="AM701" s="1024"/>
      <c r="AN701" s="1024"/>
      <c r="AO701" s="1024"/>
      <c r="AP701" s="1024"/>
      <c r="AQ701" s="1024"/>
      <c r="AR701" s="1024"/>
      <c r="AS701" s="1024"/>
      <c r="AT701" s="1024"/>
      <c r="AU701" s="1024"/>
      <c r="AV701" s="1024"/>
      <c r="AW701" s="1024"/>
      <c r="AX701" s="1024"/>
    </row>
    <row r="702" spans="1:50" ht="15" customHeight="1">
      <c r="A702" s="397"/>
      <c r="B702" s="508"/>
      <c r="C702" s="372"/>
      <c r="D702" s="1102"/>
      <c r="E702" s="1024"/>
      <c r="F702" s="1024"/>
      <c r="G702" s="22"/>
      <c r="H702" s="22"/>
      <c r="I702" s="1024"/>
      <c r="J702" s="1024"/>
      <c r="K702" s="1024"/>
      <c r="L702" s="1024"/>
      <c r="M702" s="1024"/>
      <c r="N702" s="1024"/>
      <c r="O702" s="1024"/>
      <c r="P702" s="1024"/>
      <c r="Q702" s="1024"/>
      <c r="R702" s="1024"/>
      <c r="S702" s="1024"/>
      <c r="T702" s="1024"/>
      <c r="U702" s="1024"/>
      <c r="V702" s="1024"/>
      <c r="W702" s="1024"/>
      <c r="X702" s="1024"/>
      <c r="Y702" s="1024"/>
      <c r="Z702" s="1024"/>
      <c r="AA702" s="1024"/>
      <c r="AB702" s="1024"/>
      <c r="AC702" s="1024"/>
      <c r="AD702" s="1024"/>
      <c r="AE702" s="1024"/>
      <c r="AF702" s="1024"/>
      <c r="AG702" s="1024"/>
      <c r="AH702" s="1024"/>
      <c r="AI702" s="1024"/>
      <c r="AJ702" s="1024"/>
      <c r="AK702" s="1024"/>
      <c r="AL702" s="1024"/>
      <c r="AM702" s="1024"/>
      <c r="AN702" s="1024"/>
      <c r="AO702" s="1024"/>
      <c r="AP702" s="1024"/>
      <c r="AQ702" s="1024"/>
      <c r="AR702" s="1024"/>
      <c r="AS702" s="1024"/>
      <c r="AT702" s="1024"/>
      <c r="AU702" s="1024"/>
      <c r="AV702" s="1024"/>
      <c r="AW702" s="1024"/>
      <c r="AX702" s="1024"/>
    </row>
    <row r="703" spans="1:50" ht="15" customHeight="1">
      <c r="A703" s="397"/>
      <c r="B703" s="508"/>
      <c r="C703" s="372"/>
      <c r="D703" s="1102"/>
      <c r="E703" s="1025" t="str">
        <f xml:space="preserve"> Translate!E$96</f>
        <v>Project loan cashflows met by state participant</v>
      </c>
      <c r="F703" s="1024"/>
      <c r="G703" s="22" t="str">
        <f xml:space="preserve"> Translate!E$10</f>
        <v>US$ mn</v>
      </c>
      <c r="H703" s="22"/>
      <c r="I703" s="1024">
        <f ca="1" xml:space="preserve"> SUM(K703:AX703)</f>
        <v>0</v>
      </c>
      <c r="J703" s="1024"/>
      <c r="K703" s="429">
        <f t="shared" ref="K703:AX703" ca="1" si="222" xml:space="preserve"> K693 * $F700</f>
        <v>0</v>
      </c>
      <c r="L703" s="429">
        <f t="shared" ca="1" si="222"/>
        <v>0</v>
      </c>
      <c r="M703" s="429">
        <f t="shared" ca="1" si="222"/>
        <v>0</v>
      </c>
      <c r="N703" s="429">
        <f t="shared" ca="1" si="222"/>
        <v>0</v>
      </c>
      <c r="O703" s="429">
        <f t="shared" ca="1" si="222"/>
        <v>0</v>
      </c>
      <c r="P703" s="429">
        <f t="shared" ca="1" si="222"/>
        <v>0</v>
      </c>
      <c r="Q703" s="429">
        <f t="shared" ca="1" si="222"/>
        <v>0</v>
      </c>
      <c r="R703" s="429">
        <f t="shared" ca="1" si="222"/>
        <v>0</v>
      </c>
      <c r="S703" s="429">
        <f t="shared" ca="1" si="222"/>
        <v>0</v>
      </c>
      <c r="T703" s="429">
        <f t="shared" ca="1" si="222"/>
        <v>0</v>
      </c>
      <c r="U703" s="429">
        <f t="shared" ca="1" si="222"/>
        <v>0</v>
      </c>
      <c r="V703" s="429">
        <f t="shared" ca="1" si="222"/>
        <v>0</v>
      </c>
      <c r="W703" s="429">
        <f t="shared" ca="1" si="222"/>
        <v>0</v>
      </c>
      <c r="X703" s="429">
        <f t="shared" ca="1" si="222"/>
        <v>0</v>
      </c>
      <c r="Y703" s="429">
        <f t="shared" ca="1" si="222"/>
        <v>0</v>
      </c>
      <c r="Z703" s="429">
        <f t="shared" ca="1" si="222"/>
        <v>0</v>
      </c>
      <c r="AA703" s="429">
        <f t="shared" ca="1" si="222"/>
        <v>0</v>
      </c>
      <c r="AB703" s="429">
        <f t="shared" ca="1" si="222"/>
        <v>0</v>
      </c>
      <c r="AC703" s="429">
        <f t="shared" ca="1" si="222"/>
        <v>0</v>
      </c>
      <c r="AD703" s="429">
        <f t="shared" ca="1" si="222"/>
        <v>0</v>
      </c>
      <c r="AE703" s="429">
        <f t="shared" ca="1" si="222"/>
        <v>0</v>
      </c>
      <c r="AF703" s="429">
        <f t="shared" ca="1" si="222"/>
        <v>0</v>
      </c>
      <c r="AG703" s="429">
        <f t="shared" ca="1" si="222"/>
        <v>0</v>
      </c>
      <c r="AH703" s="429">
        <f t="shared" ca="1" si="222"/>
        <v>0</v>
      </c>
      <c r="AI703" s="429">
        <f t="shared" ca="1" si="222"/>
        <v>0</v>
      </c>
      <c r="AJ703" s="429">
        <f t="shared" ca="1" si="222"/>
        <v>0</v>
      </c>
      <c r="AK703" s="429">
        <f t="shared" ca="1" si="222"/>
        <v>0</v>
      </c>
      <c r="AL703" s="429">
        <f t="shared" ca="1" si="222"/>
        <v>0</v>
      </c>
      <c r="AM703" s="429">
        <f t="shared" ca="1" si="222"/>
        <v>0</v>
      </c>
      <c r="AN703" s="429">
        <f t="shared" ca="1" si="222"/>
        <v>0</v>
      </c>
      <c r="AO703" s="429">
        <f t="shared" ca="1" si="222"/>
        <v>0</v>
      </c>
      <c r="AP703" s="429">
        <f t="shared" ca="1" si="222"/>
        <v>0</v>
      </c>
      <c r="AQ703" s="429">
        <f t="shared" ca="1" si="222"/>
        <v>0</v>
      </c>
      <c r="AR703" s="429">
        <f t="shared" ca="1" si="222"/>
        <v>0</v>
      </c>
      <c r="AS703" s="429">
        <f t="shared" ca="1" si="222"/>
        <v>0</v>
      </c>
      <c r="AT703" s="429">
        <f t="shared" ca="1" si="222"/>
        <v>0</v>
      </c>
      <c r="AU703" s="429">
        <f t="shared" ca="1" si="222"/>
        <v>0</v>
      </c>
      <c r="AV703" s="429">
        <f t="shared" ca="1" si="222"/>
        <v>0</v>
      </c>
      <c r="AW703" s="429">
        <f t="shared" ca="1" si="222"/>
        <v>0</v>
      </c>
      <c r="AX703" s="429">
        <f t="shared" ca="1" si="222"/>
        <v>0</v>
      </c>
    </row>
    <row r="704" spans="1:50" s="2" customFormat="1" ht="15" customHeight="1">
      <c r="A704" s="852"/>
      <c r="B704" s="1015"/>
      <c r="C704" s="1016"/>
      <c r="D704" s="1017"/>
      <c r="E704" s="852" t="str">
        <f xml:space="preserve"> Translate!E$97</f>
        <v>Project loan cashflows net of state participation share, met by parent company</v>
      </c>
      <c r="F704" s="852"/>
      <c r="G704" s="1018" t="str">
        <f xml:space="preserve"> Translate!E$10</f>
        <v>US$ mn</v>
      </c>
      <c r="H704" s="852"/>
      <c r="I704" s="852">
        <f ca="1" xml:space="preserve"> SUM(K704:AX704)</f>
        <v>94.43921227254917</v>
      </c>
      <c r="J704" s="852"/>
      <c r="K704" s="852">
        <f t="shared" ref="K704:AX704" ca="1" si="223" xml:space="preserve"> K693 - K703</f>
        <v>0</v>
      </c>
      <c r="L704" s="852">
        <f t="shared" ca="1" si="223"/>
        <v>0</v>
      </c>
      <c r="M704" s="852">
        <f t="shared" ca="1" si="223"/>
        <v>0</v>
      </c>
      <c r="N704" s="852">
        <f t="shared" ca="1" si="223"/>
        <v>-37.142279999999992</v>
      </c>
      <c r="O704" s="852">
        <f t="shared" ca="1" si="223"/>
        <v>-189.42562799999999</v>
      </c>
      <c r="P704" s="852">
        <f t="shared" ca="1" si="223"/>
        <v>-77.285656223999993</v>
      </c>
      <c r="Q704" s="852">
        <f t="shared" ca="1" si="223"/>
        <v>88.201278608239775</v>
      </c>
      <c r="R704" s="852">
        <f t="shared" ca="1" si="223"/>
        <v>83.929916953774793</v>
      </c>
      <c r="S704" s="852">
        <f t="shared" ca="1" si="223"/>
        <v>79.658555299309825</v>
      </c>
      <c r="T704" s="852">
        <f t="shared" ca="1" si="223"/>
        <v>75.387193644844857</v>
      </c>
      <c r="U704" s="852">
        <f t="shared" ca="1" si="223"/>
        <v>71.115831990379888</v>
      </c>
      <c r="V704" s="852">
        <f t="shared" ca="1" si="223"/>
        <v>0</v>
      </c>
      <c r="W704" s="852">
        <f t="shared" ca="1" si="223"/>
        <v>0</v>
      </c>
      <c r="X704" s="852">
        <f t="shared" ca="1" si="223"/>
        <v>0</v>
      </c>
      <c r="Y704" s="852">
        <f t="shared" ca="1" si="223"/>
        <v>0</v>
      </c>
      <c r="Z704" s="852">
        <f t="shared" ca="1" si="223"/>
        <v>0</v>
      </c>
      <c r="AA704" s="852">
        <f t="shared" ca="1" si="223"/>
        <v>0</v>
      </c>
      <c r="AB704" s="852">
        <f t="shared" ca="1" si="223"/>
        <v>0</v>
      </c>
      <c r="AC704" s="852">
        <f t="shared" ca="1" si="223"/>
        <v>0</v>
      </c>
      <c r="AD704" s="852">
        <f t="shared" ca="1" si="223"/>
        <v>0</v>
      </c>
      <c r="AE704" s="852">
        <f t="shared" ca="1" si="223"/>
        <v>0</v>
      </c>
      <c r="AF704" s="852">
        <f t="shared" ca="1" si="223"/>
        <v>0</v>
      </c>
      <c r="AG704" s="852">
        <f t="shared" ca="1" si="223"/>
        <v>0</v>
      </c>
      <c r="AH704" s="852">
        <f t="shared" ca="1" si="223"/>
        <v>0</v>
      </c>
      <c r="AI704" s="852">
        <f t="shared" ca="1" si="223"/>
        <v>0</v>
      </c>
      <c r="AJ704" s="852">
        <f t="shared" ca="1" si="223"/>
        <v>0</v>
      </c>
      <c r="AK704" s="852">
        <f t="shared" ca="1" si="223"/>
        <v>0</v>
      </c>
      <c r="AL704" s="852">
        <f t="shared" ca="1" si="223"/>
        <v>0</v>
      </c>
      <c r="AM704" s="852">
        <f t="shared" ca="1" si="223"/>
        <v>0</v>
      </c>
      <c r="AN704" s="852">
        <f t="shared" ca="1" si="223"/>
        <v>0</v>
      </c>
      <c r="AO704" s="852">
        <f t="shared" ca="1" si="223"/>
        <v>0</v>
      </c>
      <c r="AP704" s="852">
        <f t="shared" ca="1" si="223"/>
        <v>0</v>
      </c>
      <c r="AQ704" s="852">
        <f t="shared" ca="1" si="223"/>
        <v>0</v>
      </c>
      <c r="AR704" s="852">
        <f t="shared" ca="1" si="223"/>
        <v>0</v>
      </c>
      <c r="AS704" s="852">
        <f t="shared" ca="1" si="223"/>
        <v>0</v>
      </c>
      <c r="AT704" s="852">
        <f t="shared" ca="1" si="223"/>
        <v>0</v>
      </c>
      <c r="AU704" s="852">
        <f t="shared" ca="1" si="223"/>
        <v>0</v>
      </c>
      <c r="AV704" s="852">
        <f t="shared" ca="1" si="223"/>
        <v>0</v>
      </c>
      <c r="AW704" s="852">
        <f t="shared" ca="1" si="223"/>
        <v>0</v>
      </c>
      <c r="AX704" s="852">
        <f t="shared" ca="1" si="223"/>
        <v>0</v>
      </c>
    </row>
    <row r="705" spans="1:50" ht="15" customHeight="1">
      <c r="A705" s="397"/>
      <c r="B705" s="508"/>
      <c r="C705" s="372"/>
      <c r="D705" s="1102"/>
      <c r="E705" s="1024"/>
      <c r="F705" s="1024"/>
      <c r="G705" s="22"/>
      <c r="H705" s="22"/>
      <c r="I705" s="1024"/>
      <c r="J705" s="1024"/>
      <c r="K705" s="1024"/>
      <c r="L705" s="1024"/>
      <c r="M705" s="1024"/>
      <c r="N705" s="1024"/>
      <c r="O705" s="1024"/>
      <c r="P705" s="1024"/>
      <c r="Q705" s="1024"/>
      <c r="R705" s="1024"/>
      <c r="S705" s="1024"/>
      <c r="T705" s="1024"/>
      <c r="U705" s="1024"/>
      <c r="V705" s="1024"/>
      <c r="W705" s="1024"/>
      <c r="X705" s="1024"/>
      <c r="Y705" s="1024"/>
      <c r="Z705" s="1024"/>
      <c r="AA705" s="1024"/>
      <c r="AB705" s="1024"/>
      <c r="AC705" s="1024"/>
      <c r="AD705" s="1024"/>
      <c r="AE705" s="1024"/>
      <c r="AF705" s="1024"/>
      <c r="AG705" s="1024"/>
      <c r="AH705" s="1024"/>
      <c r="AI705" s="1024"/>
      <c r="AJ705" s="1024"/>
      <c r="AK705" s="1024"/>
      <c r="AL705" s="1024"/>
      <c r="AM705" s="1024"/>
      <c r="AN705" s="1024"/>
      <c r="AO705" s="1024"/>
      <c r="AP705" s="1024"/>
      <c r="AQ705" s="1024"/>
      <c r="AR705" s="1024"/>
      <c r="AS705" s="1024"/>
      <c r="AT705" s="1024"/>
      <c r="AU705" s="1024"/>
      <c r="AV705" s="1024"/>
      <c r="AW705" s="1024"/>
      <c r="AX705" s="1024"/>
    </row>
    <row r="706" spans="1:50" ht="15" customHeight="1">
      <c r="A706" s="397"/>
      <c r="B706" s="508" t="str">
        <f xml:space="preserve"> Translate!E$101</f>
        <v>State participation cashflows including share of loan</v>
      </c>
      <c r="C706" s="372"/>
      <c r="D706" s="1102"/>
      <c r="E706" s="1024"/>
      <c r="F706" s="1024"/>
      <c r="G706" s="22"/>
      <c r="H706" s="22"/>
      <c r="I706" s="1024"/>
      <c r="J706" s="1024"/>
      <c r="K706" s="1024"/>
      <c r="L706" s="1024"/>
      <c r="M706" s="1024"/>
      <c r="N706" s="1024"/>
      <c r="O706" s="1024"/>
      <c r="P706" s="1024"/>
      <c r="Q706" s="1024"/>
      <c r="R706" s="1024"/>
      <c r="S706" s="1024"/>
      <c r="T706" s="1024"/>
      <c r="U706" s="1024"/>
      <c r="V706" s="1024"/>
      <c r="W706" s="1024"/>
      <c r="X706" s="1024"/>
      <c r="Y706" s="1024"/>
      <c r="Z706" s="1024"/>
      <c r="AA706" s="1024"/>
      <c r="AB706" s="1024"/>
      <c r="AC706" s="1024"/>
      <c r="AD706" s="1024"/>
      <c r="AE706" s="1024"/>
      <c r="AF706" s="1024"/>
      <c r="AG706" s="1024"/>
      <c r="AH706" s="1024"/>
      <c r="AI706" s="1024"/>
      <c r="AJ706" s="1024"/>
      <c r="AK706" s="1024"/>
      <c r="AL706" s="1024"/>
      <c r="AM706" s="1024"/>
      <c r="AN706" s="1024"/>
      <c r="AO706" s="1024"/>
      <c r="AP706" s="1024"/>
      <c r="AQ706" s="1024"/>
      <c r="AR706" s="1024"/>
      <c r="AS706" s="1024"/>
      <c r="AT706" s="1024"/>
      <c r="AU706" s="1024"/>
      <c r="AV706" s="1024"/>
      <c r="AW706" s="1024"/>
      <c r="AX706" s="1024"/>
    </row>
    <row r="707" spans="1:50" ht="15" customHeight="1">
      <c r="A707" s="397"/>
      <c r="B707" s="508"/>
      <c r="C707" s="372"/>
      <c r="D707" s="1102"/>
      <c r="E707" s="1024" t="str">
        <f xml:space="preserve"> E$687</f>
        <v>State participation before tax, after carried interest, excluding share of loan</v>
      </c>
      <c r="F707" s="1024">
        <f t="shared" ref="F707:AX707" si="224" xml:space="preserve"> F$687</f>
        <v>0</v>
      </c>
      <c r="G707" s="1024" t="str">
        <f t="shared" si="224"/>
        <v>US$ mn</v>
      </c>
      <c r="H707" s="1024">
        <f t="shared" si="224"/>
        <v>0</v>
      </c>
      <c r="I707" s="1024">
        <f t="shared" ca="1" si="224"/>
        <v>0</v>
      </c>
      <c r="J707" s="1024">
        <f t="shared" si="224"/>
        <v>0</v>
      </c>
      <c r="K707" s="1024">
        <f t="shared" ca="1" si="224"/>
        <v>0</v>
      </c>
      <c r="L707" s="1024">
        <f t="shared" ca="1" si="224"/>
        <v>0</v>
      </c>
      <c r="M707" s="1024">
        <f t="shared" ca="1" si="224"/>
        <v>0</v>
      </c>
      <c r="N707" s="1024">
        <f t="shared" ca="1" si="224"/>
        <v>0</v>
      </c>
      <c r="O707" s="1024">
        <f t="shared" ca="1" si="224"/>
        <v>0</v>
      </c>
      <c r="P707" s="1024">
        <f t="shared" ca="1" si="224"/>
        <v>0</v>
      </c>
      <c r="Q707" s="1024">
        <f t="shared" ca="1" si="224"/>
        <v>0</v>
      </c>
      <c r="R707" s="1024">
        <f t="shared" ca="1" si="224"/>
        <v>0</v>
      </c>
      <c r="S707" s="1024">
        <f t="shared" ca="1" si="224"/>
        <v>0</v>
      </c>
      <c r="T707" s="1024">
        <f t="shared" ca="1" si="224"/>
        <v>0</v>
      </c>
      <c r="U707" s="1024">
        <f t="shared" ca="1" si="224"/>
        <v>0</v>
      </c>
      <c r="V707" s="1024">
        <f t="shared" ca="1" si="224"/>
        <v>0</v>
      </c>
      <c r="W707" s="1024">
        <f t="shared" ca="1" si="224"/>
        <v>0</v>
      </c>
      <c r="X707" s="1024">
        <f t="shared" ca="1" si="224"/>
        <v>0</v>
      </c>
      <c r="Y707" s="1024">
        <f t="shared" ca="1" si="224"/>
        <v>0</v>
      </c>
      <c r="Z707" s="1024">
        <f t="shared" ca="1" si="224"/>
        <v>0</v>
      </c>
      <c r="AA707" s="1024">
        <f t="shared" ca="1" si="224"/>
        <v>0</v>
      </c>
      <c r="AB707" s="1024">
        <f t="shared" ca="1" si="224"/>
        <v>0</v>
      </c>
      <c r="AC707" s="1024">
        <f t="shared" ca="1" si="224"/>
        <v>0</v>
      </c>
      <c r="AD707" s="1024">
        <f t="shared" ca="1" si="224"/>
        <v>0</v>
      </c>
      <c r="AE707" s="1024">
        <f t="shared" ca="1" si="224"/>
        <v>0</v>
      </c>
      <c r="AF707" s="1024">
        <f t="shared" ca="1" si="224"/>
        <v>0</v>
      </c>
      <c r="AG707" s="1024">
        <f t="shared" ca="1" si="224"/>
        <v>0</v>
      </c>
      <c r="AH707" s="1024">
        <f t="shared" ca="1" si="224"/>
        <v>0</v>
      </c>
      <c r="AI707" s="1024">
        <f t="shared" ca="1" si="224"/>
        <v>0</v>
      </c>
      <c r="AJ707" s="1024">
        <f t="shared" ca="1" si="224"/>
        <v>0</v>
      </c>
      <c r="AK707" s="1024">
        <f t="shared" ca="1" si="224"/>
        <v>0</v>
      </c>
      <c r="AL707" s="1024">
        <f t="shared" ca="1" si="224"/>
        <v>0</v>
      </c>
      <c r="AM707" s="1024">
        <f t="shared" ca="1" si="224"/>
        <v>0</v>
      </c>
      <c r="AN707" s="1024">
        <f t="shared" ca="1" si="224"/>
        <v>0</v>
      </c>
      <c r="AO707" s="1024">
        <f t="shared" ca="1" si="224"/>
        <v>0</v>
      </c>
      <c r="AP707" s="1024">
        <f t="shared" ca="1" si="224"/>
        <v>0</v>
      </c>
      <c r="AQ707" s="1024">
        <f t="shared" ca="1" si="224"/>
        <v>0</v>
      </c>
      <c r="AR707" s="1024">
        <f t="shared" ca="1" si="224"/>
        <v>0</v>
      </c>
      <c r="AS707" s="1024">
        <f t="shared" ca="1" si="224"/>
        <v>0</v>
      </c>
      <c r="AT707" s="1024">
        <f t="shared" ca="1" si="224"/>
        <v>0</v>
      </c>
      <c r="AU707" s="1024">
        <f t="shared" ca="1" si="224"/>
        <v>0</v>
      </c>
      <c r="AV707" s="1024">
        <f t="shared" ca="1" si="224"/>
        <v>0</v>
      </c>
      <c r="AW707" s="1024">
        <f t="shared" ca="1" si="224"/>
        <v>0</v>
      </c>
      <c r="AX707" s="1024">
        <f t="shared" ca="1" si="224"/>
        <v>0</v>
      </c>
    </row>
    <row r="708" spans="1:50" ht="15" customHeight="1">
      <c r="A708" s="397"/>
      <c r="B708" s="508"/>
      <c r="C708" s="372"/>
      <c r="D708" s="1102"/>
      <c r="E708" s="1024" t="str">
        <f xml:space="preserve"> E$703</f>
        <v>Project loan cashflows met by state participant</v>
      </c>
      <c r="F708" s="1024">
        <f t="shared" ref="F708:AX708" si="225" xml:space="preserve"> F$703</f>
        <v>0</v>
      </c>
      <c r="G708" s="1024" t="str">
        <f t="shared" si="225"/>
        <v>US$ mn</v>
      </c>
      <c r="H708" s="1024">
        <f t="shared" si="225"/>
        <v>0</v>
      </c>
      <c r="I708" s="1024">
        <f t="shared" ca="1" si="225"/>
        <v>0</v>
      </c>
      <c r="J708" s="1024">
        <f t="shared" si="225"/>
        <v>0</v>
      </c>
      <c r="K708" s="1024">
        <f t="shared" ca="1" si="225"/>
        <v>0</v>
      </c>
      <c r="L708" s="1024">
        <f t="shared" ca="1" si="225"/>
        <v>0</v>
      </c>
      <c r="M708" s="1024">
        <f t="shared" ca="1" si="225"/>
        <v>0</v>
      </c>
      <c r="N708" s="1024">
        <f t="shared" ca="1" si="225"/>
        <v>0</v>
      </c>
      <c r="O708" s="1024">
        <f t="shared" ca="1" si="225"/>
        <v>0</v>
      </c>
      <c r="P708" s="1024">
        <f t="shared" ca="1" si="225"/>
        <v>0</v>
      </c>
      <c r="Q708" s="1024">
        <f t="shared" ca="1" si="225"/>
        <v>0</v>
      </c>
      <c r="R708" s="1024">
        <f t="shared" ca="1" si="225"/>
        <v>0</v>
      </c>
      <c r="S708" s="1024">
        <f t="shared" ca="1" si="225"/>
        <v>0</v>
      </c>
      <c r="T708" s="1024">
        <f t="shared" ca="1" si="225"/>
        <v>0</v>
      </c>
      <c r="U708" s="1024">
        <f t="shared" ca="1" si="225"/>
        <v>0</v>
      </c>
      <c r="V708" s="1024">
        <f t="shared" ca="1" si="225"/>
        <v>0</v>
      </c>
      <c r="W708" s="1024">
        <f t="shared" ca="1" si="225"/>
        <v>0</v>
      </c>
      <c r="X708" s="1024">
        <f t="shared" ca="1" si="225"/>
        <v>0</v>
      </c>
      <c r="Y708" s="1024">
        <f t="shared" ca="1" si="225"/>
        <v>0</v>
      </c>
      <c r="Z708" s="1024">
        <f t="shared" ca="1" si="225"/>
        <v>0</v>
      </c>
      <c r="AA708" s="1024">
        <f t="shared" ca="1" si="225"/>
        <v>0</v>
      </c>
      <c r="AB708" s="1024">
        <f t="shared" ca="1" si="225"/>
        <v>0</v>
      </c>
      <c r="AC708" s="1024">
        <f t="shared" ca="1" si="225"/>
        <v>0</v>
      </c>
      <c r="AD708" s="1024">
        <f t="shared" ca="1" si="225"/>
        <v>0</v>
      </c>
      <c r="AE708" s="1024">
        <f t="shared" ca="1" si="225"/>
        <v>0</v>
      </c>
      <c r="AF708" s="1024">
        <f t="shared" ca="1" si="225"/>
        <v>0</v>
      </c>
      <c r="AG708" s="1024">
        <f t="shared" ca="1" si="225"/>
        <v>0</v>
      </c>
      <c r="AH708" s="1024">
        <f t="shared" ca="1" si="225"/>
        <v>0</v>
      </c>
      <c r="AI708" s="1024">
        <f t="shared" ca="1" si="225"/>
        <v>0</v>
      </c>
      <c r="AJ708" s="1024">
        <f t="shared" ca="1" si="225"/>
        <v>0</v>
      </c>
      <c r="AK708" s="1024">
        <f t="shared" ca="1" si="225"/>
        <v>0</v>
      </c>
      <c r="AL708" s="1024">
        <f t="shared" ca="1" si="225"/>
        <v>0</v>
      </c>
      <c r="AM708" s="1024">
        <f t="shared" ca="1" si="225"/>
        <v>0</v>
      </c>
      <c r="AN708" s="1024">
        <f t="shared" ca="1" si="225"/>
        <v>0</v>
      </c>
      <c r="AO708" s="1024">
        <f t="shared" ca="1" si="225"/>
        <v>0</v>
      </c>
      <c r="AP708" s="1024">
        <f t="shared" ca="1" si="225"/>
        <v>0</v>
      </c>
      <c r="AQ708" s="1024">
        <f t="shared" ca="1" si="225"/>
        <v>0</v>
      </c>
      <c r="AR708" s="1024">
        <f t="shared" ca="1" si="225"/>
        <v>0</v>
      </c>
      <c r="AS708" s="1024">
        <f t="shared" ca="1" si="225"/>
        <v>0</v>
      </c>
      <c r="AT708" s="1024">
        <f t="shared" ca="1" si="225"/>
        <v>0</v>
      </c>
      <c r="AU708" s="1024">
        <f t="shared" ca="1" si="225"/>
        <v>0</v>
      </c>
      <c r="AV708" s="1024">
        <f t="shared" ca="1" si="225"/>
        <v>0</v>
      </c>
      <c r="AW708" s="1024">
        <f t="shared" ca="1" si="225"/>
        <v>0</v>
      </c>
      <c r="AX708" s="1024">
        <f t="shared" ca="1" si="225"/>
        <v>0</v>
      </c>
    </row>
    <row r="709" spans="1:50" s="2" customFormat="1" ht="15" customHeight="1">
      <c r="A709" s="852"/>
      <c r="B709" s="1015"/>
      <c r="C709" s="1016"/>
      <c r="D709" s="1017"/>
      <c r="E709" s="1018" t="str">
        <f xml:space="preserve"> Translate!E$101</f>
        <v>State participation cashflows including share of loan</v>
      </c>
      <c r="F709" s="1018"/>
      <c r="G709" s="1018" t="str">
        <f xml:space="preserve"> Translate!E$10</f>
        <v>US$ mn</v>
      </c>
      <c r="H709" s="1018"/>
      <c r="I709" s="1018">
        <f ca="1" xml:space="preserve"> SUM(K709:AX709)</f>
        <v>0</v>
      </c>
      <c r="J709" s="1018"/>
      <c r="K709" s="1018">
        <f ca="1">K707 + K708</f>
        <v>0</v>
      </c>
      <c r="L709" s="1018">
        <f t="shared" ref="L709:AX709" ca="1" si="226">L707 + L708</f>
        <v>0</v>
      </c>
      <c r="M709" s="1018">
        <f t="shared" ca="1" si="226"/>
        <v>0</v>
      </c>
      <c r="N709" s="1018">
        <f t="shared" ca="1" si="226"/>
        <v>0</v>
      </c>
      <c r="O709" s="1018">
        <f t="shared" ca="1" si="226"/>
        <v>0</v>
      </c>
      <c r="P709" s="1018">
        <f t="shared" ca="1" si="226"/>
        <v>0</v>
      </c>
      <c r="Q709" s="1018">
        <f t="shared" ca="1" si="226"/>
        <v>0</v>
      </c>
      <c r="R709" s="1018">
        <f t="shared" ca="1" si="226"/>
        <v>0</v>
      </c>
      <c r="S709" s="1018">
        <f t="shared" ca="1" si="226"/>
        <v>0</v>
      </c>
      <c r="T709" s="1018">
        <f t="shared" ca="1" si="226"/>
        <v>0</v>
      </c>
      <c r="U709" s="1018">
        <f t="shared" ca="1" si="226"/>
        <v>0</v>
      </c>
      <c r="V709" s="1018">
        <f t="shared" ca="1" si="226"/>
        <v>0</v>
      </c>
      <c r="W709" s="1018">
        <f t="shared" ca="1" si="226"/>
        <v>0</v>
      </c>
      <c r="X709" s="1018">
        <f t="shared" ca="1" si="226"/>
        <v>0</v>
      </c>
      <c r="Y709" s="1018">
        <f t="shared" ca="1" si="226"/>
        <v>0</v>
      </c>
      <c r="Z709" s="1018">
        <f t="shared" ca="1" si="226"/>
        <v>0</v>
      </c>
      <c r="AA709" s="1018">
        <f t="shared" ca="1" si="226"/>
        <v>0</v>
      </c>
      <c r="AB709" s="1018">
        <f t="shared" ca="1" si="226"/>
        <v>0</v>
      </c>
      <c r="AC709" s="1018">
        <f t="shared" ca="1" si="226"/>
        <v>0</v>
      </c>
      <c r="AD709" s="1018">
        <f t="shared" ca="1" si="226"/>
        <v>0</v>
      </c>
      <c r="AE709" s="1018">
        <f t="shared" ca="1" si="226"/>
        <v>0</v>
      </c>
      <c r="AF709" s="1018">
        <f t="shared" ca="1" si="226"/>
        <v>0</v>
      </c>
      <c r="AG709" s="1018">
        <f t="shared" ca="1" si="226"/>
        <v>0</v>
      </c>
      <c r="AH709" s="1018">
        <f t="shared" ca="1" si="226"/>
        <v>0</v>
      </c>
      <c r="AI709" s="1018">
        <f t="shared" ca="1" si="226"/>
        <v>0</v>
      </c>
      <c r="AJ709" s="1018">
        <f t="shared" ca="1" si="226"/>
        <v>0</v>
      </c>
      <c r="AK709" s="1018">
        <f t="shared" ca="1" si="226"/>
        <v>0</v>
      </c>
      <c r="AL709" s="1018">
        <f t="shared" ca="1" si="226"/>
        <v>0</v>
      </c>
      <c r="AM709" s="1018">
        <f t="shared" ca="1" si="226"/>
        <v>0</v>
      </c>
      <c r="AN709" s="1018">
        <f t="shared" ca="1" si="226"/>
        <v>0</v>
      </c>
      <c r="AO709" s="1018">
        <f t="shared" ca="1" si="226"/>
        <v>0</v>
      </c>
      <c r="AP709" s="1018">
        <f t="shared" ca="1" si="226"/>
        <v>0</v>
      </c>
      <c r="AQ709" s="1018">
        <f t="shared" ca="1" si="226"/>
        <v>0</v>
      </c>
      <c r="AR709" s="1018">
        <f t="shared" ca="1" si="226"/>
        <v>0</v>
      </c>
      <c r="AS709" s="1018">
        <f t="shared" ca="1" si="226"/>
        <v>0</v>
      </c>
      <c r="AT709" s="1018">
        <f t="shared" ca="1" si="226"/>
        <v>0</v>
      </c>
      <c r="AU709" s="1018">
        <f t="shared" ca="1" si="226"/>
        <v>0</v>
      </c>
      <c r="AV709" s="1018">
        <f t="shared" ca="1" si="226"/>
        <v>0</v>
      </c>
      <c r="AW709" s="1018">
        <f t="shared" ca="1" si="226"/>
        <v>0</v>
      </c>
      <c r="AX709" s="1018">
        <f t="shared" ca="1" si="226"/>
        <v>0</v>
      </c>
    </row>
    <row r="710" spans="1:50" ht="15" customHeight="1">
      <c r="A710" s="397"/>
      <c r="B710" s="508"/>
      <c r="C710" s="372"/>
      <c r="D710" s="1102"/>
      <c r="E710" s="1024"/>
      <c r="F710" s="1024"/>
      <c r="G710" s="22"/>
      <c r="H710" s="22"/>
      <c r="I710" s="1024"/>
      <c r="J710" s="1024"/>
      <c r="K710" s="1024"/>
      <c r="L710" s="1024"/>
      <c r="M710" s="1024"/>
      <c r="N710" s="1024"/>
      <c r="O710" s="1024"/>
      <c r="P710" s="1024"/>
      <c r="Q710" s="1024"/>
      <c r="R710" s="1024"/>
      <c r="S710" s="1024"/>
      <c r="T710" s="1024"/>
      <c r="U710" s="1024"/>
      <c r="V710" s="1024"/>
      <c r="W710" s="1024"/>
      <c r="X710" s="1024"/>
      <c r="Y710" s="1024"/>
      <c r="Z710" s="1024"/>
      <c r="AA710" s="1024"/>
      <c r="AB710" s="1024"/>
      <c r="AC710" s="1024"/>
      <c r="AD710" s="1024"/>
      <c r="AE710" s="1024"/>
      <c r="AF710" s="1024"/>
      <c r="AG710" s="1024"/>
      <c r="AH710" s="1024"/>
      <c r="AI710" s="1024"/>
      <c r="AJ710" s="1024"/>
      <c r="AK710" s="1024"/>
      <c r="AL710" s="1024"/>
      <c r="AM710" s="1024"/>
      <c r="AN710" s="1024"/>
      <c r="AO710" s="1024"/>
      <c r="AP710" s="1024"/>
      <c r="AQ710" s="1024"/>
      <c r="AR710" s="1024"/>
      <c r="AS710" s="1024"/>
      <c r="AT710" s="1024"/>
      <c r="AU710" s="1024"/>
      <c r="AV710" s="1024"/>
      <c r="AW710" s="1024"/>
      <c r="AX710" s="1024"/>
    </row>
    <row r="711" spans="1:50" ht="15" customHeight="1">
      <c r="A711" s="397"/>
      <c r="B711" s="508"/>
      <c r="C711" s="372"/>
      <c r="D711" s="1102"/>
      <c r="E711" s="1024"/>
      <c r="F711" s="1024"/>
      <c r="G711" s="22"/>
      <c r="H711" s="22"/>
      <c r="I711" s="1024"/>
      <c r="J711" s="1024"/>
      <c r="K711" s="1024"/>
      <c r="L711" s="1024"/>
      <c r="M711" s="1024"/>
      <c r="N711" s="1024"/>
      <c r="O711" s="1024"/>
      <c r="P711" s="1024"/>
      <c r="Q711" s="1024"/>
      <c r="R711" s="1024"/>
      <c r="S711" s="1024"/>
      <c r="T711" s="1024"/>
      <c r="U711" s="1024"/>
      <c r="V711" s="1024"/>
      <c r="W711" s="1024"/>
      <c r="X711" s="1024"/>
      <c r="Y711" s="1024"/>
      <c r="Z711" s="1024"/>
      <c r="AA711" s="1024"/>
      <c r="AB711" s="1024"/>
      <c r="AC711" s="1024"/>
      <c r="AD711" s="1024"/>
      <c r="AE711" s="1024"/>
      <c r="AF711" s="1024"/>
      <c r="AG711" s="1024"/>
      <c r="AH711" s="1024"/>
      <c r="AI711" s="1024"/>
      <c r="AJ711" s="1024"/>
      <c r="AK711" s="1024"/>
      <c r="AL711" s="1024"/>
      <c r="AM711" s="1024"/>
      <c r="AN711" s="1024"/>
      <c r="AO711" s="1024"/>
      <c r="AP711" s="1024"/>
      <c r="AQ711" s="1024"/>
      <c r="AR711" s="1024"/>
      <c r="AS711" s="1024"/>
      <c r="AT711" s="1024"/>
      <c r="AU711" s="1024"/>
      <c r="AV711" s="1024"/>
      <c r="AW711" s="1024"/>
      <c r="AX711" s="1024"/>
    </row>
    <row r="712" spans="1:50" ht="15" customHeight="1">
      <c r="A712" s="351" t="str">
        <f>Translate!$E$38</f>
        <v>Parent company cashflows</v>
      </c>
      <c r="B712" s="686"/>
      <c r="C712" s="352"/>
      <c r="D712" s="353"/>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row>
    <row r="713" spans="1:50" ht="15" customHeight="1">
      <c r="A713" s="397"/>
      <c r="B713" s="508"/>
      <c r="C713" s="372"/>
      <c r="D713" s="1102"/>
      <c r="E713" s="1024"/>
      <c r="F713" s="1024"/>
      <c r="G713" s="22"/>
      <c r="H713" s="22"/>
      <c r="I713" s="1024"/>
      <c r="J713" s="1024"/>
      <c r="K713" s="1024"/>
      <c r="L713" s="1024"/>
      <c r="M713" s="1024"/>
      <c r="N713" s="1024"/>
      <c r="O713" s="1024"/>
      <c r="P713" s="1024"/>
      <c r="Q713" s="1024"/>
      <c r="R713" s="1024"/>
      <c r="S713" s="1024"/>
      <c r="T713" s="1024"/>
      <c r="U713" s="1024"/>
      <c r="V713" s="1024"/>
      <c r="W713" s="1024"/>
      <c r="X713" s="1024"/>
      <c r="Y713" s="1024"/>
      <c r="Z713" s="1024"/>
      <c r="AA713" s="1024"/>
      <c r="AB713" s="1024"/>
      <c r="AC713" s="1024"/>
      <c r="AD713" s="1024"/>
      <c r="AE713" s="1024"/>
      <c r="AF713" s="1024"/>
      <c r="AG713" s="1024"/>
      <c r="AH713" s="1024"/>
      <c r="AI713" s="1024"/>
      <c r="AJ713" s="1024"/>
      <c r="AK713" s="1024"/>
      <c r="AL713" s="1024"/>
      <c r="AM713" s="1024"/>
      <c r="AN713" s="1024"/>
      <c r="AO713" s="1024"/>
      <c r="AP713" s="1024"/>
      <c r="AQ713" s="1024"/>
      <c r="AR713" s="1024"/>
      <c r="AS713" s="1024"/>
      <c r="AT713" s="1024"/>
      <c r="AU713" s="1024"/>
      <c r="AV713" s="1024"/>
      <c r="AW713" s="1024"/>
      <c r="AX713" s="1024"/>
    </row>
    <row r="714" spans="1:50" ht="15" customHeight="1">
      <c r="A714" s="397"/>
      <c r="B714" s="508"/>
      <c r="C714" s="372"/>
      <c r="D714" s="1102" t="str">
        <f>Translate!$E$605</f>
        <v>add</v>
      </c>
      <c r="E714" s="1024" t="str">
        <f t="shared" ref="E714:AX714" si="227" xml:space="preserve"> E$598</f>
        <v>Mining company cash flow before distributions</v>
      </c>
      <c r="F714" s="1024">
        <f t="shared" si="227"/>
        <v>0</v>
      </c>
      <c r="G714" s="1024" t="str">
        <f t="shared" si="227"/>
        <v>US$ mn</v>
      </c>
      <c r="H714" s="1024">
        <f t="shared" si="227"/>
        <v>0</v>
      </c>
      <c r="I714" s="1024">
        <f t="shared" ca="1" si="227"/>
        <v>1220.1772541500341</v>
      </c>
      <c r="J714" s="1024">
        <f t="shared" si="227"/>
        <v>0</v>
      </c>
      <c r="K714" s="1024">
        <f t="shared" ca="1" si="227"/>
        <v>-10</v>
      </c>
      <c r="L714" s="1024">
        <f t="shared" ca="1" si="227"/>
        <v>-10.199999999999999</v>
      </c>
      <c r="M714" s="1024">
        <f t="shared" ca="1" si="227"/>
        <v>-10.404</v>
      </c>
      <c r="N714" s="1024">
        <f t="shared" ca="1" si="227"/>
        <v>-15.918120000000002</v>
      </c>
      <c r="O714" s="1024">
        <f t="shared" ca="1" si="227"/>
        <v>-70.885776078000021</v>
      </c>
      <c r="P714" s="1024">
        <f t="shared" ca="1" si="227"/>
        <v>36.814194281699983</v>
      </c>
      <c r="Q714" s="1024">
        <f t="shared" ca="1" si="227"/>
        <v>61.105743539455233</v>
      </c>
      <c r="R714" s="1024">
        <f t="shared" ca="1" si="227"/>
        <v>68.885300950197575</v>
      </c>
      <c r="S714" s="1024">
        <f t="shared" ca="1" si="227"/>
        <v>67.51405992060279</v>
      </c>
      <c r="T714" s="1024">
        <f t="shared" ca="1" si="227"/>
        <v>48.295363019498346</v>
      </c>
      <c r="U714" s="1024">
        <f t="shared" ca="1" si="227"/>
        <v>47.845423035243094</v>
      </c>
      <c r="V714" s="1024">
        <f t="shared" ca="1" si="227"/>
        <v>120.4691223486245</v>
      </c>
      <c r="W714" s="1024">
        <f t="shared" ca="1" si="227"/>
        <v>122.87850479559705</v>
      </c>
      <c r="X714" s="1024">
        <f t="shared" ca="1" si="227"/>
        <v>122.79317916105751</v>
      </c>
      <c r="Y714" s="1024">
        <f t="shared" ca="1" si="227"/>
        <v>125.29990065888771</v>
      </c>
      <c r="Z714" s="1024">
        <f t="shared" ca="1" si="227"/>
        <v>127.85675658667449</v>
      </c>
      <c r="AA714" s="1024">
        <f t="shared" ca="1" si="227"/>
        <v>106.95922639760303</v>
      </c>
      <c r="AB714" s="1024">
        <f t="shared" ca="1" si="227"/>
        <v>95.748258337783</v>
      </c>
      <c r="AC714" s="1024">
        <f t="shared" ca="1" si="227"/>
        <v>72.631626889224719</v>
      </c>
      <c r="AD714" s="1024">
        <f t="shared" ca="1" si="227"/>
        <v>63.530109465177134</v>
      </c>
      <c r="AE714" s="1024">
        <f t="shared" ca="1" si="227"/>
        <v>48.958380840707889</v>
      </c>
      <c r="AF714" s="1024">
        <f t="shared" ca="1" si="227"/>
        <v>0</v>
      </c>
      <c r="AG714" s="1024">
        <f t="shared" ca="1" si="227"/>
        <v>0</v>
      </c>
      <c r="AH714" s="1024">
        <f t="shared" ca="1" si="227"/>
        <v>0</v>
      </c>
      <c r="AI714" s="1024">
        <f t="shared" ca="1" si="227"/>
        <v>0</v>
      </c>
      <c r="AJ714" s="1024">
        <f t="shared" ca="1" si="227"/>
        <v>0</v>
      </c>
      <c r="AK714" s="1024">
        <f t="shared" ca="1" si="227"/>
        <v>0</v>
      </c>
      <c r="AL714" s="1024">
        <f t="shared" ca="1" si="227"/>
        <v>0</v>
      </c>
      <c r="AM714" s="1024">
        <f t="shared" ca="1" si="227"/>
        <v>0</v>
      </c>
      <c r="AN714" s="1024">
        <f t="shared" ca="1" si="227"/>
        <v>0</v>
      </c>
      <c r="AO714" s="1024">
        <f t="shared" ca="1" si="227"/>
        <v>0</v>
      </c>
      <c r="AP714" s="1024">
        <f t="shared" ca="1" si="227"/>
        <v>0</v>
      </c>
      <c r="AQ714" s="1024">
        <f t="shared" ca="1" si="227"/>
        <v>0</v>
      </c>
      <c r="AR714" s="1024">
        <f t="shared" ca="1" si="227"/>
        <v>0</v>
      </c>
      <c r="AS714" s="1024">
        <f t="shared" ca="1" si="227"/>
        <v>0</v>
      </c>
      <c r="AT714" s="1024">
        <f t="shared" ca="1" si="227"/>
        <v>0</v>
      </c>
      <c r="AU714" s="1024">
        <f t="shared" ca="1" si="227"/>
        <v>0</v>
      </c>
      <c r="AV714" s="1024">
        <f t="shared" ca="1" si="227"/>
        <v>0</v>
      </c>
      <c r="AW714" s="1024">
        <f t="shared" ca="1" si="227"/>
        <v>0</v>
      </c>
      <c r="AX714" s="1024">
        <f t="shared" ca="1" si="227"/>
        <v>0</v>
      </c>
    </row>
    <row r="715" spans="1:50" ht="15" customHeight="1">
      <c r="A715" s="397"/>
      <c r="B715" s="508"/>
      <c r="C715" s="372"/>
      <c r="D715" s="1102" t="str">
        <f>Translate!$E$606</f>
        <v>less</v>
      </c>
      <c r="E715" s="1024" t="str">
        <f t="shared" ref="E715:AX715" si="228" xml:space="preserve"> E$687</f>
        <v>State participation before tax, after carried interest, excluding share of loan</v>
      </c>
      <c r="F715" s="1024">
        <f t="shared" si="228"/>
        <v>0</v>
      </c>
      <c r="G715" s="1024" t="str">
        <f t="shared" si="228"/>
        <v>US$ mn</v>
      </c>
      <c r="H715" s="1024">
        <f t="shared" si="228"/>
        <v>0</v>
      </c>
      <c r="I715" s="1024">
        <f t="shared" ca="1" si="228"/>
        <v>0</v>
      </c>
      <c r="J715" s="1024">
        <f t="shared" si="228"/>
        <v>0</v>
      </c>
      <c r="K715" s="1024">
        <f t="shared" ca="1" si="228"/>
        <v>0</v>
      </c>
      <c r="L715" s="1024">
        <f t="shared" ca="1" si="228"/>
        <v>0</v>
      </c>
      <c r="M715" s="1024">
        <f t="shared" ca="1" si="228"/>
        <v>0</v>
      </c>
      <c r="N715" s="1024">
        <f t="shared" ca="1" si="228"/>
        <v>0</v>
      </c>
      <c r="O715" s="1024">
        <f t="shared" ca="1" si="228"/>
        <v>0</v>
      </c>
      <c r="P715" s="1024">
        <f t="shared" ca="1" si="228"/>
        <v>0</v>
      </c>
      <c r="Q715" s="1024">
        <f t="shared" ca="1" si="228"/>
        <v>0</v>
      </c>
      <c r="R715" s="1024">
        <f t="shared" ca="1" si="228"/>
        <v>0</v>
      </c>
      <c r="S715" s="1024">
        <f t="shared" ca="1" si="228"/>
        <v>0</v>
      </c>
      <c r="T715" s="1024">
        <f t="shared" ca="1" si="228"/>
        <v>0</v>
      </c>
      <c r="U715" s="1024">
        <f t="shared" ca="1" si="228"/>
        <v>0</v>
      </c>
      <c r="V715" s="1024">
        <f t="shared" ca="1" si="228"/>
        <v>0</v>
      </c>
      <c r="W715" s="1024">
        <f t="shared" ca="1" si="228"/>
        <v>0</v>
      </c>
      <c r="X715" s="1024">
        <f t="shared" ca="1" si="228"/>
        <v>0</v>
      </c>
      <c r="Y715" s="1024">
        <f t="shared" ca="1" si="228"/>
        <v>0</v>
      </c>
      <c r="Z715" s="1024">
        <f t="shared" ca="1" si="228"/>
        <v>0</v>
      </c>
      <c r="AA715" s="1024">
        <f t="shared" ca="1" si="228"/>
        <v>0</v>
      </c>
      <c r="AB715" s="1024">
        <f t="shared" ca="1" si="228"/>
        <v>0</v>
      </c>
      <c r="AC715" s="1024">
        <f t="shared" ca="1" si="228"/>
        <v>0</v>
      </c>
      <c r="AD715" s="1024">
        <f t="shared" ca="1" si="228"/>
        <v>0</v>
      </c>
      <c r="AE715" s="1024">
        <f t="shared" ca="1" si="228"/>
        <v>0</v>
      </c>
      <c r="AF715" s="1024">
        <f t="shared" ca="1" si="228"/>
        <v>0</v>
      </c>
      <c r="AG715" s="1024">
        <f t="shared" ca="1" si="228"/>
        <v>0</v>
      </c>
      <c r="AH715" s="1024">
        <f t="shared" ca="1" si="228"/>
        <v>0</v>
      </c>
      <c r="AI715" s="1024">
        <f t="shared" ca="1" si="228"/>
        <v>0</v>
      </c>
      <c r="AJ715" s="1024">
        <f t="shared" ca="1" si="228"/>
        <v>0</v>
      </c>
      <c r="AK715" s="1024">
        <f t="shared" ca="1" si="228"/>
        <v>0</v>
      </c>
      <c r="AL715" s="1024">
        <f t="shared" ca="1" si="228"/>
        <v>0</v>
      </c>
      <c r="AM715" s="1024">
        <f t="shared" ca="1" si="228"/>
        <v>0</v>
      </c>
      <c r="AN715" s="1024">
        <f t="shared" ca="1" si="228"/>
        <v>0</v>
      </c>
      <c r="AO715" s="1024">
        <f t="shared" ca="1" si="228"/>
        <v>0</v>
      </c>
      <c r="AP715" s="1024">
        <f t="shared" ca="1" si="228"/>
        <v>0</v>
      </c>
      <c r="AQ715" s="1024">
        <f t="shared" ca="1" si="228"/>
        <v>0</v>
      </c>
      <c r="AR715" s="1024">
        <f t="shared" ca="1" si="228"/>
        <v>0</v>
      </c>
      <c r="AS715" s="1024">
        <f t="shared" ca="1" si="228"/>
        <v>0</v>
      </c>
      <c r="AT715" s="1024">
        <f t="shared" ca="1" si="228"/>
        <v>0</v>
      </c>
      <c r="AU715" s="1024">
        <f t="shared" ca="1" si="228"/>
        <v>0</v>
      </c>
      <c r="AV715" s="1024">
        <f t="shared" ca="1" si="228"/>
        <v>0</v>
      </c>
      <c r="AW715" s="1024">
        <f t="shared" ca="1" si="228"/>
        <v>0</v>
      </c>
      <c r="AX715" s="1024">
        <f t="shared" ca="1" si="228"/>
        <v>0</v>
      </c>
    </row>
    <row r="716" spans="1:50" s="556" customFormat="1" ht="15" customHeight="1">
      <c r="A716" s="582"/>
      <c r="B716" s="696"/>
      <c r="C716" s="583"/>
      <c r="D716" s="1130"/>
      <c r="E716" s="1108" t="str">
        <f>Translate!$E$270</f>
        <v>Parent company cashflows, before distributions</v>
      </c>
      <c r="F716" s="1108"/>
      <c r="G716" s="1108" t="str">
        <f xml:space="preserve"> Translate!E$10</f>
        <v>US$ mn</v>
      </c>
      <c r="H716" s="1108"/>
      <c r="I716" s="1108">
        <f ca="1" xml:space="preserve"> SUM(K716:AX716)</f>
        <v>1220.1772541500341</v>
      </c>
      <c r="J716" s="1108"/>
      <c r="K716" s="1108">
        <f t="shared" ref="K716:AX716" ca="1" si="229" xml:space="preserve"> K714 - K715</f>
        <v>-10</v>
      </c>
      <c r="L716" s="1108">
        <f t="shared" ca="1" si="229"/>
        <v>-10.199999999999999</v>
      </c>
      <c r="M716" s="1108">
        <f t="shared" ca="1" si="229"/>
        <v>-10.404</v>
      </c>
      <c r="N716" s="1108">
        <f t="shared" ca="1" si="229"/>
        <v>-15.918120000000002</v>
      </c>
      <c r="O716" s="1108">
        <f t="shared" ca="1" si="229"/>
        <v>-70.885776078000021</v>
      </c>
      <c r="P716" s="1108">
        <f t="shared" ca="1" si="229"/>
        <v>36.814194281699983</v>
      </c>
      <c r="Q716" s="1108">
        <f t="shared" ca="1" si="229"/>
        <v>61.105743539455233</v>
      </c>
      <c r="R716" s="1108">
        <f t="shared" ca="1" si="229"/>
        <v>68.885300950197575</v>
      </c>
      <c r="S716" s="1108">
        <f t="shared" ca="1" si="229"/>
        <v>67.51405992060279</v>
      </c>
      <c r="T716" s="1108">
        <f t="shared" ca="1" si="229"/>
        <v>48.295363019498346</v>
      </c>
      <c r="U716" s="1108">
        <f t="shared" ca="1" si="229"/>
        <v>47.845423035243094</v>
      </c>
      <c r="V716" s="1108">
        <f t="shared" ca="1" si="229"/>
        <v>120.4691223486245</v>
      </c>
      <c r="W716" s="1108">
        <f t="shared" ca="1" si="229"/>
        <v>122.87850479559705</v>
      </c>
      <c r="X716" s="1108">
        <f t="shared" ca="1" si="229"/>
        <v>122.79317916105751</v>
      </c>
      <c r="Y716" s="1108">
        <f t="shared" ca="1" si="229"/>
        <v>125.29990065888771</v>
      </c>
      <c r="Z716" s="1108">
        <f t="shared" ca="1" si="229"/>
        <v>127.85675658667449</v>
      </c>
      <c r="AA716" s="1108">
        <f t="shared" ca="1" si="229"/>
        <v>106.95922639760303</v>
      </c>
      <c r="AB716" s="1108">
        <f t="shared" ca="1" si="229"/>
        <v>95.748258337783</v>
      </c>
      <c r="AC716" s="1108">
        <f t="shared" ca="1" si="229"/>
        <v>72.631626889224719</v>
      </c>
      <c r="AD716" s="1108">
        <f t="shared" ca="1" si="229"/>
        <v>63.530109465177134</v>
      </c>
      <c r="AE716" s="1108">
        <f t="shared" ca="1" si="229"/>
        <v>48.958380840707889</v>
      </c>
      <c r="AF716" s="1108">
        <f t="shared" ca="1" si="229"/>
        <v>0</v>
      </c>
      <c r="AG716" s="1108">
        <f t="shared" ca="1" si="229"/>
        <v>0</v>
      </c>
      <c r="AH716" s="1108">
        <f t="shared" ca="1" si="229"/>
        <v>0</v>
      </c>
      <c r="AI716" s="1108">
        <f t="shared" ca="1" si="229"/>
        <v>0</v>
      </c>
      <c r="AJ716" s="1108">
        <f t="shared" ca="1" si="229"/>
        <v>0</v>
      </c>
      <c r="AK716" s="1108">
        <f t="shared" ca="1" si="229"/>
        <v>0</v>
      </c>
      <c r="AL716" s="1108">
        <f t="shared" ca="1" si="229"/>
        <v>0</v>
      </c>
      <c r="AM716" s="1108">
        <f t="shared" ca="1" si="229"/>
        <v>0</v>
      </c>
      <c r="AN716" s="1108">
        <f t="shared" ca="1" si="229"/>
        <v>0</v>
      </c>
      <c r="AO716" s="1108">
        <f t="shared" ca="1" si="229"/>
        <v>0</v>
      </c>
      <c r="AP716" s="1108">
        <f t="shared" ca="1" si="229"/>
        <v>0</v>
      </c>
      <c r="AQ716" s="1108">
        <f t="shared" ca="1" si="229"/>
        <v>0</v>
      </c>
      <c r="AR716" s="1108">
        <f t="shared" ca="1" si="229"/>
        <v>0</v>
      </c>
      <c r="AS716" s="1108">
        <f t="shared" ca="1" si="229"/>
        <v>0</v>
      </c>
      <c r="AT716" s="1108">
        <f t="shared" ca="1" si="229"/>
        <v>0</v>
      </c>
      <c r="AU716" s="1108">
        <f t="shared" ca="1" si="229"/>
        <v>0</v>
      </c>
      <c r="AV716" s="1108">
        <f t="shared" ca="1" si="229"/>
        <v>0</v>
      </c>
      <c r="AW716" s="1108">
        <f t="shared" ca="1" si="229"/>
        <v>0</v>
      </c>
      <c r="AX716" s="1108">
        <f t="shared" ca="1" si="229"/>
        <v>0</v>
      </c>
    </row>
    <row r="717" spans="1:50" ht="15" customHeight="1">
      <c r="A717" s="397"/>
      <c r="B717" s="508"/>
      <c r="C717" s="372"/>
      <c r="D717" s="1102"/>
      <c r="E717" s="1024" t="str">
        <f xml:space="preserve"> E716 &amp; " CUM"</f>
        <v>Parent company cashflows, before distributions CUM</v>
      </c>
      <c r="F717" s="1024"/>
      <c r="G717" s="1024" t="str">
        <f xml:space="preserve"> Translate!E$10</f>
        <v>US$ mn</v>
      </c>
      <c r="H717" s="1024"/>
      <c r="I717" s="1024"/>
      <c r="J717" s="1132"/>
      <c r="K717" s="1024">
        <f t="shared" ref="K717:AX717" ca="1" si="230" xml:space="preserve"> J717 + K716</f>
        <v>-10</v>
      </c>
      <c r="L717" s="1024">
        <f t="shared" ca="1" si="230"/>
        <v>-20.2</v>
      </c>
      <c r="M717" s="1024">
        <f t="shared" ca="1" si="230"/>
        <v>-30.603999999999999</v>
      </c>
      <c r="N717" s="1024">
        <f t="shared" ca="1" si="230"/>
        <v>-46.522120000000001</v>
      </c>
      <c r="O717" s="1024">
        <f t="shared" ca="1" si="230"/>
        <v>-117.40789607800002</v>
      </c>
      <c r="P717" s="1024">
        <f t="shared" ca="1" si="230"/>
        <v>-80.593701796300039</v>
      </c>
      <c r="Q717" s="1024">
        <f t="shared" ca="1" si="230"/>
        <v>-19.487958256844806</v>
      </c>
      <c r="R717" s="1024">
        <f t="shared" ca="1" si="230"/>
        <v>49.397342693352769</v>
      </c>
      <c r="S717" s="1024">
        <f t="shared" ca="1" si="230"/>
        <v>116.91140261395556</v>
      </c>
      <c r="T717" s="1024">
        <f t="shared" ca="1" si="230"/>
        <v>165.2067656334539</v>
      </c>
      <c r="U717" s="1024">
        <f t="shared" ca="1" si="230"/>
        <v>213.052188668697</v>
      </c>
      <c r="V717" s="1024">
        <f t="shared" ca="1" si="230"/>
        <v>333.52131101732152</v>
      </c>
      <c r="W717" s="1024">
        <f t="shared" ca="1" si="230"/>
        <v>456.39981581291858</v>
      </c>
      <c r="X717" s="1024">
        <f t="shared" ca="1" si="230"/>
        <v>579.19299497397606</v>
      </c>
      <c r="Y717" s="1024">
        <f t="shared" ca="1" si="230"/>
        <v>704.49289563286379</v>
      </c>
      <c r="Z717" s="1024">
        <f t="shared" ca="1" si="230"/>
        <v>832.34965221953826</v>
      </c>
      <c r="AA717" s="1024">
        <f t="shared" ca="1" si="230"/>
        <v>939.30887861714132</v>
      </c>
      <c r="AB717" s="1024">
        <f t="shared" ca="1" si="230"/>
        <v>1035.0571369549243</v>
      </c>
      <c r="AC717" s="1024">
        <f t="shared" ca="1" si="230"/>
        <v>1107.688763844149</v>
      </c>
      <c r="AD717" s="1024">
        <f t="shared" ca="1" si="230"/>
        <v>1171.2188733093262</v>
      </c>
      <c r="AE717" s="1024">
        <f t="shared" ca="1" si="230"/>
        <v>1220.1772541500341</v>
      </c>
      <c r="AF717" s="1024">
        <f t="shared" ca="1" si="230"/>
        <v>1220.1772541500341</v>
      </c>
      <c r="AG717" s="1024">
        <f t="shared" ca="1" si="230"/>
        <v>1220.1772541500341</v>
      </c>
      <c r="AH717" s="1024">
        <f t="shared" ca="1" si="230"/>
        <v>1220.1772541500341</v>
      </c>
      <c r="AI717" s="1024">
        <f t="shared" ca="1" si="230"/>
        <v>1220.1772541500341</v>
      </c>
      <c r="AJ717" s="1024">
        <f t="shared" ca="1" si="230"/>
        <v>1220.1772541500341</v>
      </c>
      <c r="AK717" s="1024">
        <f t="shared" ca="1" si="230"/>
        <v>1220.1772541500341</v>
      </c>
      <c r="AL717" s="1024">
        <f t="shared" ca="1" si="230"/>
        <v>1220.1772541500341</v>
      </c>
      <c r="AM717" s="1024">
        <f t="shared" ca="1" si="230"/>
        <v>1220.1772541500341</v>
      </c>
      <c r="AN717" s="1024">
        <f t="shared" ca="1" si="230"/>
        <v>1220.1772541500341</v>
      </c>
      <c r="AO717" s="1024">
        <f t="shared" ca="1" si="230"/>
        <v>1220.1772541500341</v>
      </c>
      <c r="AP717" s="1024">
        <f t="shared" ca="1" si="230"/>
        <v>1220.1772541500341</v>
      </c>
      <c r="AQ717" s="1024">
        <f t="shared" ca="1" si="230"/>
        <v>1220.1772541500341</v>
      </c>
      <c r="AR717" s="1024">
        <f t="shared" ca="1" si="230"/>
        <v>1220.1772541500341</v>
      </c>
      <c r="AS717" s="1024">
        <f t="shared" ca="1" si="230"/>
        <v>1220.1772541500341</v>
      </c>
      <c r="AT717" s="1024">
        <f t="shared" ca="1" si="230"/>
        <v>1220.1772541500341</v>
      </c>
      <c r="AU717" s="1024">
        <f t="shared" ca="1" si="230"/>
        <v>1220.1772541500341</v>
      </c>
      <c r="AV717" s="1024">
        <f t="shared" ca="1" si="230"/>
        <v>1220.1772541500341</v>
      </c>
      <c r="AW717" s="1024">
        <f t="shared" ca="1" si="230"/>
        <v>1220.1772541500341</v>
      </c>
      <c r="AX717" s="1024">
        <f t="shared" ca="1" si="230"/>
        <v>1220.1772541500341</v>
      </c>
    </row>
    <row r="718" spans="1:50" ht="15" customHeight="1">
      <c r="A718" s="397"/>
      <c r="B718" s="508"/>
      <c r="C718" s="372"/>
      <c r="D718" s="1102"/>
      <c r="E718" s="1024"/>
      <c r="F718" s="1024"/>
      <c r="G718" s="1024"/>
      <c r="H718" s="1024"/>
      <c r="I718" s="1024"/>
      <c r="J718" s="1024"/>
      <c r="K718" s="1024"/>
      <c r="L718" s="1024"/>
      <c r="M718" s="1024"/>
      <c r="N718" s="1024"/>
      <c r="O718" s="1024"/>
      <c r="P718" s="1024"/>
      <c r="Q718" s="1024"/>
      <c r="R718" s="1024"/>
      <c r="S718" s="1024"/>
      <c r="T718" s="1024"/>
      <c r="U718" s="1024"/>
      <c r="V718" s="1024"/>
      <c r="W718" s="1024"/>
      <c r="X718" s="1024"/>
      <c r="Y718" s="1024"/>
      <c r="Z718" s="1024"/>
      <c r="AA718" s="1024"/>
      <c r="AB718" s="1024"/>
      <c r="AC718" s="1024"/>
      <c r="AD718" s="1024"/>
      <c r="AE718" s="1024"/>
      <c r="AF718" s="1024"/>
      <c r="AG718" s="1024"/>
      <c r="AH718" s="1024"/>
      <c r="AI718" s="1024"/>
      <c r="AJ718" s="1024"/>
      <c r="AK718" s="1024"/>
      <c r="AL718" s="1024"/>
      <c r="AM718" s="1024"/>
      <c r="AN718" s="1024"/>
      <c r="AO718" s="1024"/>
      <c r="AP718" s="1024"/>
      <c r="AQ718" s="1024"/>
      <c r="AR718" s="1024"/>
      <c r="AS718" s="1024"/>
      <c r="AT718" s="1024"/>
      <c r="AU718" s="1024"/>
      <c r="AV718" s="1024"/>
      <c r="AW718" s="1024"/>
      <c r="AX718" s="1024"/>
    </row>
    <row r="719" spans="1:50" ht="15" customHeight="1">
      <c r="A719" s="397"/>
      <c r="B719" s="508"/>
      <c r="C719" s="372"/>
      <c r="D719" s="1102"/>
      <c r="E719" s="1024" t="str">
        <f>Translate!$E$271</f>
        <v>Total dividend distributions</v>
      </c>
      <c r="F719" s="1024">
        <f ca="1">SUM(K716:AX716)</f>
        <v>1220.1772541500341</v>
      </c>
      <c r="G719" s="1024" t="str">
        <f xml:space="preserve"> Translate!E$10</f>
        <v>US$ mn</v>
      </c>
      <c r="H719" s="1024"/>
      <c r="I719" s="1024"/>
      <c r="J719" s="1024"/>
      <c r="K719" s="1024"/>
      <c r="L719" s="1024"/>
      <c r="M719" s="1024"/>
      <c r="N719" s="1024"/>
      <c r="O719" s="1024"/>
      <c r="P719" s="1024"/>
      <c r="Q719" s="1024"/>
      <c r="R719" s="1024"/>
      <c r="S719" s="1024"/>
      <c r="T719" s="1024"/>
      <c r="U719" s="1024"/>
      <c r="V719" s="1024"/>
      <c r="W719" s="1024"/>
      <c r="X719" s="1024"/>
      <c r="Y719" s="1024"/>
      <c r="Z719" s="1024"/>
      <c r="AA719" s="1024"/>
      <c r="AB719" s="1024"/>
      <c r="AC719" s="1024"/>
      <c r="AD719" s="1024"/>
      <c r="AE719" s="1024"/>
      <c r="AF719" s="1024"/>
      <c r="AG719" s="1024"/>
      <c r="AH719" s="1024"/>
      <c r="AI719" s="1024"/>
      <c r="AJ719" s="1024"/>
      <c r="AK719" s="1024"/>
      <c r="AL719" s="1024"/>
      <c r="AM719" s="1024"/>
      <c r="AN719" s="1024"/>
      <c r="AO719" s="1024"/>
      <c r="AP719" s="1024"/>
      <c r="AQ719" s="1024"/>
      <c r="AR719" s="1024"/>
      <c r="AS719" s="1024"/>
      <c r="AT719" s="1024"/>
      <c r="AU719" s="1024"/>
      <c r="AV719" s="1024"/>
      <c r="AW719" s="1024"/>
      <c r="AX719" s="1024"/>
    </row>
    <row r="720" spans="1:50" ht="15" customHeight="1">
      <c r="A720" s="397"/>
      <c r="B720" s="508"/>
      <c r="C720" s="372"/>
      <c r="D720" s="1102"/>
      <c r="E720" s="1024"/>
      <c r="F720" s="1024"/>
      <c r="G720" s="1024"/>
      <c r="H720" s="1024"/>
      <c r="I720" s="1024"/>
      <c r="J720" s="1024"/>
      <c r="K720" s="1024"/>
      <c r="L720" s="1024"/>
      <c r="M720" s="1024"/>
      <c r="N720" s="1024"/>
      <c r="O720" s="1024"/>
      <c r="P720" s="1024"/>
      <c r="Q720" s="1024"/>
      <c r="R720" s="1024"/>
      <c r="S720" s="1024"/>
      <c r="T720" s="1024"/>
      <c r="U720" s="1024"/>
      <c r="V720" s="1024"/>
      <c r="W720" s="1024"/>
      <c r="X720" s="1024"/>
      <c r="Y720" s="1024"/>
      <c r="Z720" s="1024"/>
      <c r="AA720" s="1024"/>
      <c r="AB720" s="1024"/>
      <c r="AC720" s="1024"/>
      <c r="AD720" s="1024"/>
      <c r="AE720" s="1024"/>
      <c r="AF720" s="1024"/>
      <c r="AG720" s="1024"/>
      <c r="AH720" s="1024"/>
      <c r="AI720" s="1024"/>
      <c r="AJ720" s="1024"/>
      <c r="AK720" s="1024"/>
      <c r="AL720" s="1024"/>
      <c r="AM720" s="1024"/>
      <c r="AN720" s="1024"/>
      <c r="AO720" s="1024"/>
      <c r="AP720" s="1024"/>
      <c r="AQ720" s="1024"/>
      <c r="AR720" s="1024"/>
      <c r="AS720" s="1024"/>
      <c r="AT720" s="1024"/>
      <c r="AU720" s="1024"/>
      <c r="AV720" s="1024"/>
      <c r="AW720" s="1024"/>
      <c r="AX720" s="1024"/>
    </row>
    <row r="721" spans="1:50" ht="15" customHeight="1">
      <c r="A721" s="397"/>
      <c r="B721" s="508"/>
      <c r="C721" s="372"/>
      <c r="D721" s="1102"/>
      <c r="E721" s="1024" t="str">
        <f>Translate!$E$272</f>
        <v>Distributions to parent deemed to be dividends</v>
      </c>
      <c r="F721" s="1024"/>
      <c r="G721" s="1024" t="str">
        <f xml:space="preserve"> Translate!E$10</f>
        <v>US$ mn</v>
      </c>
      <c r="H721" s="879" t="str">
        <f>Translate!$E$309</f>
        <v>Distributions are made once equity cashflows are positive. Distributions are deemed return of capital and do not attract withholding tax after the total positive post-tax cashflow has been distributed as dividends.</v>
      </c>
      <c r="I721" s="1024">
        <f ca="1" xml:space="preserve"> SUM(K721:AX721)</f>
        <v>1220.1772541500341</v>
      </c>
      <c r="J721" s="1132"/>
      <c r="K721" s="1024">
        <f ca="1" xml:space="preserve"> MAX( 0, MIN(K716, $F719 - SUM($J721:J721)))</f>
        <v>0</v>
      </c>
      <c r="L721" s="1024">
        <f ca="1" xml:space="preserve"> MAX( 0, MIN(L716, $F719 - SUM($J721:K721)))</f>
        <v>0</v>
      </c>
      <c r="M721" s="1024">
        <f ca="1" xml:space="preserve"> MAX( 0, MIN(M716, $F719 - SUM($J721:L721)))</f>
        <v>0</v>
      </c>
      <c r="N721" s="1024">
        <f ca="1" xml:space="preserve"> MAX( 0, MIN(N716, $F719 - SUM($J721:M721)))</f>
        <v>0</v>
      </c>
      <c r="O721" s="1024">
        <f ca="1" xml:space="preserve"> MAX( 0, MIN(O716, $F719 - SUM($J721:N721)))</f>
        <v>0</v>
      </c>
      <c r="P721" s="1024">
        <f ca="1" xml:space="preserve"> MAX( 0, MIN(P716, $F719 - SUM($J721:O721)))</f>
        <v>36.814194281699983</v>
      </c>
      <c r="Q721" s="1024">
        <f ca="1" xml:space="preserve"> MAX( 0, MIN(Q716, $F719 - SUM($J721:P721)))</f>
        <v>61.105743539455233</v>
      </c>
      <c r="R721" s="1024">
        <f ca="1" xml:space="preserve"> MAX( 0, MIN(R716, $F719 - SUM($J721:Q721)))</f>
        <v>68.885300950197575</v>
      </c>
      <c r="S721" s="1024">
        <f ca="1" xml:space="preserve"> MAX( 0, MIN(S716, $F719 - SUM($J721:R721)))</f>
        <v>67.51405992060279</v>
      </c>
      <c r="T721" s="1024">
        <f ca="1" xml:space="preserve"> MAX( 0, MIN(T716, $F719 - SUM($J721:S721)))</f>
        <v>48.295363019498346</v>
      </c>
      <c r="U721" s="1024">
        <f ca="1" xml:space="preserve"> MAX( 0, MIN(U716, $F719 - SUM($J721:T721)))</f>
        <v>47.845423035243094</v>
      </c>
      <c r="V721" s="1024">
        <f ca="1" xml:space="preserve"> MAX( 0, MIN(V716, $F719 - SUM($J721:U721)))</f>
        <v>120.4691223486245</v>
      </c>
      <c r="W721" s="1024">
        <f ca="1" xml:space="preserve"> MAX( 0, MIN(W716, $F719 - SUM($J721:V721)))</f>
        <v>122.87850479559705</v>
      </c>
      <c r="X721" s="1024">
        <f ca="1" xml:space="preserve"> MAX( 0, MIN(X716, $F719 - SUM($J721:W721)))</f>
        <v>122.79317916105751</v>
      </c>
      <c r="Y721" s="1024">
        <f ca="1" xml:space="preserve"> MAX( 0, MIN(Y716, $F719 - SUM($J721:X721)))</f>
        <v>125.29990065888771</v>
      </c>
      <c r="Z721" s="1024">
        <f ca="1" xml:space="preserve"> MAX( 0, MIN(Z716, $F719 - SUM($J721:Y721)))</f>
        <v>127.85675658667449</v>
      </c>
      <c r="AA721" s="1024">
        <f ca="1" xml:space="preserve"> MAX( 0, MIN(AA716, $F719 - SUM($J721:Z721)))</f>
        <v>106.95922639760303</v>
      </c>
      <c r="AB721" s="1024">
        <f ca="1" xml:space="preserve"> MAX( 0, MIN(AB716, $F719 - SUM($J721:AA721)))</f>
        <v>95.748258337783</v>
      </c>
      <c r="AC721" s="1024">
        <f ca="1" xml:space="preserve"> MAX( 0, MIN(AC716, $F719 - SUM($J721:AB721)))</f>
        <v>67.712221117109948</v>
      </c>
      <c r="AD721" s="1024">
        <f ca="1" xml:space="preserve"> MAX( 0, MIN(AD716, $F719 - SUM($J721:AC721)))</f>
        <v>0</v>
      </c>
      <c r="AE721" s="1024">
        <f ca="1" xml:space="preserve"> MAX( 0, MIN(AE716, $F719 - SUM($J721:AD721)))</f>
        <v>0</v>
      </c>
      <c r="AF721" s="1024">
        <f ca="1" xml:space="preserve"> MAX( 0, MIN(AF716, $F719 - SUM($J721:AE721)))</f>
        <v>0</v>
      </c>
      <c r="AG721" s="1024">
        <f ca="1" xml:space="preserve"> MAX( 0, MIN(AG716, $F719 - SUM($J721:AF721)))</f>
        <v>0</v>
      </c>
      <c r="AH721" s="1024">
        <f ca="1" xml:space="preserve"> MAX( 0, MIN(AH716, $F719 - SUM($J721:AG721)))</f>
        <v>0</v>
      </c>
      <c r="AI721" s="1024">
        <f ca="1" xml:space="preserve"> MAX( 0, MIN(AI716, $F719 - SUM($J721:AH721)))</f>
        <v>0</v>
      </c>
      <c r="AJ721" s="1024">
        <f ca="1" xml:space="preserve"> MAX( 0, MIN(AJ716, $F719 - SUM($J721:AI721)))</f>
        <v>0</v>
      </c>
      <c r="AK721" s="1024">
        <f ca="1" xml:space="preserve"> MAX( 0, MIN(AK716, $F719 - SUM($J721:AJ721)))</f>
        <v>0</v>
      </c>
      <c r="AL721" s="1024">
        <f ca="1" xml:space="preserve"> MAX( 0, MIN(AL716, $F719 - SUM($J721:AK721)))</f>
        <v>0</v>
      </c>
      <c r="AM721" s="1024">
        <f ca="1" xml:space="preserve"> MAX( 0, MIN(AM716, $F719 - SUM($J721:AL721)))</f>
        <v>0</v>
      </c>
      <c r="AN721" s="1024">
        <f ca="1" xml:space="preserve"> MAX( 0, MIN(AN716, $F719 - SUM($J721:AM721)))</f>
        <v>0</v>
      </c>
      <c r="AO721" s="1024">
        <f ca="1" xml:space="preserve"> MAX( 0, MIN(AO716, $F719 - SUM($J721:AN721)))</f>
        <v>0</v>
      </c>
      <c r="AP721" s="1024">
        <f ca="1" xml:space="preserve"> MAX( 0, MIN(AP716, $F719 - SUM($J721:AO721)))</f>
        <v>0</v>
      </c>
      <c r="AQ721" s="1024">
        <f ca="1" xml:space="preserve"> MAX( 0, MIN(AQ716, $F719 - SUM($J721:AP721)))</f>
        <v>0</v>
      </c>
      <c r="AR721" s="1024">
        <f ca="1" xml:space="preserve"> MAX( 0, MIN(AR716, $F719 - SUM($J721:AQ721)))</f>
        <v>0</v>
      </c>
      <c r="AS721" s="1024">
        <f ca="1" xml:space="preserve"> MAX( 0, MIN(AS716, $F719 - SUM($J721:AR721)))</f>
        <v>0</v>
      </c>
      <c r="AT721" s="1024">
        <f ca="1" xml:space="preserve"> MAX( 0, MIN(AT716, $F719 - SUM($J721:AS721)))</f>
        <v>0</v>
      </c>
      <c r="AU721" s="1024">
        <f ca="1" xml:space="preserve"> MAX( 0, MIN(AU716, $F719 - SUM($J721:AT721)))</f>
        <v>0</v>
      </c>
      <c r="AV721" s="1024">
        <f ca="1" xml:space="preserve"> MAX( 0, MIN(AV716, $F719 - SUM($J721:AU721)))</f>
        <v>0</v>
      </c>
      <c r="AW721" s="1024">
        <f ca="1" xml:space="preserve"> MAX( 0, MIN(AW716, $F719 - SUM($J721:AV721)))</f>
        <v>0</v>
      </c>
      <c r="AX721" s="1024">
        <f ca="1" xml:space="preserve"> MAX( 0, MIN(AX716, $F719 - SUM($J721:AW721)))</f>
        <v>0</v>
      </c>
    </row>
    <row r="722" spans="1:50" ht="15" customHeight="1">
      <c r="A722" s="397"/>
      <c r="B722" s="508"/>
      <c r="C722" s="372"/>
      <c r="D722" s="1102"/>
      <c r="E722" s="1024" t="str">
        <f>Translate!$E$273</f>
        <v>Distributions to parent deemed to be return of capital</v>
      </c>
      <c r="F722" s="1024"/>
      <c r="G722" s="1024" t="str">
        <f xml:space="preserve"> Translate!E$10</f>
        <v>US$ mn</v>
      </c>
      <c r="H722" s="1041"/>
      <c r="I722" s="1024">
        <f ca="1" xml:space="preserve"> SUM(K722:AX722)</f>
        <v>117.40789607799979</v>
      </c>
      <c r="J722" s="1024"/>
      <c r="K722" s="1024">
        <f t="shared" ref="K722:AX722" ca="1" si="231" xml:space="preserve"> IF(K716 &gt; 0, K716 - K721, 0)</f>
        <v>0</v>
      </c>
      <c r="L722" s="1024">
        <f t="shared" ca="1" si="231"/>
        <v>0</v>
      </c>
      <c r="M722" s="1024">
        <f t="shared" ca="1" si="231"/>
        <v>0</v>
      </c>
      <c r="N722" s="1024">
        <f t="shared" ca="1" si="231"/>
        <v>0</v>
      </c>
      <c r="O722" s="1024">
        <f t="shared" ca="1" si="231"/>
        <v>0</v>
      </c>
      <c r="P722" s="1024">
        <f t="shared" ca="1" si="231"/>
        <v>0</v>
      </c>
      <c r="Q722" s="1024">
        <f t="shared" ca="1" si="231"/>
        <v>0</v>
      </c>
      <c r="R722" s="1024">
        <f t="shared" ca="1" si="231"/>
        <v>0</v>
      </c>
      <c r="S722" s="1024">
        <f t="shared" ca="1" si="231"/>
        <v>0</v>
      </c>
      <c r="T722" s="1024">
        <f t="shared" ca="1" si="231"/>
        <v>0</v>
      </c>
      <c r="U722" s="1024">
        <f t="shared" ca="1" si="231"/>
        <v>0</v>
      </c>
      <c r="V722" s="1024">
        <f t="shared" ca="1" si="231"/>
        <v>0</v>
      </c>
      <c r="W722" s="1024">
        <f t="shared" ca="1" si="231"/>
        <v>0</v>
      </c>
      <c r="X722" s="1024">
        <f t="shared" ca="1" si="231"/>
        <v>0</v>
      </c>
      <c r="Y722" s="1024">
        <f t="shared" ca="1" si="231"/>
        <v>0</v>
      </c>
      <c r="Z722" s="1024">
        <f t="shared" ca="1" si="231"/>
        <v>0</v>
      </c>
      <c r="AA722" s="1024">
        <f t="shared" ca="1" si="231"/>
        <v>0</v>
      </c>
      <c r="AB722" s="1024">
        <f t="shared" ca="1" si="231"/>
        <v>0</v>
      </c>
      <c r="AC722" s="1024">
        <f t="shared" ca="1" si="231"/>
        <v>4.9194057721147715</v>
      </c>
      <c r="AD722" s="1024">
        <f t="shared" ca="1" si="231"/>
        <v>63.530109465177134</v>
      </c>
      <c r="AE722" s="1024">
        <f t="shared" ca="1" si="231"/>
        <v>48.958380840707889</v>
      </c>
      <c r="AF722" s="1024">
        <f t="shared" ca="1" si="231"/>
        <v>0</v>
      </c>
      <c r="AG722" s="1024">
        <f t="shared" ca="1" si="231"/>
        <v>0</v>
      </c>
      <c r="AH722" s="1024">
        <f t="shared" ca="1" si="231"/>
        <v>0</v>
      </c>
      <c r="AI722" s="1024">
        <f t="shared" ca="1" si="231"/>
        <v>0</v>
      </c>
      <c r="AJ722" s="1024">
        <f t="shared" ca="1" si="231"/>
        <v>0</v>
      </c>
      <c r="AK722" s="1024">
        <f t="shared" ca="1" si="231"/>
        <v>0</v>
      </c>
      <c r="AL722" s="1024">
        <f t="shared" ca="1" si="231"/>
        <v>0</v>
      </c>
      <c r="AM722" s="1024">
        <f t="shared" ca="1" si="231"/>
        <v>0</v>
      </c>
      <c r="AN722" s="1024">
        <f t="shared" ca="1" si="231"/>
        <v>0</v>
      </c>
      <c r="AO722" s="1024">
        <f t="shared" ca="1" si="231"/>
        <v>0</v>
      </c>
      <c r="AP722" s="1024">
        <f t="shared" ca="1" si="231"/>
        <v>0</v>
      </c>
      <c r="AQ722" s="1024">
        <f t="shared" ca="1" si="231"/>
        <v>0</v>
      </c>
      <c r="AR722" s="1024">
        <f t="shared" ca="1" si="231"/>
        <v>0</v>
      </c>
      <c r="AS722" s="1024">
        <f t="shared" ca="1" si="231"/>
        <v>0</v>
      </c>
      <c r="AT722" s="1024">
        <f t="shared" ca="1" si="231"/>
        <v>0</v>
      </c>
      <c r="AU722" s="1024">
        <f t="shared" ca="1" si="231"/>
        <v>0</v>
      </c>
      <c r="AV722" s="1024">
        <f t="shared" ca="1" si="231"/>
        <v>0</v>
      </c>
      <c r="AW722" s="1024">
        <f t="shared" ca="1" si="231"/>
        <v>0</v>
      </c>
      <c r="AX722" s="1024">
        <f t="shared" ca="1" si="231"/>
        <v>0</v>
      </c>
    </row>
    <row r="723" spans="1:50" ht="15" customHeight="1">
      <c r="A723" s="397"/>
      <c r="B723" s="508"/>
      <c r="C723" s="372"/>
      <c r="D723" s="1102"/>
      <c r="E723" s="1024"/>
      <c r="F723" s="1024"/>
      <c r="G723" s="1024"/>
      <c r="H723" s="1024"/>
      <c r="I723" s="1024"/>
      <c r="J723" s="1024"/>
      <c r="K723" s="1024"/>
      <c r="L723" s="1024"/>
      <c r="M723" s="1024"/>
      <c r="N723" s="1024"/>
      <c r="O723" s="1024"/>
      <c r="P723" s="1024"/>
      <c r="Q723" s="1024"/>
      <c r="R723" s="1024"/>
      <c r="S723" s="1024"/>
      <c r="T723" s="1024"/>
      <c r="U723" s="1024"/>
      <c r="V723" s="1024"/>
      <c r="W723" s="1024"/>
      <c r="X723" s="1024"/>
      <c r="Y723" s="1024"/>
      <c r="Z723" s="1024"/>
      <c r="AA723" s="1024"/>
      <c r="AB723" s="1024"/>
      <c r="AC723" s="1024"/>
      <c r="AD723" s="1024"/>
      <c r="AE723" s="1024"/>
      <c r="AF723" s="1024"/>
      <c r="AG723" s="1024"/>
      <c r="AH723" s="1024"/>
      <c r="AI723" s="1024"/>
      <c r="AJ723" s="1024"/>
      <c r="AK723" s="1024"/>
      <c r="AL723" s="1024"/>
      <c r="AM723" s="1024"/>
      <c r="AN723" s="1024"/>
      <c r="AO723" s="1024"/>
      <c r="AP723" s="1024"/>
      <c r="AQ723" s="1024"/>
      <c r="AR723" s="1024"/>
      <c r="AS723" s="1024"/>
      <c r="AT723" s="1024"/>
      <c r="AU723" s="1024"/>
      <c r="AV723" s="1024"/>
      <c r="AW723" s="1024"/>
      <c r="AX723" s="1024"/>
    </row>
    <row r="724" spans="1:50" ht="15" customHeight="1">
      <c r="A724" s="347"/>
      <c r="B724" s="507"/>
      <c r="C724" s="333"/>
      <c r="D724" s="1112"/>
      <c r="E724" s="386" t="str">
        <f xml:space="preserve"> FiscalModel!E$48</f>
        <v>Dividend withholding tax</v>
      </c>
      <c r="F724" s="386">
        <f xml:space="preserve"> FiscalModel!F$48</f>
        <v>0.1</v>
      </c>
      <c r="G724" s="386" t="str">
        <f xml:space="preserve"> FiscalModel!G$48</f>
        <v>%</v>
      </c>
      <c r="H724" s="346"/>
      <c r="I724" s="1112"/>
      <c r="J724" s="1125"/>
      <c r="K724" s="1024"/>
      <c r="L724" s="1024"/>
      <c r="M724" s="1024"/>
      <c r="N724" s="1024"/>
      <c r="O724" s="1024"/>
      <c r="P724" s="1024"/>
      <c r="Q724" s="1024"/>
      <c r="R724" s="1024"/>
      <c r="S724" s="1024"/>
      <c r="T724" s="1024"/>
      <c r="U724" s="1024"/>
      <c r="V724" s="1024"/>
      <c r="W724" s="1024"/>
      <c r="X724" s="1024"/>
      <c r="Y724" s="1024"/>
      <c r="Z724" s="1024"/>
      <c r="AA724" s="1024"/>
      <c r="AB724" s="1024"/>
      <c r="AC724" s="1024"/>
      <c r="AD724" s="1024"/>
      <c r="AE724" s="1024"/>
      <c r="AF724" s="1024"/>
      <c r="AG724" s="1024"/>
      <c r="AH724" s="1024"/>
      <c r="AI724" s="1024"/>
      <c r="AJ724" s="1024"/>
      <c r="AK724" s="1024"/>
      <c r="AL724" s="1024"/>
      <c r="AM724" s="1024"/>
      <c r="AN724" s="1024"/>
      <c r="AO724" s="1024"/>
      <c r="AP724" s="1024"/>
      <c r="AQ724" s="1024"/>
      <c r="AR724" s="1024"/>
      <c r="AS724" s="1024"/>
      <c r="AT724" s="1024"/>
      <c r="AU724" s="1024"/>
      <c r="AV724" s="1024"/>
      <c r="AW724" s="1024"/>
      <c r="AX724" s="1024"/>
    </row>
    <row r="725" spans="1:50" ht="15" customHeight="1">
      <c r="A725" s="397"/>
      <c r="B725" s="508"/>
      <c r="C725" s="372"/>
      <c r="D725" s="1102"/>
      <c r="E725" s="1024" t="str">
        <f>Translate!$E$150</f>
        <v>Dividend withholding tax</v>
      </c>
      <c r="F725" s="1024"/>
      <c r="G725" s="22" t="str">
        <f xml:space="preserve"> Translate!E$10</f>
        <v>US$ mn</v>
      </c>
      <c r="H725" s="22"/>
      <c r="I725" s="1024">
        <f ca="1" xml:space="preserve"> SUM(K725:AX725)</f>
        <v>122.01772541500345</v>
      </c>
      <c r="J725" s="1024"/>
      <c r="K725" s="1024">
        <f t="shared" ref="K725:AX725" ca="1" si="232" xml:space="preserve"> K721 * $F724</f>
        <v>0</v>
      </c>
      <c r="L725" s="1024">
        <f t="shared" ca="1" si="232"/>
        <v>0</v>
      </c>
      <c r="M725" s="1024">
        <f t="shared" ca="1" si="232"/>
        <v>0</v>
      </c>
      <c r="N725" s="1024">
        <f t="shared" ca="1" si="232"/>
        <v>0</v>
      </c>
      <c r="O725" s="1024">
        <f t="shared" ca="1" si="232"/>
        <v>0</v>
      </c>
      <c r="P725" s="1024">
        <f t="shared" ca="1" si="232"/>
        <v>3.6814194281699986</v>
      </c>
      <c r="Q725" s="1024">
        <f t="shared" ca="1" si="232"/>
        <v>6.1105743539455233</v>
      </c>
      <c r="R725" s="1024">
        <f t="shared" ca="1" si="232"/>
        <v>6.8885300950197577</v>
      </c>
      <c r="S725" s="1024">
        <f t="shared" ca="1" si="232"/>
        <v>6.7514059920602794</v>
      </c>
      <c r="T725" s="1024">
        <f t="shared" ca="1" si="232"/>
        <v>4.829536301949835</v>
      </c>
      <c r="U725" s="1024">
        <f t="shared" ca="1" si="232"/>
        <v>4.7845423035243098</v>
      </c>
      <c r="V725" s="1024">
        <f t="shared" ca="1" si="232"/>
        <v>12.04691223486245</v>
      </c>
      <c r="W725" s="1024">
        <f t="shared" ca="1" si="232"/>
        <v>12.287850479559706</v>
      </c>
      <c r="X725" s="1024">
        <f t="shared" ca="1" si="232"/>
        <v>12.279317916105752</v>
      </c>
      <c r="Y725" s="1024">
        <f t="shared" ca="1" si="232"/>
        <v>12.529990065888772</v>
      </c>
      <c r="Z725" s="1024">
        <f t="shared" ca="1" si="232"/>
        <v>12.785675658667451</v>
      </c>
      <c r="AA725" s="1024">
        <f t="shared" ca="1" si="232"/>
        <v>10.695922639760305</v>
      </c>
      <c r="AB725" s="1024">
        <f t="shared" ca="1" si="232"/>
        <v>9.5748258337783003</v>
      </c>
      <c r="AC725" s="1024">
        <f t="shared" ca="1" si="232"/>
        <v>6.771222111710995</v>
      </c>
      <c r="AD725" s="1024">
        <f t="shared" ca="1" si="232"/>
        <v>0</v>
      </c>
      <c r="AE725" s="1024">
        <f t="shared" ca="1" si="232"/>
        <v>0</v>
      </c>
      <c r="AF725" s="1024">
        <f t="shared" ca="1" si="232"/>
        <v>0</v>
      </c>
      <c r="AG725" s="1024">
        <f t="shared" ca="1" si="232"/>
        <v>0</v>
      </c>
      <c r="AH725" s="1024">
        <f t="shared" ca="1" si="232"/>
        <v>0</v>
      </c>
      <c r="AI725" s="1024">
        <f t="shared" ca="1" si="232"/>
        <v>0</v>
      </c>
      <c r="AJ725" s="1024">
        <f t="shared" ca="1" si="232"/>
        <v>0</v>
      </c>
      <c r="AK725" s="1024">
        <f t="shared" ca="1" si="232"/>
        <v>0</v>
      </c>
      <c r="AL725" s="1024">
        <f t="shared" ca="1" si="232"/>
        <v>0</v>
      </c>
      <c r="AM725" s="1024">
        <f t="shared" ca="1" si="232"/>
        <v>0</v>
      </c>
      <c r="AN725" s="1024">
        <f t="shared" ca="1" si="232"/>
        <v>0</v>
      </c>
      <c r="AO725" s="1024">
        <f t="shared" ca="1" si="232"/>
        <v>0</v>
      </c>
      <c r="AP725" s="1024">
        <f t="shared" ca="1" si="232"/>
        <v>0</v>
      </c>
      <c r="AQ725" s="1024">
        <f t="shared" ca="1" si="232"/>
        <v>0</v>
      </c>
      <c r="AR725" s="1024">
        <f t="shared" ca="1" si="232"/>
        <v>0</v>
      </c>
      <c r="AS725" s="1024">
        <f t="shared" ca="1" si="232"/>
        <v>0</v>
      </c>
      <c r="AT725" s="1024">
        <f t="shared" ca="1" si="232"/>
        <v>0</v>
      </c>
      <c r="AU725" s="1024">
        <f t="shared" ca="1" si="232"/>
        <v>0</v>
      </c>
      <c r="AV725" s="1024">
        <f t="shared" ca="1" si="232"/>
        <v>0</v>
      </c>
      <c r="AW725" s="1024">
        <f t="shared" ca="1" si="232"/>
        <v>0</v>
      </c>
      <c r="AX725" s="1024">
        <f t="shared" ca="1" si="232"/>
        <v>0</v>
      </c>
    </row>
    <row r="726" spans="1:50" ht="15" customHeight="1">
      <c r="A726" s="347"/>
      <c r="B726" s="507"/>
      <c r="C726" s="333"/>
      <c r="D726" s="1112"/>
      <c r="E726" s="1059"/>
      <c r="F726" s="1059"/>
      <c r="G726" s="346"/>
      <c r="H726" s="346"/>
      <c r="I726" s="1112"/>
      <c r="J726" s="1125"/>
      <c r="K726" s="1048"/>
      <c r="L726" s="1048"/>
      <c r="M726" s="1048"/>
      <c r="N726" s="1048"/>
      <c r="O726" s="1048"/>
      <c r="P726" s="1048"/>
      <c r="Q726" s="1048"/>
      <c r="R726" s="1048"/>
      <c r="S726" s="1048"/>
      <c r="T726" s="1048"/>
      <c r="U726" s="1048"/>
      <c r="V726" s="1048"/>
      <c r="W726" s="1048"/>
      <c r="X726" s="1048"/>
      <c r="Y726" s="1048"/>
      <c r="Z726" s="1048"/>
      <c r="AA726" s="1048"/>
      <c r="AB726" s="1048"/>
      <c r="AC726" s="1048"/>
      <c r="AD726" s="1048"/>
      <c r="AE726" s="1048"/>
      <c r="AF726" s="1048"/>
      <c r="AG726" s="1048"/>
      <c r="AH726" s="1048"/>
      <c r="AI726" s="1048"/>
      <c r="AJ726" s="1048"/>
      <c r="AK726" s="1048"/>
      <c r="AL726" s="1048"/>
      <c r="AM726" s="1048"/>
      <c r="AN726" s="1048"/>
      <c r="AO726" s="1048"/>
      <c r="AP726" s="1048"/>
      <c r="AQ726" s="1048"/>
      <c r="AR726" s="1048"/>
      <c r="AS726" s="1048"/>
      <c r="AT726" s="1048"/>
      <c r="AU726" s="1048"/>
      <c r="AV726" s="1048"/>
      <c r="AW726" s="1048"/>
      <c r="AX726" s="1048"/>
    </row>
    <row r="727" spans="1:50" s="2" customFormat="1" ht="15" customHeight="1">
      <c r="A727" s="1018"/>
      <c r="B727" s="1020"/>
      <c r="C727" s="1021"/>
      <c r="D727" s="1018"/>
      <c r="E727" s="1018" t="str">
        <f>Translate!$E$274</f>
        <v>Net cashflow after fiscal regime: Parent company (excluding loan)</v>
      </c>
      <c r="F727" s="1018"/>
      <c r="G727" s="1018" t="str">
        <f xml:space="preserve"> Translate!E$10</f>
        <v>US$ mn</v>
      </c>
      <c r="H727" s="1018"/>
      <c r="I727" s="1018">
        <f ca="1" xml:space="preserve"> SUM(K727:AX727)</f>
        <v>1098.1595287350306</v>
      </c>
      <c r="J727" s="1018"/>
      <c r="K727" s="1018">
        <f t="shared" ref="K727:AX727" ca="1" si="233" xml:space="preserve"> K716 - K725</f>
        <v>-10</v>
      </c>
      <c r="L727" s="1018">
        <f t="shared" ca="1" si="233"/>
        <v>-10.199999999999999</v>
      </c>
      <c r="M727" s="1018">
        <f t="shared" ca="1" si="233"/>
        <v>-10.404</v>
      </c>
      <c r="N727" s="1018">
        <f t="shared" ca="1" si="233"/>
        <v>-15.918120000000002</v>
      </c>
      <c r="O727" s="1018">
        <f t="shared" ca="1" si="233"/>
        <v>-70.885776078000021</v>
      </c>
      <c r="P727" s="1018">
        <f t="shared" ca="1" si="233"/>
        <v>33.132774853529988</v>
      </c>
      <c r="Q727" s="1018">
        <f t="shared" ca="1" si="233"/>
        <v>54.99516918550971</v>
      </c>
      <c r="R727" s="1018">
        <f t="shared" ca="1" si="233"/>
        <v>61.996770855177814</v>
      </c>
      <c r="S727" s="1018">
        <f t="shared" ca="1" si="233"/>
        <v>60.762653928542512</v>
      </c>
      <c r="T727" s="1018">
        <f t="shared" ca="1" si="233"/>
        <v>43.465826717548509</v>
      </c>
      <c r="U727" s="1018">
        <f t="shared" ca="1" si="233"/>
        <v>43.060880731718782</v>
      </c>
      <c r="V727" s="1018">
        <f t="shared" ca="1" si="233"/>
        <v>108.42221011376205</v>
      </c>
      <c r="W727" s="1018">
        <f t="shared" ca="1" si="233"/>
        <v>110.59065431603734</v>
      </c>
      <c r="X727" s="1018">
        <f t="shared" ca="1" si="233"/>
        <v>110.51386124495176</v>
      </c>
      <c r="Y727" s="1018">
        <f t="shared" ca="1" si="233"/>
        <v>112.76991059299894</v>
      </c>
      <c r="Z727" s="1018">
        <f t="shared" ca="1" si="233"/>
        <v>115.07108092800704</v>
      </c>
      <c r="AA727" s="1018">
        <f t="shared" ca="1" si="233"/>
        <v>96.263303757842721</v>
      </c>
      <c r="AB727" s="1018">
        <f t="shared" ca="1" si="233"/>
        <v>86.173432504004694</v>
      </c>
      <c r="AC727" s="1018">
        <f t="shared" ca="1" si="233"/>
        <v>65.860404777513722</v>
      </c>
      <c r="AD727" s="1018">
        <f t="shared" ca="1" si="233"/>
        <v>63.530109465177134</v>
      </c>
      <c r="AE727" s="1018">
        <f t="shared" ca="1" si="233"/>
        <v>48.958380840707889</v>
      </c>
      <c r="AF727" s="1018">
        <f t="shared" ca="1" si="233"/>
        <v>0</v>
      </c>
      <c r="AG727" s="1018">
        <f t="shared" ca="1" si="233"/>
        <v>0</v>
      </c>
      <c r="AH727" s="1018">
        <f t="shared" ca="1" si="233"/>
        <v>0</v>
      </c>
      <c r="AI727" s="1018">
        <f t="shared" ca="1" si="233"/>
        <v>0</v>
      </c>
      <c r="AJ727" s="1018">
        <f t="shared" ca="1" si="233"/>
        <v>0</v>
      </c>
      <c r="AK727" s="1018">
        <f t="shared" ca="1" si="233"/>
        <v>0</v>
      </c>
      <c r="AL727" s="1018">
        <f t="shared" ca="1" si="233"/>
        <v>0</v>
      </c>
      <c r="AM727" s="1018">
        <f t="shared" ca="1" si="233"/>
        <v>0</v>
      </c>
      <c r="AN727" s="1018">
        <f t="shared" ca="1" si="233"/>
        <v>0</v>
      </c>
      <c r="AO727" s="1018">
        <f t="shared" ca="1" si="233"/>
        <v>0</v>
      </c>
      <c r="AP727" s="1018">
        <f t="shared" ca="1" si="233"/>
        <v>0</v>
      </c>
      <c r="AQ727" s="1018">
        <f t="shared" ca="1" si="233"/>
        <v>0</v>
      </c>
      <c r="AR727" s="1018">
        <f t="shared" ca="1" si="233"/>
        <v>0</v>
      </c>
      <c r="AS727" s="1018">
        <f t="shared" ca="1" si="233"/>
        <v>0</v>
      </c>
      <c r="AT727" s="1018">
        <f t="shared" ca="1" si="233"/>
        <v>0</v>
      </c>
      <c r="AU727" s="1018">
        <f t="shared" ca="1" si="233"/>
        <v>0</v>
      </c>
      <c r="AV727" s="1018">
        <f t="shared" ca="1" si="233"/>
        <v>0</v>
      </c>
      <c r="AW727" s="1018">
        <f t="shared" ca="1" si="233"/>
        <v>0</v>
      </c>
      <c r="AX727" s="1018">
        <f t="shared" ca="1" si="233"/>
        <v>0</v>
      </c>
    </row>
    <row r="728" spans="1:50" ht="15" customHeight="1">
      <c r="A728" s="418"/>
      <c r="B728" s="688"/>
      <c r="C728" s="376"/>
      <c r="D728" s="1024"/>
      <c r="E728" s="1024"/>
      <c r="F728" s="1024"/>
      <c r="G728" s="22"/>
      <c r="H728" s="22"/>
      <c r="I728" s="1024"/>
      <c r="J728" s="1024"/>
      <c r="K728" s="1024"/>
      <c r="L728" s="1024"/>
      <c r="M728" s="1024"/>
      <c r="N728" s="1024"/>
      <c r="O728" s="1024"/>
      <c r="P728" s="1024"/>
      <c r="Q728" s="1024"/>
      <c r="R728" s="1024"/>
      <c r="S728" s="1024"/>
      <c r="T728" s="1024"/>
      <c r="U728" s="1024"/>
      <c r="V728" s="1024"/>
      <c r="W728" s="1024"/>
      <c r="X728" s="1024"/>
      <c r="Y728" s="1024"/>
      <c r="Z728" s="1024"/>
      <c r="AA728" s="1024"/>
      <c r="AB728" s="1024"/>
      <c r="AC728" s="1024"/>
      <c r="AD728" s="1024"/>
      <c r="AE728" s="1024"/>
      <c r="AF728" s="1024"/>
      <c r="AG728" s="1024"/>
      <c r="AH728" s="1024"/>
      <c r="AI728" s="1024"/>
      <c r="AJ728" s="1024"/>
      <c r="AK728" s="1024"/>
      <c r="AL728" s="1024"/>
      <c r="AM728" s="1024"/>
      <c r="AN728" s="1024"/>
      <c r="AO728" s="1024"/>
      <c r="AP728" s="1024"/>
      <c r="AQ728" s="1024"/>
      <c r="AR728" s="1024"/>
      <c r="AS728" s="1024"/>
      <c r="AT728" s="1024"/>
      <c r="AU728" s="1024"/>
      <c r="AV728" s="1024"/>
      <c r="AW728" s="1024"/>
      <c r="AX728" s="1024"/>
    </row>
    <row r="729" spans="1:50" ht="15" customHeight="1">
      <c r="A729" s="423"/>
      <c r="B729" s="701"/>
      <c r="C729" s="424"/>
      <c r="D729" s="1112"/>
      <c r="E729" s="1059"/>
      <c r="F729" s="1059"/>
      <c r="G729" s="346"/>
      <c r="H729" s="346"/>
      <c r="I729" s="1112"/>
      <c r="J729" s="1125"/>
      <c r="K729" s="1048"/>
      <c r="L729" s="1048"/>
      <c r="M729" s="1048"/>
      <c r="N729" s="1048"/>
      <c r="O729" s="1048"/>
      <c r="P729" s="1048"/>
      <c r="Q729" s="1048"/>
      <c r="R729" s="1048"/>
      <c r="S729" s="1048"/>
      <c r="T729" s="1048"/>
      <c r="U729" s="1048"/>
      <c r="V729" s="1048"/>
      <c r="W729" s="1048"/>
      <c r="X729" s="1048"/>
      <c r="Y729" s="1048"/>
      <c r="Z729" s="1048"/>
      <c r="AA729" s="1048"/>
      <c r="AB729" s="1048"/>
      <c r="AC729" s="1048"/>
      <c r="AD729" s="1048"/>
      <c r="AE729" s="1048"/>
      <c r="AF729" s="1048"/>
      <c r="AG729" s="1048"/>
      <c r="AH729" s="1048"/>
      <c r="AI729" s="1048"/>
      <c r="AJ729" s="1048"/>
      <c r="AK729" s="1048"/>
      <c r="AL729" s="1048"/>
      <c r="AM729" s="1048"/>
      <c r="AN729" s="1048"/>
      <c r="AO729" s="1048"/>
      <c r="AP729" s="1048"/>
      <c r="AQ729" s="1048"/>
      <c r="AR729" s="1048"/>
      <c r="AS729" s="1048"/>
      <c r="AT729" s="1048"/>
      <c r="AU729" s="1048"/>
      <c r="AV729" s="1048"/>
      <c r="AW729" s="1048"/>
      <c r="AX729" s="1048"/>
    </row>
    <row r="730" spans="1:50" ht="15" customHeight="1">
      <c r="A730" s="463" t="str">
        <f>Translate!$E$39</f>
        <v>Government revenues</v>
      </c>
      <c r="B730" s="705"/>
      <c r="C730" s="464"/>
      <c r="D730" s="465"/>
      <c r="E730" s="463"/>
      <c r="F730" s="463"/>
      <c r="G730" s="463"/>
      <c r="H730" s="463"/>
      <c r="I730" s="463"/>
      <c r="J730" s="463"/>
      <c r="K730" s="463"/>
      <c r="L730" s="463"/>
      <c r="M730" s="463"/>
      <c r="N730" s="463"/>
      <c r="O730" s="463"/>
      <c r="P730" s="463"/>
      <c r="Q730" s="463"/>
      <c r="R730" s="463"/>
      <c r="S730" s="463"/>
      <c r="T730" s="463"/>
      <c r="U730" s="463"/>
      <c r="V730" s="463"/>
      <c r="W730" s="463"/>
      <c r="X730" s="463"/>
      <c r="Y730" s="463"/>
      <c r="Z730" s="463"/>
      <c r="AA730" s="463"/>
      <c r="AB730" s="463"/>
      <c r="AC730" s="463"/>
      <c r="AD730" s="463"/>
      <c r="AE730" s="463"/>
      <c r="AF730" s="463"/>
      <c r="AG730" s="463"/>
      <c r="AH730" s="463"/>
      <c r="AI730" s="463"/>
      <c r="AJ730" s="463"/>
      <c r="AK730" s="463"/>
      <c r="AL730" s="463"/>
      <c r="AM730" s="463"/>
      <c r="AN730" s="463"/>
      <c r="AO730" s="463"/>
      <c r="AP730" s="463"/>
      <c r="AQ730" s="463"/>
      <c r="AR730" s="463"/>
      <c r="AS730" s="463"/>
      <c r="AT730" s="463"/>
      <c r="AU730" s="463"/>
      <c r="AV730" s="463"/>
      <c r="AW730" s="463"/>
      <c r="AX730" s="463"/>
    </row>
    <row r="731" spans="1:50" ht="15" customHeight="1">
      <c r="A731" s="325"/>
      <c r="B731" s="509"/>
      <c r="C731" s="323"/>
      <c r="D731" s="1006"/>
      <c r="E731" s="1054"/>
      <c r="F731" s="1054"/>
      <c r="G731" s="1054"/>
      <c r="H731" s="1054"/>
      <c r="I731" s="1054"/>
      <c r="J731" s="1054"/>
      <c r="K731" s="1054"/>
      <c r="L731" s="1054"/>
      <c r="M731" s="1054"/>
      <c r="N731" s="1054"/>
      <c r="O731" s="1054"/>
      <c r="P731" s="1054"/>
      <c r="Q731" s="1054"/>
      <c r="R731" s="1054"/>
      <c r="S731" s="1054"/>
      <c r="T731" s="1054"/>
      <c r="U731" s="1054"/>
      <c r="V731" s="1054"/>
      <c r="W731" s="1054"/>
      <c r="X731" s="1054"/>
      <c r="Y731" s="1054"/>
      <c r="Z731" s="1054"/>
      <c r="AA731" s="1054"/>
      <c r="AB731" s="1054"/>
      <c r="AC731" s="1054"/>
      <c r="AD731" s="1054"/>
      <c r="AE731" s="1054"/>
      <c r="AF731" s="1054"/>
      <c r="AG731" s="1054"/>
      <c r="AH731" s="1054"/>
      <c r="AI731" s="1054"/>
      <c r="AJ731" s="1054"/>
      <c r="AK731" s="1054"/>
      <c r="AL731" s="1054"/>
      <c r="AM731" s="1054"/>
      <c r="AN731" s="1054"/>
      <c r="AO731" s="1054"/>
      <c r="AP731" s="1054"/>
      <c r="AQ731" s="1054"/>
      <c r="AR731" s="1054"/>
      <c r="AS731" s="1054"/>
      <c r="AT731" s="1054"/>
      <c r="AU731" s="1054"/>
      <c r="AV731" s="1054"/>
      <c r="AW731" s="1054"/>
      <c r="AX731" s="1054"/>
    </row>
    <row r="732" spans="1:50" ht="15" customHeight="1">
      <c r="A732" s="325"/>
      <c r="B732" s="509" t="str">
        <f>Translate!$E$39 &amp; ": " &amp; Translate!E$5</f>
        <v>Government revenues: nominal</v>
      </c>
      <c r="C732" s="323"/>
      <c r="D732" s="1006"/>
      <c r="E732" s="1054"/>
      <c r="F732" s="1054"/>
      <c r="G732" s="1054"/>
      <c r="H732" s="1054"/>
      <c r="I732" s="1054"/>
      <c r="J732" s="1054"/>
      <c r="K732" s="1054"/>
      <c r="L732" s="1054"/>
      <c r="M732" s="1054"/>
      <c r="N732" s="1054"/>
      <c r="O732" s="1054"/>
      <c r="P732" s="1054"/>
      <c r="Q732" s="1054"/>
      <c r="R732" s="1054"/>
      <c r="S732" s="1054"/>
      <c r="T732" s="1054"/>
      <c r="U732" s="1054"/>
      <c r="V732" s="1054"/>
      <c r="W732" s="1054"/>
      <c r="X732" s="1054"/>
      <c r="Y732" s="1054"/>
      <c r="Z732" s="1054"/>
      <c r="AA732" s="1054"/>
      <c r="AB732" s="1054"/>
      <c r="AC732" s="1054"/>
      <c r="AD732" s="1054"/>
      <c r="AE732" s="1054"/>
      <c r="AF732" s="1054"/>
      <c r="AG732" s="1054"/>
      <c r="AH732" s="1054"/>
      <c r="AI732" s="1054"/>
      <c r="AJ732" s="1054"/>
      <c r="AK732" s="1054"/>
      <c r="AL732" s="1054"/>
      <c r="AM732" s="1054"/>
      <c r="AN732" s="1054"/>
      <c r="AO732" s="1054"/>
      <c r="AP732" s="1054"/>
      <c r="AQ732" s="1054"/>
      <c r="AR732" s="1054"/>
      <c r="AS732" s="1054"/>
      <c r="AT732" s="1054"/>
      <c r="AU732" s="1054"/>
      <c r="AV732" s="1054"/>
      <c r="AW732" s="1054"/>
      <c r="AX732" s="1054"/>
    </row>
    <row r="733" spans="1:50" ht="15" customHeight="1">
      <c r="A733" s="325"/>
      <c r="B733" s="509"/>
      <c r="C733" s="323"/>
      <c r="D733" s="1006"/>
      <c r="E733" s="1054" t="str">
        <f t="shared" ref="E733:AX733" si="234" xml:space="preserve"> E$136</f>
        <v>Signature bonus</v>
      </c>
      <c r="F733" s="1054">
        <f t="shared" si="234"/>
        <v>0</v>
      </c>
      <c r="G733" s="1054" t="str">
        <f t="shared" si="234"/>
        <v>US$ mn</v>
      </c>
      <c r="H733" s="1054">
        <f t="shared" si="234"/>
        <v>0</v>
      </c>
      <c r="I733" s="1054">
        <f t="shared" ca="1" si="234"/>
        <v>0</v>
      </c>
      <c r="J733" s="1054">
        <f t="shared" si="234"/>
        <v>0</v>
      </c>
      <c r="K733" s="1054">
        <f t="shared" ca="1" si="234"/>
        <v>0</v>
      </c>
      <c r="L733" s="1054">
        <f t="shared" ca="1" si="234"/>
        <v>0</v>
      </c>
      <c r="M733" s="1054">
        <f t="shared" ca="1" si="234"/>
        <v>0</v>
      </c>
      <c r="N733" s="1054">
        <f t="shared" ca="1" si="234"/>
        <v>0</v>
      </c>
      <c r="O733" s="1054">
        <f t="shared" ca="1" si="234"/>
        <v>0</v>
      </c>
      <c r="P733" s="1054">
        <f t="shared" ca="1" si="234"/>
        <v>0</v>
      </c>
      <c r="Q733" s="1054">
        <f t="shared" ca="1" si="234"/>
        <v>0</v>
      </c>
      <c r="R733" s="1054">
        <f t="shared" ca="1" si="234"/>
        <v>0</v>
      </c>
      <c r="S733" s="1054">
        <f t="shared" ca="1" si="234"/>
        <v>0</v>
      </c>
      <c r="T733" s="1054">
        <f t="shared" ca="1" si="234"/>
        <v>0</v>
      </c>
      <c r="U733" s="1054">
        <f t="shared" ca="1" si="234"/>
        <v>0</v>
      </c>
      <c r="V733" s="1054">
        <f t="shared" ca="1" si="234"/>
        <v>0</v>
      </c>
      <c r="W733" s="1054">
        <f t="shared" ca="1" si="234"/>
        <v>0</v>
      </c>
      <c r="X733" s="1054">
        <f t="shared" ca="1" si="234"/>
        <v>0</v>
      </c>
      <c r="Y733" s="1054">
        <f t="shared" ca="1" si="234"/>
        <v>0</v>
      </c>
      <c r="Z733" s="1054">
        <f t="shared" ca="1" si="234"/>
        <v>0</v>
      </c>
      <c r="AA733" s="1054">
        <f t="shared" ca="1" si="234"/>
        <v>0</v>
      </c>
      <c r="AB733" s="1054">
        <f t="shared" ca="1" si="234"/>
        <v>0</v>
      </c>
      <c r="AC733" s="1054">
        <f t="shared" ca="1" si="234"/>
        <v>0</v>
      </c>
      <c r="AD733" s="1054">
        <f t="shared" ca="1" si="234"/>
        <v>0</v>
      </c>
      <c r="AE733" s="1054">
        <f t="shared" ca="1" si="234"/>
        <v>0</v>
      </c>
      <c r="AF733" s="1054">
        <f t="shared" ca="1" si="234"/>
        <v>0</v>
      </c>
      <c r="AG733" s="1054">
        <f t="shared" ca="1" si="234"/>
        <v>0</v>
      </c>
      <c r="AH733" s="1054">
        <f t="shared" ca="1" si="234"/>
        <v>0</v>
      </c>
      <c r="AI733" s="1054">
        <f t="shared" ca="1" si="234"/>
        <v>0</v>
      </c>
      <c r="AJ733" s="1054">
        <f t="shared" ca="1" si="234"/>
        <v>0</v>
      </c>
      <c r="AK733" s="1054">
        <f t="shared" ca="1" si="234"/>
        <v>0</v>
      </c>
      <c r="AL733" s="1054">
        <f t="shared" ca="1" si="234"/>
        <v>0</v>
      </c>
      <c r="AM733" s="1054">
        <f t="shared" ca="1" si="234"/>
        <v>0</v>
      </c>
      <c r="AN733" s="1054">
        <f t="shared" ca="1" si="234"/>
        <v>0</v>
      </c>
      <c r="AO733" s="1054">
        <f t="shared" ca="1" si="234"/>
        <v>0</v>
      </c>
      <c r="AP733" s="1054">
        <f t="shared" ca="1" si="234"/>
        <v>0</v>
      </c>
      <c r="AQ733" s="1054">
        <f t="shared" ca="1" si="234"/>
        <v>0</v>
      </c>
      <c r="AR733" s="1054">
        <f t="shared" ca="1" si="234"/>
        <v>0</v>
      </c>
      <c r="AS733" s="1054">
        <f t="shared" ca="1" si="234"/>
        <v>0</v>
      </c>
      <c r="AT733" s="1054">
        <f t="shared" ca="1" si="234"/>
        <v>0</v>
      </c>
      <c r="AU733" s="1054">
        <f t="shared" ca="1" si="234"/>
        <v>0</v>
      </c>
      <c r="AV733" s="1054">
        <f t="shared" ca="1" si="234"/>
        <v>0</v>
      </c>
      <c r="AW733" s="1054">
        <f t="shared" ca="1" si="234"/>
        <v>0</v>
      </c>
      <c r="AX733" s="1054">
        <f t="shared" ca="1" si="234"/>
        <v>0</v>
      </c>
    </row>
    <row r="734" spans="1:50" ht="15" customHeight="1">
      <c r="A734" s="325"/>
      <c r="B734" s="509"/>
      <c r="C734" s="323"/>
      <c r="D734" s="1006"/>
      <c r="E734" s="1054" t="str">
        <f t="shared" ref="E734:AX734" si="235" xml:space="preserve"> E$174</f>
        <v>Royalty</v>
      </c>
      <c r="F734" s="1054">
        <f t="shared" si="235"/>
        <v>0</v>
      </c>
      <c r="G734" s="1054" t="str">
        <f t="shared" si="235"/>
        <v>US$ mn</v>
      </c>
      <c r="H734" s="1054">
        <f t="shared" si="235"/>
        <v>0</v>
      </c>
      <c r="I734" s="1054">
        <f t="shared" ca="1" si="235"/>
        <v>186.66390095677471</v>
      </c>
      <c r="J734" s="1054">
        <f t="shared" si="235"/>
        <v>0</v>
      </c>
      <c r="K734" s="1054">
        <f t="shared" ca="1" si="235"/>
        <v>0</v>
      </c>
      <c r="L734" s="1054">
        <f t="shared" ca="1" si="235"/>
        <v>0</v>
      </c>
      <c r="M734" s="1054">
        <f t="shared" ca="1" si="235"/>
        <v>0</v>
      </c>
      <c r="N734" s="1054">
        <f t="shared" ca="1" si="235"/>
        <v>0</v>
      </c>
      <c r="O734" s="1054">
        <f t="shared" ca="1" si="235"/>
        <v>0.79829371800000004</v>
      </c>
      <c r="P734" s="1054">
        <f t="shared" ca="1" si="235"/>
        <v>6.1069469427000005</v>
      </c>
      <c r="Q734" s="1054">
        <f t="shared" ca="1" si="235"/>
        <v>12.458171763108002</v>
      </c>
      <c r="R734" s="1054">
        <f t="shared" ca="1" si="235"/>
        <v>12.70733519837016</v>
      </c>
      <c r="S734" s="1054">
        <f t="shared" ca="1" si="235"/>
        <v>12.961481902337566</v>
      </c>
      <c r="T734" s="1054">
        <f t="shared" ca="1" si="235"/>
        <v>13.220711540384318</v>
      </c>
      <c r="U734" s="1054">
        <f t="shared" ca="1" si="235"/>
        <v>13.485125771192003</v>
      </c>
      <c r="V734" s="1054">
        <f t="shared" ca="1" si="235"/>
        <v>13.754828286615842</v>
      </c>
      <c r="W734" s="1054">
        <f t="shared" ca="1" si="235"/>
        <v>14.029924852348159</v>
      </c>
      <c r="X734" s="1054">
        <f t="shared" ca="1" si="235"/>
        <v>14.310523349395121</v>
      </c>
      <c r="Y734" s="1054">
        <f t="shared" ca="1" si="235"/>
        <v>14.596733816383029</v>
      </c>
      <c r="Z734" s="1054">
        <f t="shared" ca="1" si="235"/>
        <v>14.888668492710687</v>
      </c>
      <c r="AA734" s="1054">
        <f t="shared" ca="1" si="235"/>
        <v>12.655368218804085</v>
      </c>
      <c r="AB734" s="1054">
        <f t="shared" ca="1" si="235"/>
        <v>10.326780466544134</v>
      </c>
      <c r="AC734" s="1054">
        <f t="shared" ca="1" si="235"/>
        <v>7.8999870569062622</v>
      </c>
      <c r="AD734" s="1054">
        <f t="shared" ca="1" si="235"/>
        <v>6.9835885583051356</v>
      </c>
      <c r="AE734" s="1054">
        <f t="shared" ca="1" si="235"/>
        <v>5.4794310226701839</v>
      </c>
      <c r="AF734" s="1054">
        <f t="shared" ca="1" si="235"/>
        <v>0</v>
      </c>
      <c r="AG734" s="1054">
        <f t="shared" ca="1" si="235"/>
        <v>0</v>
      </c>
      <c r="AH734" s="1054">
        <f t="shared" ca="1" si="235"/>
        <v>0</v>
      </c>
      <c r="AI734" s="1054">
        <f t="shared" ca="1" si="235"/>
        <v>0</v>
      </c>
      <c r="AJ734" s="1054">
        <f t="shared" ca="1" si="235"/>
        <v>0</v>
      </c>
      <c r="AK734" s="1054">
        <f t="shared" ca="1" si="235"/>
        <v>0</v>
      </c>
      <c r="AL734" s="1054">
        <f t="shared" ca="1" si="235"/>
        <v>0</v>
      </c>
      <c r="AM734" s="1054">
        <f t="shared" ca="1" si="235"/>
        <v>0</v>
      </c>
      <c r="AN734" s="1054">
        <f t="shared" ca="1" si="235"/>
        <v>0</v>
      </c>
      <c r="AO734" s="1054">
        <f t="shared" ca="1" si="235"/>
        <v>0</v>
      </c>
      <c r="AP734" s="1054">
        <f t="shared" ca="1" si="235"/>
        <v>0</v>
      </c>
      <c r="AQ734" s="1054">
        <f t="shared" ca="1" si="235"/>
        <v>0</v>
      </c>
      <c r="AR734" s="1054">
        <f t="shared" ca="1" si="235"/>
        <v>0</v>
      </c>
      <c r="AS734" s="1054">
        <f t="shared" ca="1" si="235"/>
        <v>0</v>
      </c>
      <c r="AT734" s="1054">
        <f t="shared" ca="1" si="235"/>
        <v>0</v>
      </c>
      <c r="AU734" s="1054">
        <f t="shared" ca="1" si="235"/>
        <v>0</v>
      </c>
      <c r="AV734" s="1054">
        <f t="shared" ca="1" si="235"/>
        <v>0</v>
      </c>
      <c r="AW734" s="1054">
        <f t="shared" ca="1" si="235"/>
        <v>0</v>
      </c>
      <c r="AX734" s="1054">
        <f t="shared" ca="1" si="235"/>
        <v>0</v>
      </c>
    </row>
    <row r="735" spans="1:50" ht="15" customHeight="1">
      <c r="A735" s="325"/>
      <c r="B735" s="509"/>
      <c r="C735" s="323"/>
      <c r="D735" s="1006"/>
      <c r="E735" s="1054" t="str">
        <f xml:space="preserve"> E$249</f>
        <v>Carbon tax</v>
      </c>
      <c r="F735" s="1054">
        <f t="shared" ref="F735:AX735" si="236" xml:space="preserve"> F$249</f>
        <v>0</v>
      </c>
      <c r="G735" s="1054" t="str">
        <f t="shared" si="236"/>
        <v>US$ mn</v>
      </c>
      <c r="H735" s="1054">
        <f t="shared" si="236"/>
        <v>0</v>
      </c>
      <c r="I735" s="1054">
        <f t="shared" ca="1" si="236"/>
        <v>0</v>
      </c>
      <c r="J735" s="1054">
        <f t="shared" si="236"/>
        <v>0</v>
      </c>
      <c r="K735" s="1054">
        <f t="shared" ca="1" si="236"/>
        <v>0</v>
      </c>
      <c r="L735" s="1054">
        <f t="shared" ca="1" si="236"/>
        <v>0</v>
      </c>
      <c r="M735" s="1054">
        <f t="shared" ca="1" si="236"/>
        <v>0</v>
      </c>
      <c r="N735" s="1054">
        <f t="shared" ca="1" si="236"/>
        <v>0</v>
      </c>
      <c r="O735" s="1054">
        <f t="shared" ca="1" si="236"/>
        <v>0</v>
      </c>
      <c r="P735" s="1054">
        <f t="shared" ca="1" si="236"/>
        <v>0</v>
      </c>
      <c r="Q735" s="1054">
        <f t="shared" ca="1" si="236"/>
        <v>0</v>
      </c>
      <c r="R735" s="1054">
        <f t="shared" ca="1" si="236"/>
        <v>0</v>
      </c>
      <c r="S735" s="1054">
        <f t="shared" ca="1" si="236"/>
        <v>0</v>
      </c>
      <c r="T735" s="1054">
        <f t="shared" ca="1" si="236"/>
        <v>0</v>
      </c>
      <c r="U735" s="1054">
        <f t="shared" ca="1" si="236"/>
        <v>0</v>
      </c>
      <c r="V735" s="1054">
        <f t="shared" ca="1" si="236"/>
        <v>0</v>
      </c>
      <c r="W735" s="1054">
        <f t="shared" ca="1" si="236"/>
        <v>0</v>
      </c>
      <c r="X735" s="1054">
        <f t="shared" ca="1" si="236"/>
        <v>0</v>
      </c>
      <c r="Y735" s="1054">
        <f t="shared" ca="1" si="236"/>
        <v>0</v>
      </c>
      <c r="Z735" s="1054">
        <f t="shared" ca="1" si="236"/>
        <v>0</v>
      </c>
      <c r="AA735" s="1054">
        <f t="shared" ca="1" si="236"/>
        <v>0</v>
      </c>
      <c r="AB735" s="1054">
        <f t="shared" ca="1" si="236"/>
        <v>0</v>
      </c>
      <c r="AC735" s="1054">
        <f t="shared" ca="1" si="236"/>
        <v>0</v>
      </c>
      <c r="AD735" s="1054">
        <f t="shared" ca="1" si="236"/>
        <v>0</v>
      </c>
      <c r="AE735" s="1054">
        <f t="shared" ca="1" si="236"/>
        <v>0</v>
      </c>
      <c r="AF735" s="1054">
        <f t="shared" ca="1" si="236"/>
        <v>0</v>
      </c>
      <c r="AG735" s="1054">
        <f t="shared" ca="1" si="236"/>
        <v>0</v>
      </c>
      <c r="AH735" s="1054">
        <f t="shared" ca="1" si="236"/>
        <v>0</v>
      </c>
      <c r="AI735" s="1054">
        <f t="shared" ca="1" si="236"/>
        <v>0</v>
      </c>
      <c r="AJ735" s="1054">
        <f t="shared" ca="1" si="236"/>
        <v>0</v>
      </c>
      <c r="AK735" s="1054">
        <f t="shared" ca="1" si="236"/>
        <v>0</v>
      </c>
      <c r="AL735" s="1054">
        <f t="shared" ca="1" si="236"/>
        <v>0</v>
      </c>
      <c r="AM735" s="1054">
        <f t="shared" ca="1" si="236"/>
        <v>0</v>
      </c>
      <c r="AN735" s="1054">
        <f t="shared" ca="1" si="236"/>
        <v>0</v>
      </c>
      <c r="AO735" s="1054">
        <f t="shared" ca="1" si="236"/>
        <v>0</v>
      </c>
      <c r="AP735" s="1054">
        <f t="shared" ca="1" si="236"/>
        <v>0</v>
      </c>
      <c r="AQ735" s="1054">
        <f t="shared" ca="1" si="236"/>
        <v>0</v>
      </c>
      <c r="AR735" s="1054">
        <f t="shared" ca="1" si="236"/>
        <v>0</v>
      </c>
      <c r="AS735" s="1054">
        <f t="shared" ca="1" si="236"/>
        <v>0</v>
      </c>
      <c r="AT735" s="1054">
        <f t="shared" ca="1" si="236"/>
        <v>0</v>
      </c>
      <c r="AU735" s="1054">
        <f t="shared" ca="1" si="236"/>
        <v>0</v>
      </c>
      <c r="AV735" s="1054">
        <f t="shared" ca="1" si="236"/>
        <v>0</v>
      </c>
      <c r="AW735" s="1054">
        <f t="shared" ca="1" si="236"/>
        <v>0</v>
      </c>
      <c r="AX735" s="1054">
        <f t="shared" ca="1" si="236"/>
        <v>0</v>
      </c>
    </row>
    <row r="736" spans="1:50" ht="15" customHeight="1">
      <c r="A736" s="325"/>
      <c r="B736" s="509"/>
      <c r="C736" s="323"/>
      <c r="D736" s="1006"/>
      <c r="E736" s="1054" t="str">
        <f t="shared" ref="E736:AX736" si="237" xml:space="preserve"> E$477</f>
        <v>CIT: Mining company</v>
      </c>
      <c r="F736" s="1054">
        <f t="shared" si="237"/>
        <v>0</v>
      </c>
      <c r="G736" s="1054" t="str">
        <f t="shared" si="237"/>
        <v>US$ mn</v>
      </c>
      <c r="H736" s="1054">
        <f t="shared" si="237"/>
        <v>0</v>
      </c>
      <c r="I736" s="1054">
        <f t="shared" ca="1" si="237"/>
        <v>474.51337661390221</v>
      </c>
      <c r="J736" s="1054">
        <f t="shared" si="237"/>
        <v>0</v>
      </c>
      <c r="K736" s="1054">
        <f t="shared" ca="1" si="237"/>
        <v>0</v>
      </c>
      <c r="L736" s="1054">
        <f t="shared" ca="1" si="237"/>
        <v>0</v>
      </c>
      <c r="M736" s="1054">
        <f t="shared" ca="1" si="237"/>
        <v>0</v>
      </c>
      <c r="N736" s="1054">
        <f t="shared" ca="1" si="237"/>
        <v>0</v>
      </c>
      <c r="O736" s="1054">
        <f t="shared" ca="1" si="237"/>
        <v>0</v>
      </c>
      <c r="P736" s="1054">
        <f t="shared" ca="1" si="237"/>
        <v>0</v>
      </c>
      <c r="Q736" s="1054">
        <f t="shared" ca="1" si="237"/>
        <v>0</v>
      </c>
      <c r="R736" s="1054">
        <f t="shared" ca="1" si="237"/>
        <v>0</v>
      </c>
      <c r="S736" s="1054">
        <f t="shared" ca="1" si="237"/>
        <v>9.2114704406750647</v>
      </c>
      <c r="T736" s="1054">
        <f t="shared" ca="1" si="237"/>
        <v>36.332282193204342</v>
      </c>
      <c r="U736" s="1054">
        <f t="shared" ca="1" si="237"/>
        <v>44.747460178035944</v>
      </c>
      <c r="V736" s="1054">
        <f t="shared" ca="1" si="237"/>
        <v>46.997854813280213</v>
      </c>
      <c r="W736" s="1054">
        <f t="shared" ca="1" si="237"/>
        <v>47.937811909545815</v>
      </c>
      <c r="X736" s="1054">
        <f t="shared" ca="1" si="237"/>
        <v>47.907664252561148</v>
      </c>
      <c r="Y736" s="1054">
        <f t="shared" ca="1" si="237"/>
        <v>48.885595615515911</v>
      </c>
      <c r="Z736" s="1054">
        <f t="shared" ca="1" si="237"/>
        <v>49.883085605729725</v>
      </c>
      <c r="AA736" s="1054">
        <f t="shared" ca="1" si="237"/>
        <v>41.759488581975724</v>
      </c>
      <c r="AB736" s="1054">
        <f t="shared" ca="1" si="237"/>
        <v>33.917907037269394</v>
      </c>
      <c r="AC736" s="1054">
        <f t="shared" ca="1" si="237"/>
        <v>25.733016710667993</v>
      </c>
      <c r="AD736" s="1054">
        <f t="shared" ca="1" si="237"/>
        <v>23.014546720555273</v>
      </c>
      <c r="AE736" s="1054">
        <f t="shared" ca="1" si="237"/>
        <v>18.185192554885575</v>
      </c>
      <c r="AF736" s="1054">
        <f t="shared" ca="1" si="237"/>
        <v>0</v>
      </c>
      <c r="AG736" s="1054">
        <f t="shared" ca="1" si="237"/>
        <v>0</v>
      </c>
      <c r="AH736" s="1054">
        <f t="shared" ca="1" si="237"/>
        <v>0</v>
      </c>
      <c r="AI736" s="1054">
        <f t="shared" ca="1" si="237"/>
        <v>0</v>
      </c>
      <c r="AJ736" s="1054">
        <f t="shared" ca="1" si="237"/>
        <v>0</v>
      </c>
      <c r="AK736" s="1054">
        <f t="shared" ca="1" si="237"/>
        <v>0</v>
      </c>
      <c r="AL736" s="1054">
        <f t="shared" ca="1" si="237"/>
        <v>0</v>
      </c>
      <c r="AM736" s="1054">
        <f t="shared" ca="1" si="237"/>
        <v>0</v>
      </c>
      <c r="AN736" s="1054">
        <f t="shared" ca="1" si="237"/>
        <v>0</v>
      </c>
      <c r="AO736" s="1054">
        <f t="shared" ca="1" si="237"/>
        <v>0</v>
      </c>
      <c r="AP736" s="1054">
        <f t="shared" ca="1" si="237"/>
        <v>0</v>
      </c>
      <c r="AQ736" s="1054">
        <f t="shared" ca="1" si="237"/>
        <v>0</v>
      </c>
      <c r="AR736" s="1054">
        <f t="shared" ca="1" si="237"/>
        <v>0</v>
      </c>
      <c r="AS736" s="1054">
        <f t="shared" ca="1" si="237"/>
        <v>0</v>
      </c>
      <c r="AT736" s="1054">
        <f t="shared" ca="1" si="237"/>
        <v>0</v>
      </c>
      <c r="AU736" s="1054">
        <f t="shared" ca="1" si="237"/>
        <v>0</v>
      </c>
      <c r="AV736" s="1054">
        <f t="shared" ca="1" si="237"/>
        <v>0</v>
      </c>
      <c r="AW736" s="1054">
        <f t="shared" ca="1" si="237"/>
        <v>0</v>
      </c>
      <c r="AX736" s="1054">
        <f t="shared" ca="1" si="237"/>
        <v>0</v>
      </c>
    </row>
    <row r="737" spans="1:50" ht="15" customHeight="1">
      <c r="A737" s="325"/>
      <c r="B737" s="509"/>
      <c r="C737" s="323"/>
      <c r="D737" s="1006"/>
      <c r="E737" s="1054" t="str">
        <f t="shared" ref="E737:AX737" si="238" xml:space="preserve"> E$524</f>
        <v>RRT: Mining company</v>
      </c>
      <c r="F737" s="1054">
        <f t="shared" si="238"/>
        <v>0</v>
      </c>
      <c r="G737" s="1054" t="str">
        <f t="shared" si="238"/>
        <v>US$ mn</v>
      </c>
      <c r="H737" s="1054">
        <f t="shared" si="238"/>
        <v>0</v>
      </c>
      <c r="I737" s="1054">
        <f t="shared" ca="1" si="238"/>
        <v>0</v>
      </c>
      <c r="J737" s="1054">
        <f t="shared" si="238"/>
        <v>0</v>
      </c>
      <c r="K737" s="1054">
        <f t="shared" ca="1" si="238"/>
        <v>0</v>
      </c>
      <c r="L737" s="1054">
        <f t="shared" ca="1" si="238"/>
        <v>0</v>
      </c>
      <c r="M737" s="1054">
        <f t="shared" ca="1" si="238"/>
        <v>0</v>
      </c>
      <c r="N737" s="1054">
        <f t="shared" ca="1" si="238"/>
        <v>0</v>
      </c>
      <c r="O737" s="1054">
        <f t="shared" ca="1" si="238"/>
        <v>0</v>
      </c>
      <c r="P737" s="1054">
        <f t="shared" ca="1" si="238"/>
        <v>0</v>
      </c>
      <c r="Q737" s="1054">
        <f t="shared" ca="1" si="238"/>
        <v>0</v>
      </c>
      <c r="R737" s="1054">
        <f t="shared" ca="1" si="238"/>
        <v>0</v>
      </c>
      <c r="S737" s="1054">
        <f t="shared" ca="1" si="238"/>
        <v>0</v>
      </c>
      <c r="T737" s="1054">
        <f t="shared" ca="1" si="238"/>
        <v>0</v>
      </c>
      <c r="U737" s="1054">
        <f t="shared" ca="1" si="238"/>
        <v>0</v>
      </c>
      <c r="V737" s="1054">
        <f t="shared" ca="1" si="238"/>
        <v>0</v>
      </c>
      <c r="W737" s="1054">
        <f t="shared" ca="1" si="238"/>
        <v>0</v>
      </c>
      <c r="X737" s="1054">
        <f t="shared" ca="1" si="238"/>
        <v>0</v>
      </c>
      <c r="Y737" s="1054">
        <f t="shared" ca="1" si="238"/>
        <v>0</v>
      </c>
      <c r="Z737" s="1054">
        <f t="shared" ca="1" si="238"/>
        <v>0</v>
      </c>
      <c r="AA737" s="1054">
        <f t="shared" ca="1" si="238"/>
        <v>0</v>
      </c>
      <c r="AB737" s="1054">
        <f t="shared" ca="1" si="238"/>
        <v>0</v>
      </c>
      <c r="AC737" s="1054">
        <f t="shared" ca="1" si="238"/>
        <v>0</v>
      </c>
      <c r="AD737" s="1054">
        <f t="shared" ca="1" si="238"/>
        <v>0</v>
      </c>
      <c r="AE737" s="1054">
        <f t="shared" ca="1" si="238"/>
        <v>0</v>
      </c>
      <c r="AF737" s="1054">
        <f t="shared" ca="1" si="238"/>
        <v>0</v>
      </c>
      <c r="AG737" s="1054">
        <f t="shared" ca="1" si="238"/>
        <v>0</v>
      </c>
      <c r="AH737" s="1054">
        <f t="shared" ca="1" si="238"/>
        <v>0</v>
      </c>
      <c r="AI737" s="1054">
        <f t="shared" ca="1" si="238"/>
        <v>0</v>
      </c>
      <c r="AJ737" s="1054">
        <f t="shared" ca="1" si="238"/>
        <v>0</v>
      </c>
      <c r="AK737" s="1054">
        <f t="shared" ca="1" si="238"/>
        <v>0</v>
      </c>
      <c r="AL737" s="1054">
        <f t="shared" ca="1" si="238"/>
        <v>0</v>
      </c>
      <c r="AM737" s="1054">
        <f t="shared" ca="1" si="238"/>
        <v>0</v>
      </c>
      <c r="AN737" s="1054">
        <f t="shared" ca="1" si="238"/>
        <v>0</v>
      </c>
      <c r="AO737" s="1054">
        <f t="shared" ca="1" si="238"/>
        <v>0</v>
      </c>
      <c r="AP737" s="1054">
        <f t="shared" ca="1" si="238"/>
        <v>0</v>
      </c>
      <c r="AQ737" s="1054">
        <f t="shared" ca="1" si="238"/>
        <v>0</v>
      </c>
      <c r="AR737" s="1054">
        <f t="shared" ca="1" si="238"/>
        <v>0</v>
      </c>
      <c r="AS737" s="1054">
        <f t="shared" ca="1" si="238"/>
        <v>0</v>
      </c>
      <c r="AT737" s="1054">
        <f t="shared" ca="1" si="238"/>
        <v>0</v>
      </c>
      <c r="AU737" s="1054">
        <f t="shared" ca="1" si="238"/>
        <v>0</v>
      </c>
      <c r="AV737" s="1054">
        <f t="shared" ca="1" si="238"/>
        <v>0</v>
      </c>
      <c r="AW737" s="1054">
        <f t="shared" ca="1" si="238"/>
        <v>0</v>
      </c>
      <c r="AX737" s="1054">
        <f t="shared" ca="1" si="238"/>
        <v>0</v>
      </c>
    </row>
    <row r="738" spans="1:50" ht="15" customHeight="1">
      <c r="A738" s="325"/>
      <c r="B738" s="509"/>
      <c r="C738" s="323"/>
      <c r="D738" s="1006"/>
      <c r="E738" s="1054" t="str">
        <f t="shared" ref="E738:AX738" si="239" xml:space="preserve"> E$725</f>
        <v>Dividend withholding tax</v>
      </c>
      <c r="F738" s="1054">
        <f t="shared" si="239"/>
        <v>0</v>
      </c>
      <c r="G738" s="1054" t="str">
        <f t="shared" si="239"/>
        <v>US$ mn</v>
      </c>
      <c r="H738" s="1054">
        <f t="shared" si="239"/>
        <v>0</v>
      </c>
      <c r="I738" s="1054">
        <f t="shared" ca="1" si="239"/>
        <v>122.01772541500345</v>
      </c>
      <c r="J738" s="1054">
        <f t="shared" si="239"/>
        <v>0</v>
      </c>
      <c r="K738" s="1054">
        <f t="shared" ca="1" si="239"/>
        <v>0</v>
      </c>
      <c r="L738" s="1054">
        <f t="shared" ca="1" si="239"/>
        <v>0</v>
      </c>
      <c r="M738" s="1054">
        <f t="shared" ca="1" si="239"/>
        <v>0</v>
      </c>
      <c r="N738" s="1054">
        <f t="shared" ca="1" si="239"/>
        <v>0</v>
      </c>
      <c r="O738" s="1054">
        <f t="shared" ca="1" si="239"/>
        <v>0</v>
      </c>
      <c r="P738" s="1054">
        <f t="shared" ca="1" si="239"/>
        <v>3.6814194281699986</v>
      </c>
      <c r="Q738" s="1054">
        <f t="shared" ca="1" si="239"/>
        <v>6.1105743539455233</v>
      </c>
      <c r="R738" s="1054">
        <f t="shared" ca="1" si="239"/>
        <v>6.8885300950197577</v>
      </c>
      <c r="S738" s="1054">
        <f t="shared" ca="1" si="239"/>
        <v>6.7514059920602794</v>
      </c>
      <c r="T738" s="1054">
        <f t="shared" ca="1" si="239"/>
        <v>4.829536301949835</v>
      </c>
      <c r="U738" s="1054">
        <f t="shared" ca="1" si="239"/>
        <v>4.7845423035243098</v>
      </c>
      <c r="V738" s="1054">
        <f t="shared" ca="1" si="239"/>
        <v>12.04691223486245</v>
      </c>
      <c r="W738" s="1054">
        <f t="shared" ca="1" si="239"/>
        <v>12.287850479559706</v>
      </c>
      <c r="X738" s="1054">
        <f t="shared" ca="1" si="239"/>
        <v>12.279317916105752</v>
      </c>
      <c r="Y738" s="1054">
        <f t="shared" ca="1" si="239"/>
        <v>12.529990065888772</v>
      </c>
      <c r="Z738" s="1054">
        <f t="shared" ca="1" si="239"/>
        <v>12.785675658667451</v>
      </c>
      <c r="AA738" s="1054">
        <f t="shared" ca="1" si="239"/>
        <v>10.695922639760305</v>
      </c>
      <c r="AB738" s="1054">
        <f t="shared" ca="1" si="239"/>
        <v>9.5748258337783003</v>
      </c>
      <c r="AC738" s="1054">
        <f t="shared" ca="1" si="239"/>
        <v>6.771222111710995</v>
      </c>
      <c r="AD738" s="1054">
        <f t="shared" ca="1" si="239"/>
        <v>0</v>
      </c>
      <c r="AE738" s="1054">
        <f t="shared" ca="1" si="239"/>
        <v>0</v>
      </c>
      <c r="AF738" s="1054">
        <f t="shared" ca="1" si="239"/>
        <v>0</v>
      </c>
      <c r="AG738" s="1054">
        <f t="shared" ca="1" si="239"/>
        <v>0</v>
      </c>
      <c r="AH738" s="1054">
        <f t="shared" ca="1" si="239"/>
        <v>0</v>
      </c>
      <c r="AI738" s="1054">
        <f t="shared" ca="1" si="239"/>
        <v>0</v>
      </c>
      <c r="AJ738" s="1054">
        <f t="shared" ca="1" si="239"/>
        <v>0</v>
      </c>
      <c r="AK738" s="1054">
        <f t="shared" ca="1" si="239"/>
        <v>0</v>
      </c>
      <c r="AL738" s="1054">
        <f t="shared" ca="1" si="239"/>
        <v>0</v>
      </c>
      <c r="AM738" s="1054">
        <f t="shared" ca="1" si="239"/>
        <v>0</v>
      </c>
      <c r="AN738" s="1054">
        <f t="shared" ca="1" si="239"/>
        <v>0</v>
      </c>
      <c r="AO738" s="1054">
        <f t="shared" ca="1" si="239"/>
        <v>0</v>
      </c>
      <c r="AP738" s="1054">
        <f t="shared" ca="1" si="239"/>
        <v>0</v>
      </c>
      <c r="AQ738" s="1054">
        <f t="shared" ca="1" si="239"/>
        <v>0</v>
      </c>
      <c r="AR738" s="1054">
        <f t="shared" ca="1" si="239"/>
        <v>0</v>
      </c>
      <c r="AS738" s="1054">
        <f t="shared" ca="1" si="239"/>
        <v>0</v>
      </c>
      <c r="AT738" s="1054">
        <f t="shared" ca="1" si="239"/>
        <v>0</v>
      </c>
      <c r="AU738" s="1054">
        <f t="shared" ca="1" si="239"/>
        <v>0</v>
      </c>
      <c r="AV738" s="1054">
        <f t="shared" ca="1" si="239"/>
        <v>0</v>
      </c>
      <c r="AW738" s="1054">
        <f t="shared" ca="1" si="239"/>
        <v>0</v>
      </c>
      <c r="AX738" s="1054">
        <f t="shared" ca="1" si="239"/>
        <v>0</v>
      </c>
    </row>
    <row r="739" spans="1:50" ht="15" customHeight="1">
      <c r="A739" s="325"/>
      <c r="B739" s="509"/>
      <c r="C739" s="323"/>
      <c r="D739" s="1006"/>
      <c r="E739" s="1054" t="str">
        <f t="shared" ref="E739:AX739" si="240" xml:space="preserve"> E$323</f>
        <v>Interest withholding tax</v>
      </c>
      <c r="F739" s="1054">
        <f t="shared" si="240"/>
        <v>0</v>
      </c>
      <c r="G739" s="1054" t="str">
        <f t="shared" si="240"/>
        <v>US$ mn</v>
      </c>
      <c r="H739" s="1054">
        <f t="shared" si="240"/>
        <v>0</v>
      </c>
      <c r="I739" s="1054">
        <f t="shared" ca="1" si="240"/>
        <v>7.1189360907749553</v>
      </c>
      <c r="J739" s="1054">
        <f t="shared" si="240"/>
        <v>0</v>
      </c>
      <c r="K739" s="1054">
        <f t="shared" ca="1" si="240"/>
        <v>0</v>
      </c>
      <c r="L739" s="1054">
        <f t="shared" ca="1" si="240"/>
        <v>0</v>
      </c>
      <c r="M739" s="1054">
        <f t="shared" ca="1" si="240"/>
        <v>0</v>
      </c>
      <c r="N739" s="1054">
        <f t="shared" ca="1" si="240"/>
        <v>0</v>
      </c>
      <c r="O739" s="1054">
        <f t="shared" ca="1" si="240"/>
        <v>0</v>
      </c>
      <c r="P739" s="1054">
        <f t="shared" ca="1" si="240"/>
        <v>0</v>
      </c>
      <c r="Q739" s="1054">
        <f t="shared" ca="1" si="240"/>
        <v>2.3729786969249851</v>
      </c>
      <c r="R739" s="1054">
        <f t="shared" ca="1" si="240"/>
        <v>1.8983829575399882</v>
      </c>
      <c r="S739" s="1054">
        <f t="shared" ca="1" si="240"/>
        <v>1.4237872181549911</v>
      </c>
      <c r="T739" s="1054">
        <f t="shared" ca="1" si="240"/>
        <v>0.9491914787699941</v>
      </c>
      <c r="U739" s="1054">
        <f t="shared" ca="1" si="240"/>
        <v>0.47459573938499705</v>
      </c>
      <c r="V739" s="1054">
        <f t="shared" ca="1" si="240"/>
        <v>0</v>
      </c>
      <c r="W739" s="1054">
        <f t="shared" ca="1" si="240"/>
        <v>0</v>
      </c>
      <c r="X739" s="1054">
        <f t="shared" ca="1" si="240"/>
        <v>0</v>
      </c>
      <c r="Y739" s="1054">
        <f t="shared" ca="1" si="240"/>
        <v>0</v>
      </c>
      <c r="Z739" s="1054">
        <f t="shared" ca="1" si="240"/>
        <v>0</v>
      </c>
      <c r="AA739" s="1054">
        <f t="shared" ca="1" si="240"/>
        <v>0</v>
      </c>
      <c r="AB739" s="1054">
        <f t="shared" ca="1" si="240"/>
        <v>0</v>
      </c>
      <c r="AC739" s="1054">
        <f t="shared" ca="1" si="240"/>
        <v>0</v>
      </c>
      <c r="AD739" s="1054">
        <f t="shared" ca="1" si="240"/>
        <v>0</v>
      </c>
      <c r="AE739" s="1054">
        <f t="shared" ca="1" si="240"/>
        <v>0</v>
      </c>
      <c r="AF739" s="1054">
        <f t="shared" ca="1" si="240"/>
        <v>0</v>
      </c>
      <c r="AG739" s="1054">
        <f t="shared" ca="1" si="240"/>
        <v>0</v>
      </c>
      <c r="AH739" s="1054">
        <f t="shared" ca="1" si="240"/>
        <v>0</v>
      </c>
      <c r="AI739" s="1054">
        <f t="shared" ca="1" si="240"/>
        <v>0</v>
      </c>
      <c r="AJ739" s="1054">
        <f t="shared" ca="1" si="240"/>
        <v>0</v>
      </c>
      <c r="AK739" s="1054">
        <f t="shared" ca="1" si="240"/>
        <v>0</v>
      </c>
      <c r="AL739" s="1054">
        <f t="shared" ca="1" si="240"/>
        <v>0</v>
      </c>
      <c r="AM739" s="1054">
        <f t="shared" ca="1" si="240"/>
        <v>0</v>
      </c>
      <c r="AN739" s="1054">
        <f t="shared" ca="1" si="240"/>
        <v>0</v>
      </c>
      <c r="AO739" s="1054">
        <f t="shared" ca="1" si="240"/>
        <v>0</v>
      </c>
      <c r="AP739" s="1054">
        <f t="shared" ca="1" si="240"/>
        <v>0</v>
      </c>
      <c r="AQ739" s="1054">
        <f t="shared" ca="1" si="240"/>
        <v>0</v>
      </c>
      <c r="AR739" s="1054">
        <f t="shared" ca="1" si="240"/>
        <v>0</v>
      </c>
      <c r="AS739" s="1054">
        <f t="shared" ca="1" si="240"/>
        <v>0</v>
      </c>
      <c r="AT739" s="1054">
        <f t="shared" ca="1" si="240"/>
        <v>0</v>
      </c>
      <c r="AU739" s="1054">
        <f t="shared" ca="1" si="240"/>
        <v>0</v>
      </c>
      <c r="AV739" s="1054">
        <f t="shared" ca="1" si="240"/>
        <v>0</v>
      </c>
      <c r="AW739" s="1054">
        <f t="shared" ca="1" si="240"/>
        <v>0</v>
      </c>
      <c r="AX739" s="1054">
        <f t="shared" ca="1" si="240"/>
        <v>0</v>
      </c>
    </row>
    <row r="740" spans="1:50" ht="15" customHeight="1">
      <c r="A740" s="325"/>
      <c r="B740" s="509"/>
      <c r="C740" s="323"/>
      <c r="D740" s="1006"/>
      <c r="E740" s="1054" t="str">
        <f xml:space="preserve"> E$588</f>
        <v>VAT cashflow: government</v>
      </c>
      <c r="F740" s="1054">
        <f t="shared" ref="F740:AX740" si="241" xml:space="preserve"> F$588</f>
        <v>0</v>
      </c>
      <c r="G740" s="1054" t="str">
        <f t="shared" si="241"/>
        <v>US$ mn</v>
      </c>
      <c r="H740" s="1054">
        <f t="shared" si="241"/>
        <v>0</v>
      </c>
      <c r="I740" s="1054">
        <f t="shared" ca="1" si="241"/>
        <v>0</v>
      </c>
      <c r="J740" s="1054">
        <f t="shared" si="241"/>
        <v>0</v>
      </c>
      <c r="K740" s="1054">
        <f t="shared" ca="1" si="241"/>
        <v>0</v>
      </c>
      <c r="L740" s="1054">
        <f t="shared" ca="1" si="241"/>
        <v>0</v>
      </c>
      <c r="M740" s="1054">
        <f t="shared" ca="1" si="241"/>
        <v>0</v>
      </c>
      <c r="N740" s="1054">
        <f t="shared" ca="1" si="241"/>
        <v>0</v>
      </c>
      <c r="O740" s="1054">
        <f t="shared" ca="1" si="241"/>
        <v>0</v>
      </c>
      <c r="P740" s="1054">
        <f t="shared" ca="1" si="241"/>
        <v>0</v>
      </c>
      <c r="Q740" s="1054">
        <f t="shared" ca="1" si="241"/>
        <v>0</v>
      </c>
      <c r="R740" s="1054">
        <f t="shared" ca="1" si="241"/>
        <v>0</v>
      </c>
      <c r="S740" s="1054">
        <f t="shared" ca="1" si="241"/>
        <v>0</v>
      </c>
      <c r="T740" s="1054">
        <f t="shared" ca="1" si="241"/>
        <v>0</v>
      </c>
      <c r="U740" s="1054">
        <f t="shared" ca="1" si="241"/>
        <v>0</v>
      </c>
      <c r="V740" s="1054">
        <f t="shared" ca="1" si="241"/>
        <v>0</v>
      </c>
      <c r="W740" s="1054">
        <f t="shared" ca="1" si="241"/>
        <v>0</v>
      </c>
      <c r="X740" s="1054">
        <f t="shared" ca="1" si="241"/>
        <v>0</v>
      </c>
      <c r="Y740" s="1054">
        <f t="shared" ca="1" si="241"/>
        <v>0</v>
      </c>
      <c r="Z740" s="1054">
        <f t="shared" ca="1" si="241"/>
        <v>0</v>
      </c>
      <c r="AA740" s="1054">
        <f t="shared" ca="1" si="241"/>
        <v>0</v>
      </c>
      <c r="AB740" s="1054">
        <f t="shared" ca="1" si="241"/>
        <v>0</v>
      </c>
      <c r="AC740" s="1054">
        <f t="shared" ca="1" si="241"/>
        <v>0</v>
      </c>
      <c r="AD740" s="1054">
        <f t="shared" ca="1" si="241"/>
        <v>0</v>
      </c>
      <c r="AE740" s="1054">
        <f t="shared" ca="1" si="241"/>
        <v>0</v>
      </c>
      <c r="AF740" s="1054">
        <f t="shared" ca="1" si="241"/>
        <v>0</v>
      </c>
      <c r="AG740" s="1054">
        <f t="shared" ca="1" si="241"/>
        <v>0</v>
      </c>
      <c r="AH740" s="1054">
        <f t="shared" ca="1" si="241"/>
        <v>0</v>
      </c>
      <c r="AI740" s="1054">
        <f t="shared" ca="1" si="241"/>
        <v>0</v>
      </c>
      <c r="AJ740" s="1054">
        <f t="shared" ca="1" si="241"/>
        <v>0</v>
      </c>
      <c r="AK740" s="1054">
        <f t="shared" ca="1" si="241"/>
        <v>0</v>
      </c>
      <c r="AL740" s="1054">
        <f t="shared" ca="1" si="241"/>
        <v>0</v>
      </c>
      <c r="AM740" s="1054">
        <f t="shared" ca="1" si="241"/>
        <v>0</v>
      </c>
      <c r="AN740" s="1054">
        <f t="shared" ca="1" si="241"/>
        <v>0</v>
      </c>
      <c r="AO740" s="1054">
        <f t="shared" ca="1" si="241"/>
        <v>0</v>
      </c>
      <c r="AP740" s="1054">
        <f t="shared" ca="1" si="241"/>
        <v>0</v>
      </c>
      <c r="AQ740" s="1054">
        <f t="shared" ca="1" si="241"/>
        <v>0</v>
      </c>
      <c r="AR740" s="1054">
        <f t="shared" ca="1" si="241"/>
        <v>0</v>
      </c>
      <c r="AS740" s="1054">
        <f t="shared" ca="1" si="241"/>
        <v>0</v>
      </c>
      <c r="AT740" s="1054">
        <f t="shared" ca="1" si="241"/>
        <v>0</v>
      </c>
      <c r="AU740" s="1054">
        <f t="shared" ca="1" si="241"/>
        <v>0</v>
      </c>
      <c r="AV740" s="1054">
        <f t="shared" ca="1" si="241"/>
        <v>0</v>
      </c>
      <c r="AW740" s="1054">
        <f t="shared" ca="1" si="241"/>
        <v>0</v>
      </c>
      <c r="AX740" s="1054">
        <f t="shared" ca="1" si="241"/>
        <v>0</v>
      </c>
    </row>
    <row r="741" spans="1:50" ht="15" customHeight="1">
      <c r="A741" s="382"/>
      <c r="B741" s="509"/>
      <c r="C741" s="466"/>
      <c r="D741" s="467"/>
      <c r="E741" s="382" t="str">
        <f>Translate!$E$275</f>
        <v>Government revenues excluding participation</v>
      </c>
      <c r="F741" s="382"/>
      <c r="G741" s="382" t="str">
        <f xml:space="preserve"> Translate!E$10</f>
        <v>US$ mn</v>
      </c>
      <c r="H741" s="382"/>
      <c r="I741" s="382">
        <f ca="1" xml:space="preserve"> SUM(K741:AX741)</f>
        <v>790.3139390764552</v>
      </c>
      <c r="J741" s="382"/>
      <c r="K741" s="382">
        <f ca="1">SUM(K733:K740)</f>
        <v>0</v>
      </c>
      <c r="L741" s="382">
        <f t="shared" ref="L741:AX741" ca="1" si="242">SUM(L733:L740)</f>
        <v>0</v>
      </c>
      <c r="M741" s="382">
        <f t="shared" ca="1" si="242"/>
        <v>0</v>
      </c>
      <c r="N741" s="382">
        <f t="shared" ca="1" si="242"/>
        <v>0</v>
      </c>
      <c r="O741" s="382">
        <f t="shared" ca="1" si="242"/>
        <v>0.79829371800000004</v>
      </c>
      <c r="P741" s="382">
        <f t="shared" ca="1" si="242"/>
        <v>9.7883663708699995</v>
      </c>
      <c r="Q741" s="382">
        <f t="shared" ca="1" si="242"/>
        <v>20.94172481397851</v>
      </c>
      <c r="R741" s="382">
        <f t="shared" ca="1" si="242"/>
        <v>21.494248250929903</v>
      </c>
      <c r="S741" s="382">
        <f t="shared" ca="1" si="242"/>
        <v>30.348145553227901</v>
      </c>
      <c r="T741" s="382">
        <f t="shared" ca="1" si="242"/>
        <v>55.331721514308498</v>
      </c>
      <c r="U741" s="382">
        <f t="shared" ca="1" si="242"/>
        <v>63.491723992137253</v>
      </c>
      <c r="V741" s="382">
        <f t="shared" ca="1" si="242"/>
        <v>72.799595334758507</v>
      </c>
      <c r="W741" s="382">
        <f t="shared" ca="1" si="242"/>
        <v>74.255587241453682</v>
      </c>
      <c r="X741" s="382">
        <f t="shared" ca="1" si="242"/>
        <v>74.497505518062013</v>
      </c>
      <c r="Y741" s="382">
        <f t="shared" ca="1" si="242"/>
        <v>76.012319497787715</v>
      </c>
      <c r="Z741" s="382">
        <f t="shared" ca="1" si="242"/>
        <v>77.557429757107855</v>
      </c>
      <c r="AA741" s="382">
        <f t="shared" ca="1" si="242"/>
        <v>65.110779440540114</v>
      </c>
      <c r="AB741" s="382">
        <f t="shared" ca="1" si="242"/>
        <v>53.819513337591829</v>
      </c>
      <c r="AC741" s="382">
        <f t="shared" ca="1" si="242"/>
        <v>40.404225879285249</v>
      </c>
      <c r="AD741" s="382">
        <f t="shared" ca="1" si="242"/>
        <v>29.99813527886041</v>
      </c>
      <c r="AE741" s="382">
        <f t="shared" ca="1" si="242"/>
        <v>23.664623577555759</v>
      </c>
      <c r="AF741" s="382">
        <f t="shared" ca="1" si="242"/>
        <v>0</v>
      </c>
      <c r="AG741" s="382">
        <f t="shared" ca="1" si="242"/>
        <v>0</v>
      </c>
      <c r="AH741" s="382">
        <f t="shared" ca="1" si="242"/>
        <v>0</v>
      </c>
      <c r="AI741" s="382">
        <f t="shared" ca="1" si="242"/>
        <v>0</v>
      </c>
      <c r="AJ741" s="382">
        <f t="shared" ca="1" si="242"/>
        <v>0</v>
      </c>
      <c r="AK741" s="382">
        <f t="shared" ca="1" si="242"/>
        <v>0</v>
      </c>
      <c r="AL741" s="382">
        <f t="shared" ca="1" si="242"/>
        <v>0</v>
      </c>
      <c r="AM741" s="382">
        <f t="shared" ca="1" si="242"/>
        <v>0</v>
      </c>
      <c r="AN741" s="382">
        <f t="shared" ca="1" si="242"/>
        <v>0</v>
      </c>
      <c r="AO741" s="382">
        <f t="shared" ca="1" si="242"/>
        <v>0</v>
      </c>
      <c r="AP741" s="382">
        <f t="shared" ca="1" si="242"/>
        <v>0</v>
      </c>
      <c r="AQ741" s="382">
        <f t="shared" ca="1" si="242"/>
        <v>0</v>
      </c>
      <c r="AR741" s="382">
        <f t="shared" ca="1" si="242"/>
        <v>0</v>
      </c>
      <c r="AS741" s="382">
        <f t="shared" ca="1" si="242"/>
        <v>0</v>
      </c>
      <c r="AT741" s="382">
        <f t="shared" ca="1" si="242"/>
        <v>0</v>
      </c>
      <c r="AU741" s="382">
        <f t="shared" ca="1" si="242"/>
        <v>0</v>
      </c>
      <c r="AV741" s="382">
        <f t="shared" ca="1" si="242"/>
        <v>0</v>
      </c>
      <c r="AW741" s="382">
        <f t="shared" ca="1" si="242"/>
        <v>0</v>
      </c>
      <c r="AX741" s="382">
        <f t="shared" ca="1" si="242"/>
        <v>0</v>
      </c>
    </row>
    <row r="742" spans="1:50" ht="15" customHeight="1">
      <c r="A742" s="325"/>
      <c r="B742" s="509"/>
      <c r="C742" s="323"/>
      <c r="D742" s="1006"/>
      <c r="E742" s="468" t="str">
        <f xml:space="preserve"> E$709</f>
        <v>State participation cashflows including share of loan</v>
      </c>
      <c r="F742" s="468">
        <f t="shared" ref="F742:AX742" si="243" xml:space="preserve"> F$709</f>
        <v>0</v>
      </c>
      <c r="G742" s="468" t="str">
        <f t="shared" si="243"/>
        <v>US$ mn</v>
      </c>
      <c r="H742" s="468">
        <f t="shared" si="243"/>
        <v>0</v>
      </c>
      <c r="I742" s="468">
        <f t="shared" ca="1" si="243"/>
        <v>0</v>
      </c>
      <c r="J742" s="468">
        <f t="shared" si="243"/>
        <v>0</v>
      </c>
      <c r="K742" s="468">
        <f t="shared" ca="1" si="243"/>
        <v>0</v>
      </c>
      <c r="L742" s="468">
        <f t="shared" ca="1" si="243"/>
        <v>0</v>
      </c>
      <c r="M742" s="468">
        <f t="shared" ca="1" si="243"/>
        <v>0</v>
      </c>
      <c r="N742" s="468">
        <f t="shared" ca="1" si="243"/>
        <v>0</v>
      </c>
      <c r="O742" s="468">
        <f t="shared" ca="1" si="243"/>
        <v>0</v>
      </c>
      <c r="P742" s="468">
        <f t="shared" ca="1" si="243"/>
        <v>0</v>
      </c>
      <c r="Q742" s="468">
        <f t="shared" ca="1" si="243"/>
        <v>0</v>
      </c>
      <c r="R742" s="468">
        <f t="shared" ca="1" si="243"/>
        <v>0</v>
      </c>
      <c r="S742" s="468">
        <f t="shared" ca="1" si="243"/>
        <v>0</v>
      </c>
      <c r="T742" s="468">
        <f t="shared" ca="1" si="243"/>
        <v>0</v>
      </c>
      <c r="U742" s="468">
        <f t="shared" ca="1" si="243"/>
        <v>0</v>
      </c>
      <c r="V742" s="468">
        <f t="shared" ca="1" si="243"/>
        <v>0</v>
      </c>
      <c r="W742" s="468">
        <f t="shared" ca="1" si="243"/>
        <v>0</v>
      </c>
      <c r="X742" s="468">
        <f t="shared" ca="1" si="243"/>
        <v>0</v>
      </c>
      <c r="Y742" s="468">
        <f t="shared" ca="1" si="243"/>
        <v>0</v>
      </c>
      <c r="Z742" s="468">
        <f t="shared" ca="1" si="243"/>
        <v>0</v>
      </c>
      <c r="AA742" s="468">
        <f t="shared" ca="1" si="243"/>
        <v>0</v>
      </c>
      <c r="AB742" s="468">
        <f t="shared" ca="1" si="243"/>
        <v>0</v>
      </c>
      <c r="AC742" s="468">
        <f t="shared" ca="1" si="243"/>
        <v>0</v>
      </c>
      <c r="AD742" s="468">
        <f t="shared" ca="1" si="243"/>
        <v>0</v>
      </c>
      <c r="AE742" s="468">
        <f t="shared" ca="1" si="243"/>
        <v>0</v>
      </c>
      <c r="AF742" s="468">
        <f t="shared" ca="1" si="243"/>
        <v>0</v>
      </c>
      <c r="AG742" s="468">
        <f t="shared" ca="1" si="243"/>
        <v>0</v>
      </c>
      <c r="AH742" s="468">
        <f t="shared" ca="1" si="243"/>
        <v>0</v>
      </c>
      <c r="AI742" s="468">
        <f t="shared" ca="1" si="243"/>
        <v>0</v>
      </c>
      <c r="AJ742" s="468">
        <f t="shared" ca="1" si="243"/>
        <v>0</v>
      </c>
      <c r="AK742" s="468">
        <f t="shared" ca="1" si="243"/>
        <v>0</v>
      </c>
      <c r="AL742" s="468">
        <f t="shared" ca="1" si="243"/>
        <v>0</v>
      </c>
      <c r="AM742" s="468">
        <f t="shared" ca="1" si="243"/>
        <v>0</v>
      </c>
      <c r="AN742" s="468">
        <f t="shared" ca="1" si="243"/>
        <v>0</v>
      </c>
      <c r="AO742" s="468">
        <f t="shared" ca="1" si="243"/>
        <v>0</v>
      </c>
      <c r="AP742" s="468">
        <f t="shared" ca="1" si="243"/>
        <v>0</v>
      </c>
      <c r="AQ742" s="468">
        <f t="shared" ca="1" si="243"/>
        <v>0</v>
      </c>
      <c r="AR742" s="468">
        <f t="shared" ca="1" si="243"/>
        <v>0</v>
      </c>
      <c r="AS742" s="468">
        <f t="shared" ca="1" si="243"/>
        <v>0</v>
      </c>
      <c r="AT742" s="468">
        <f t="shared" ca="1" si="243"/>
        <v>0</v>
      </c>
      <c r="AU742" s="468">
        <f t="shared" ca="1" si="243"/>
        <v>0</v>
      </c>
      <c r="AV742" s="468">
        <f t="shared" ca="1" si="243"/>
        <v>0</v>
      </c>
      <c r="AW742" s="468">
        <f t="shared" ca="1" si="243"/>
        <v>0</v>
      </c>
      <c r="AX742" s="468">
        <f t="shared" ca="1" si="243"/>
        <v>0</v>
      </c>
    </row>
    <row r="743" spans="1:50" ht="15" customHeight="1">
      <c r="A743" s="325"/>
      <c r="B743" s="509"/>
      <c r="C743" s="323"/>
      <c r="D743" s="1006"/>
      <c r="E743" s="1054" t="str">
        <f>Translate!$E$276</f>
        <v>Government revenues including participation</v>
      </c>
      <c r="F743" s="1054"/>
      <c r="G743" s="1054" t="str">
        <f xml:space="preserve"> Translate!E$10</f>
        <v>US$ mn</v>
      </c>
      <c r="H743" s="1054"/>
      <c r="I743" s="468">
        <f ca="1" xml:space="preserve"> SUM(K743:AX743)</f>
        <v>790.3139390764552</v>
      </c>
      <c r="J743" s="1054"/>
      <c r="K743" s="1054">
        <f t="shared" ref="K743:AX743" ca="1" si="244" xml:space="preserve"> K741 + K742</f>
        <v>0</v>
      </c>
      <c r="L743" s="1054">
        <f t="shared" ca="1" si="244"/>
        <v>0</v>
      </c>
      <c r="M743" s="1054">
        <f t="shared" ca="1" si="244"/>
        <v>0</v>
      </c>
      <c r="N743" s="1054">
        <f t="shared" ca="1" si="244"/>
        <v>0</v>
      </c>
      <c r="O743" s="1054">
        <f t="shared" ca="1" si="244"/>
        <v>0.79829371800000004</v>
      </c>
      <c r="P743" s="1054">
        <f t="shared" ca="1" si="244"/>
        <v>9.7883663708699995</v>
      </c>
      <c r="Q743" s="1054">
        <f t="shared" ca="1" si="244"/>
        <v>20.94172481397851</v>
      </c>
      <c r="R743" s="1054">
        <f t="shared" ca="1" si="244"/>
        <v>21.494248250929903</v>
      </c>
      <c r="S743" s="1054">
        <f t="shared" ca="1" si="244"/>
        <v>30.348145553227901</v>
      </c>
      <c r="T743" s="1054">
        <f t="shared" ca="1" si="244"/>
        <v>55.331721514308498</v>
      </c>
      <c r="U743" s="1054">
        <f t="shared" ca="1" si="244"/>
        <v>63.491723992137253</v>
      </c>
      <c r="V743" s="1054">
        <f t="shared" ca="1" si="244"/>
        <v>72.799595334758507</v>
      </c>
      <c r="W743" s="1054">
        <f t="shared" ca="1" si="244"/>
        <v>74.255587241453682</v>
      </c>
      <c r="X743" s="1054">
        <f t="shared" ca="1" si="244"/>
        <v>74.497505518062013</v>
      </c>
      <c r="Y743" s="1054">
        <f t="shared" ca="1" si="244"/>
        <v>76.012319497787715</v>
      </c>
      <c r="Z743" s="1054">
        <f t="shared" ca="1" si="244"/>
        <v>77.557429757107855</v>
      </c>
      <c r="AA743" s="1054">
        <f t="shared" ca="1" si="244"/>
        <v>65.110779440540114</v>
      </c>
      <c r="AB743" s="1054">
        <f t="shared" ca="1" si="244"/>
        <v>53.819513337591829</v>
      </c>
      <c r="AC743" s="1054">
        <f t="shared" ca="1" si="244"/>
        <v>40.404225879285249</v>
      </c>
      <c r="AD743" s="1054">
        <f t="shared" ca="1" si="244"/>
        <v>29.99813527886041</v>
      </c>
      <c r="AE743" s="1054">
        <f t="shared" ca="1" si="244"/>
        <v>23.664623577555759</v>
      </c>
      <c r="AF743" s="1054">
        <f t="shared" ca="1" si="244"/>
        <v>0</v>
      </c>
      <c r="AG743" s="1054">
        <f t="shared" ca="1" si="244"/>
        <v>0</v>
      </c>
      <c r="AH743" s="1054">
        <f t="shared" ca="1" si="244"/>
        <v>0</v>
      </c>
      <c r="AI743" s="1054">
        <f t="shared" ca="1" si="244"/>
        <v>0</v>
      </c>
      <c r="AJ743" s="1054">
        <f t="shared" ca="1" si="244"/>
        <v>0</v>
      </c>
      <c r="AK743" s="1054">
        <f t="shared" ca="1" si="244"/>
        <v>0</v>
      </c>
      <c r="AL743" s="1054">
        <f t="shared" ca="1" si="244"/>
        <v>0</v>
      </c>
      <c r="AM743" s="1054">
        <f t="shared" ca="1" si="244"/>
        <v>0</v>
      </c>
      <c r="AN743" s="1054">
        <f t="shared" ca="1" si="244"/>
        <v>0</v>
      </c>
      <c r="AO743" s="1054">
        <f t="shared" ca="1" si="244"/>
        <v>0</v>
      </c>
      <c r="AP743" s="1054">
        <f t="shared" ca="1" si="244"/>
        <v>0</v>
      </c>
      <c r="AQ743" s="1054">
        <f t="shared" ca="1" si="244"/>
        <v>0</v>
      </c>
      <c r="AR743" s="1054">
        <f t="shared" ca="1" si="244"/>
        <v>0</v>
      </c>
      <c r="AS743" s="1054">
        <f t="shared" ca="1" si="244"/>
        <v>0</v>
      </c>
      <c r="AT743" s="1054">
        <f t="shared" ca="1" si="244"/>
        <v>0</v>
      </c>
      <c r="AU743" s="1054">
        <f t="shared" ca="1" si="244"/>
        <v>0</v>
      </c>
      <c r="AV743" s="1054">
        <f t="shared" ca="1" si="244"/>
        <v>0</v>
      </c>
      <c r="AW743" s="1054">
        <f t="shared" ca="1" si="244"/>
        <v>0</v>
      </c>
      <c r="AX743" s="1054">
        <f t="shared" ca="1" si="244"/>
        <v>0</v>
      </c>
    </row>
    <row r="744" spans="1:50" ht="15" customHeight="1">
      <c r="A744" s="325"/>
      <c r="B744" s="509"/>
      <c r="C744" s="323"/>
      <c r="D744" s="1006"/>
      <c r="E744" s="1054"/>
      <c r="F744" s="1054"/>
      <c r="G744" s="1054"/>
      <c r="H744" s="1054"/>
      <c r="I744" s="1054"/>
      <c r="J744" s="1054"/>
      <c r="K744" s="1054"/>
      <c r="L744" s="1054"/>
      <c r="M744" s="1054"/>
      <c r="N744" s="1054"/>
      <c r="O744" s="1054"/>
      <c r="P744" s="1054"/>
      <c r="Q744" s="1054"/>
      <c r="R744" s="1054"/>
      <c r="S744" s="1054"/>
      <c r="T744" s="1054"/>
      <c r="U744" s="1054"/>
      <c r="V744" s="1054"/>
      <c r="W744" s="1054"/>
      <c r="X744" s="1054"/>
      <c r="Y744" s="1054"/>
      <c r="Z744" s="1054"/>
      <c r="AA744" s="1054"/>
      <c r="AB744" s="1054"/>
      <c r="AC744" s="1054"/>
      <c r="AD744" s="1054"/>
      <c r="AE744" s="1054"/>
      <c r="AF744" s="1054"/>
      <c r="AG744" s="1054"/>
      <c r="AH744" s="1054"/>
      <c r="AI744" s="1054"/>
      <c r="AJ744" s="1054"/>
      <c r="AK744" s="1054"/>
      <c r="AL744" s="1054"/>
      <c r="AM744" s="1054"/>
      <c r="AN744" s="1054"/>
      <c r="AO744" s="1054"/>
      <c r="AP744" s="1054"/>
      <c r="AQ744" s="1054"/>
      <c r="AR744" s="1054"/>
      <c r="AS744" s="1054"/>
      <c r="AT744" s="1054"/>
      <c r="AU744" s="1054"/>
      <c r="AV744" s="1054"/>
      <c r="AW744" s="1054"/>
      <c r="AX744" s="1054"/>
    </row>
    <row r="745" spans="1:50" ht="15" customHeight="1">
      <c r="A745" s="325"/>
      <c r="B745" s="509" t="str">
        <f>Translate!$E$39 &amp; ": " &amp; Translate!E$6</f>
        <v>Government revenues: real</v>
      </c>
      <c r="C745" s="323"/>
      <c r="D745" s="1006"/>
      <c r="E745" s="1054"/>
      <c r="F745" s="1054"/>
      <c r="G745" s="1054"/>
      <c r="H745" s="1054"/>
      <c r="I745" s="1054"/>
      <c r="J745" s="1054"/>
      <c r="K745" s="1054"/>
      <c r="L745" s="1054"/>
      <c r="M745" s="1054"/>
      <c r="N745" s="1054"/>
      <c r="O745" s="1054"/>
      <c r="P745" s="1054"/>
      <c r="Q745" s="1054"/>
      <c r="R745" s="1054"/>
      <c r="S745" s="1054"/>
      <c r="T745" s="1054"/>
      <c r="U745" s="1054"/>
      <c r="V745" s="1054"/>
      <c r="W745" s="1054"/>
      <c r="X745" s="1054"/>
      <c r="Y745" s="1054"/>
      <c r="Z745" s="1054"/>
      <c r="AA745" s="1054"/>
      <c r="AB745" s="1054"/>
      <c r="AC745" s="1054"/>
      <c r="AD745" s="1054"/>
      <c r="AE745" s="1054"/>
      <c r="AF745" s="1054"/>
      <c r="AG745" s="1054"/>
      <c r="AH745" s="1054"/>
      <c r="AI745" s="1054"/>
      <c r="AJ745" s="1054"/>
      <c r="AK745" s="1054"/>
      <c r="AL745" s="1054"/>
      <c r="AM745" s="1054"/>
      <c r="AN745" s="1054"/>
      <c r="AO745" s="1054"/>
      <c r="AP745" s="1054"/>
      <c r="AQ745" s="1054"/>
      <c r="AR745" s="1054"/>
      <c r="AS745" s="1054"/>
      <c r="AT745" s="1054"/>
      <c r="AU745" s="1054"/>
      <c r="AV745" s="1054"/>
      <c r="AW745" s="1054"/>
      <c r="AX745" s="1054"/>
    </row>
    <row r="746" spans="1:50" s="749" customFormat="1" ht="15" customHeight="1">
      <c r="B746" s="755"/>
      <c r="C746" s="751"/>
      <c r="E746" s="749" t="str">
        <f xml:space="preserve"> ProjectCashflows!E$213</f>
        <v>Inflation index</v>
      </c>
      <c r="F746" s="749">
        <f xml:space="preserve"> ProjectCashflows!F$213</f>
        <v>0</v>
      </c>
      <c r="G746" s="749" t="str">
        <f xml:space="preserve"> ProjectCashflows!G$213</f>
        <v>Index</v>
      </c>
      <c r="H746" s="749" t="str">
        <f xml:space="preserve"> ProjectCashflows!H$213</f>
        <v>base year is first project year</v>
      </c>
      <c r="I746" s="749">
        <f xml:space="preserve"> ProjectCashflows!I$213</f>
        <v>0</v>
      </c>
      <c r="J746" s="749">
        <f xml:space="preserve"> ProjectCashflows!J$213</f>
        <v>0</v>
      </c>
      <c r="K746" s="749">
        <f ca="1" xml:space="preserve"> ProjectCashflows!K$213</f>
        <v>1</v>
      </c>
      <c r="L746" s="749">
        <f ca="1" xml:space="preserve"> ProjectCashflows!L$213</f>
        <v>1.02</v>
      </c>
      <c r="M746" s="749">
        <f ca="1" xml:space="preserve"> ProjectCashflows!M$213</f>
        <v>1.0404</v>
      </c>
      <c r="N746" s="749">
        <f ca="1" xml:space="preserve"> ProjectCashflows!N$213</f>
        <v>1.0612079999999999</v>
      </c>
      <c r="O746" s="749">
        <f ca="1" xml:space="preserve"> ProjectCashflows!O$213</f>
        <v>1.08243216</v>
      </c>
      <c r="P746" s="749">
        <f ca="1" xml:space="preserve"> ProjectCashflows!P$213</f>
        <v>1.1040808032</v>
      </c>
      <c r="Q746" s="749">
        <f ca="1" xml:space="preserve"> ProjectCashflows!Q$213</f>
        <v>1.1261624192640001</v>
      </c>
      <c r="R746" s="749">
        <f ca="1" xml:space="preserve"> ProjectCashflows!R$213</f>
        <v>1.14868566764928</v>
      </c>
      <c r="S746" s="749">
        <f ca="1" xml:space="preserve"> ProjectCashflows!S$213</f>
        <v>1.1716593810022657</v>
      </c>
      <c r="T746" s="749">
        <f ca="1" xml:space="preserve"> ProjectCashflows!T$213</f>
        <v>1.1950925686223111</v>
      </c>
      <c r="U746" s="749">
        <f ca="1" xml:space="preserve"> ProjectCashflows!U$213</f>
        <v>1.2189944199947573</v>
      </c>
      <c r="V746" s="749">
        <f ca="1" xml:space="preserve"> ProjectCashflows!V$213</f>
        <v>1.2433743083946525</v>
      </c>
      <c r="W746" s="749">
        <f ca="1" xml:space="preserve"> ProjectCashflows!W$213</f>
        <v>1.2682417945625455</v>
      </c>
      <c r="X746" s="749">
        <f ca="1" xml:space="preserve"> ProjectCashflows!X$213</f>
        <v>1.2936066304537963</v>
      </c>
      <c r="Y746" s="749">
        <f ca="1" xml:space="preserve"> ProjectCashflows!Y$213</f>
        <v>1.3194787630628724</v>
      </c>
      <c r="Z746" s="749">
        <f ca="1" xml:space="preserve"> ProjectCashflows!Z$213</f>
        <v>1.3458683383241299</v>
      </c>
      <c r="AA746" s="749">
        <f ca="1" xml:space="preserve"> ProjectCashflows!AA$213</f>
        <v>1.3727857050906125</v>
      </c>
      <c r="AB746" s="749">
        <f ca="1" xml:space="preserve"> ProjectCashflows!AB$213</f>
        <v>1.4002414191924248</v>
      </c>
      <c r="AC746" s="749">
        <f ca="1" xml:space="preserve"> ProjectCashflows!AC$213</f>
        <v>1.4282462475762734</v>
      </c>
      <c r="AD746" s="749">
        <f ca="1" xml:space="preserve"> ProjectCashflows!AD$213</f>
        <v>1.4568111725277988</v>
      </c>
      <c r="AE746" s="749">
        <f ca="1" xml:space="preserve"> ProjectCashflows!AE$213</f>
        <v>1.4859473959783549</v>
      </c>
      <c r="AF746" s="749">
        <f ca="1" xml:space="preserve"> ProjectCashflows!AF$213</f>
        <v>1.5156663438979221</v>
      </c>
      <c r="AG746" s="749">
        <f ca="1" xml:space="preserve"> ProjectCashflows!AG$213</f>
        <v>1</v>
      </c>
      <c r="AH746" s="749">
        <f ca="1" xml:space="preserve"> ProjectCashflows!AH$213</f>
        <v>1</v>
      </c>
      <c r="AI746" s="749">
        <f ca="1" xml:space="preserve"> ProjectCashflows!AI$213</f>
        <v>1</v>
      </c>
      <c r="AJ746" s="749">
        <f ca="1" xml:space="preserve"> ProjectCashflows!AJ$213</f>
        <v>1</v>
      </c>
      <c r="AK746" s="749">
        <f ca="1" xml:space="preserve"> ProjectCashflows!AK$213</f>
        <v>1</v>
      </c>
      <c r="AL746" s="749">
        <f ca="1" xml:space="preserve"> ProjectCashflows!AL$213</f>
        <v>1</v>
      </c>
      <c r="AM746" s="749">
        <f ca="1" xml:space="preserve"> ProjectCashflows!AM$213</f>
        <v>1</v>
      </c>
      <c r="AN746" s="749">
        <f ca="1" xml:space="preserve"> ProjectCashflows!AN$213</f>
        <v>1</v>
      </c>
      <c r="AO746" s="749">
        <f ca="1" xml:space="preserve"> ProjectCashflows!AO$213</f>
        <v>1</v>
      </c>
      <c r="AP746" s="749">
        <f ca="1" xml:space="preserve"> ProjectCashflows!AP$213</f>
        <v>1</v>
      </c>
      <c r="AQ746" s="749">
        <f ca="1" xml:space="preserve"> ProjectCashflows!AQ$213</f>
        <v>1</v>
      </c>
      <c r="AR746" s="749">
        <f ca="1" xml:space="preserve"> ProjectCashflows!AR$213</f>
        <v>1</v>
      </c>
      <c r="AS746" s="749">
        <f ca="1" xml:space="preserve"> ProjectCashflows!AS$213</f>
        <v>1</v>
      </c>
      <c r="AT746" s="749">
        <f ca="1" xml:space="preserve"> ProjectCashflows!AT$213</f>
        <v>1</v>
      </c>
      <c r="AU746" s="749">
        <f ca="1" xml:space="preserve"> ProjectCashflows!AU$213</f>
        <v>1</v>
      </c>
      <c r="AV746" s="749">
        <f ca="1" xml:space="preserve"> ProjectCashflows!AV$213</f>
        <v>1</v>
      </c>
      <c r="AW746" s="749">
        <f ca="1" xml:space="preserve"> ProjectCashflows!AW$213</f>
        <v>1</v>
      </c>
      <c r="AX746" s="749">
        <f ca="1" xml:space="preserve"> ProjectCashflows!AX$213</f>
        <v>1</v>
      </c>
    </row>
    <row r="747" spans="1:50" s="221" customFormat="1" ht="15" customHeight="1">
      <c r="A747" s="362"/>
      <c r="B747" s="509"/>
      <c r="C747" s="469"/>
      <c r="D747" s="470"/>
      <c r="E747" s="221" t="str">
        <f xml:space="preserve"> Inputs!E$53</f>
        <v>Label for real terms cashflows: Million</v>
      </c>
      <c r="F747" s="221" t="str">
        <f xml:space="preserve"> Inputs!F$53</f>
        <v>US$ mn 2021</v>
      </c>
      <c r="G747" s="221" t="str">
        <f xml:space="preserve"> Inputs!G$53</f>
        <v>Label</v>
      </c>
    </row>
    <row r="748" spans="1:50" ht="15" customHeight="1">
      <c r="A748" s="325"/>
      <c r="B748" s="509"/>
      <c r="C748" s="323"/>
      <c r="D748" s="1006"/>
      <c r="E748" s="1054"/>
      <c r="F748" s="1054"/>
      <c r="G748" s="1054"/>
      <c r="H748" s="1054"/>
      <c r="I748" s="1054"/>
      <c r="J748" s="1054"/>
      <c r="K748" s="1041"/>
      <c r="L748" s="1041"/>
      <c r="M748" s="1041"/>
      <c r="N748" s="1041"/>
      <c r="O748" s="1041"/>
      <c r="P748" s="1041"/>
      <c r="Q748" s="1041"/>
      <c r="R748" s="1041"/>
      <c r="S748" s="1041"/>
      <c r="T748" s="1041"/>
      <c r="U748" s="1041"/>
      <c r="V748" s="1041"/>
      <c r="W748" s="1041"/>
      <c r="X748" s="1041"/>
      <c r="Y748" s="1041"/>
      <c r="Z748" s="1041"/>
      <c r="AA748" s="1041"/>
      <c r="AB748" s="1041"/>
      <c r="AC748" s="1041"/>
      <c r="AD748" s="1041"/>
      <c r="AE748" s="1041"/>
      <c r="AF748" s="1041"/>
      <c r="AG748" s="1041"/>
      <c r="AH748" s="1041"/>
      <c r="AI748" s="1041"/>
      <c r="AJ748" s="1041"/>
      <c r="AK748" s="1041"/>
      <c r="AL748" s="1041"/>
      <c r="AM748" s="1041"/>
      <c r="AN748" s="1041"/>
      <c r="AO748" s="1041"/>
      <c r="AP748" s="1041"/>
      <c r="AQ748" s="1041"/>
      <c r="AR748" s="1041"/>
      <c r="AS748" s="1041"/>
      <c r="AT748" s="1041"/>
      <c r="AU748" s="1041"/>
      <c r="AV748" s="1041"/>
      <c r="AW748" s="1041"/>
      <c r="AX748" s="1041"/>
    </row>
    <row r="749" spans="1:50" ht="15" customHeight="1">
      <c r="A749" s="471"/>
      <c r="D749" s="1005"/>
      <c r="E749" s="1041" t="str">
        <f t="shared" ref="E749:E755" si="245" xml:space="preserve"> E733</f>
        <v>Signature bonus</v>
      </c>
      <c r="F749" s="1041"/>
      <c r="G749" s="1041" t="str">
        <f t="shared" ref="G749:G759" si="246" xml:space="preserve"> $F$747</f>
        <v>US$ mn 2021</v>
      </c>
      <c r="H749" s="1041"/>
      <c r="I749" s="1041">
        <f ca="1" xml:space="preserve"> SUM(K749:AX749)</f>
        <v>0</v>
      </c>
      <c r="J749" s="1041"/>
      <c r="K749" s="1041">
        <f t="shared" ref="K749:AX749" ca="1" si="247" xml:space="preserve"> K733 / K$746</f>
        <v>0</v>
      </c>
      <c r="L749" s="1041">
        <f t="shared" ca="1" si="247"/>
        <v>0</v>
      </c>
      <c r="M749" s="1041">
        <f t="shared" ca="1" si="247"/>
        <v>0</v>
      </c>
      <c r="N749" s="1041">
        <f t="shared" ca="1" si="247"/>
        <v>0</v>
      </c>
      <c r="O749" s="1041">
        <f t="shared" ca="1" si="247"/>
        <v>0</v>
      </c>
      <c r="P749" s="1041">
        <f t="shared" ca="1" si="247"/>
        <v>0</v>
      </c>
      <c r="Q749" s="1041">
        <f t="shared" ca="1" si="247"/>
        <v>0</v>
      </c>
      <c r="R749" s="1041">
        <f t="shared" ca="1" si="247"/>
        <v>0</v>
      </c>
      <c r="S749" s="1041">
        <f t="shared" ca="1" si="247"/>
        <v>0</v>
      </c>
      <c r="T749" s="1041">
        <f t="shared" ca="1" si="247"/>
        <v>0</v>
      </c>
      <c r="U749" s="1041">
        <f t="shared" ca="1" si="247"/>
        <v>0</v>
      </c>
      <c r="V749" s="1041">
        <f t="shared" ca="1" si="247"/>
        <v>0</v>
      </c>
      <c r="W749" s="1041">
        <f t="shared" ca="1" si="247"/>
        <v>0</v>
      </c>
      <c r="X749" s="1041">
        <f t="shared" ca="1" si="247"/>
        <v>0</v>
      </c>
      <c r="Y749" s="1041">
        <f t="shared" ca="1" si="247"/>
        <v>0</v>
      </c>
      <c r="Z749" s="1041">
        <f t="shared" ca="1" si="247"/>
        <v>0</v>
      </c>
      <c r="AA749" s="1041">
        <f t="shared" ca="1" si="247"/>
        <v>0</v>
      </c>
      <c r="AB749" s="1041">
        <f t="shared" ca="1" si="247"/>
        <v>0</v>
      </c>
      <c r="AC749" s="1041">
        <f t="shared" ca="1" si="247"/>
        <v>0</v>
      </c>
      <c r="AD749" s="1041">
        <f t="shared" ca="1" si="247"/>
        <v>0</v>
      </c>
      <c r="AE749" s="1041">
        <f t="shared" ca="1" si="247"/>
        <v>0</v>
      </c>
      <c r="AF749" s="1041">
        <f t="shared" ca="1" si="247"/>
        <v>0</v>
      </c>
      <c r="AG749" s="1041">
        <f t="shared" ca="1" si="247"/>
        <v>0</v>
      </c>
      <c r="AH749" s="1041">
        <f t="shared" ca="1" si="247"/>
        <v>0</v>
      </c>
      <c r="AI749" s="1041">
        <f t="shared" ca="1" si="247"/>
        <v>0</v>
      </c>
      <c r="AJ749" s="1041">
        <f t="shared" ca="1" si="247"/>
        <v>0</v>
      </c>
      <c r="AK749" s="1041">
        <f t="shared" ca="1" si="247"/>
        <v>0</v>
      </c>
      <c r="AL749" s="1041">
        <f t="shared" ca="1" si="247"/>
        <v>0</v>
      </c>
      <c r="AM749" s="1041">
        <f t="shared" ca="1" si="247"/>
        <v>0</v>
      </c>
      <c r="AN749" s="1041">
        <f t="shared" ca="1" si="247"/>
        <v>0</v>
      </c>
      <c r="AO749" s="1041">
        <f t="shared" ca="1" si="247"/>
        <v>0</v>
      </c>
      <c r="AP749" s="1041">
        <f t="shared" ca="1" si="247"/>
        <v>0</v>
      </c>
      <c r="AQ749" s="1041">
        <f t="shared" ca="1" si="247"/>
        <v>0</v>
      </c>
      <c r="AR749" s="1041">
        <f t="shared" ca="1" si="247"/>
        <v>0</v>
      </c>
      <c r="AS749" s="1041">
        <f t="shared" ca="1" si="247"/>
        <v>0</v>
      </c>
      <c r="AT749" s="1041">
        <f t="shared" ca="1" si="247"/>
        <v>0</v>
      </c>
      <c r="AU749" s="1041">
        <f t="shared" ca="1" si="247"/>
        <v>0</v>
      </c>
      <c r="AV749" s="1041">
        <f t="shared" ca="1" si="247"/>
        <v>0</v>
      </c>
      <c r="AW749" s="1041">
        <f t="shared" ca="1" si="247"/>
        <v>0</v>
      </c>
      <c r="AX749" s="1041">
        <f t="shared" ca="1" si="247"/>
        <v>0</v>
      </c>
    </row>
    <row r="750" spans="1:50" ht="15" customHeight="1">
      <c r="A750" s="471"/>
      <c r="D750" s="1005"/>
      <c r="E750" s="1041" t="str">
        <f t="shared" si="245"/>
        <v>Royalty</v>
      </c>
      <c r="F750" s="1041"/>
      <c r="G750" s="1041" t="str">
        <f t="shared" si="246"/>
        <v>US$ mn 2021</v>
      </c>
      <c r="H750" s="1041"/>
      <c r="I750" s="1041">
        <f t="shared" ref="I750:I759" ca="1" si="248" xml:space="preserve"> SUM(K750:AX750)</f>
        <v>147.5</v>
      </c>
      <c r="J750" s="1041"/>
      <c r="K750" s="1041">
        <f t="shared" ref="K750:AX750" ca="1" si="249" xml:space="preserve"> K734 / K$746</f>
        <v>0</v>
      </c>
      <c r="L750" s="1041">
        <f t="shared" ca="1" si="249"/>
        <v>0</v>
      </c>
      <c r="M750" s="1041">
        <f t="shared" ca="1" si="249"/>
        <v>0</v>
      </c>
      <c r="N750" s="1041">
        <f t="shared" ca="1" si="249"/>
        <v>0</v>
      </c>
      <c r="O750" s="1041">
        <f t="shared" ca="1" si="249"/>
        <v>0.73750000000000004</v>
      </c>
      <c r="P750" s="1041">
        <f t="shared" ca="1" si="249"/>
        <v>5.53125</v>
      </c>
      <c r="Q750" s="1041">
        <f t="shared" ca="1" si="249"/>
        <v>11.062500000000002</v>
      </c>
      <c r="R750" s="1041">
        <f t="shared" ca="1" si="249"/>
        <v>11.0625</v>
      </c>
      <c r="S750" s="1041">
        <f t="shared" ca="1" si="249"/>
        <v>11.0625</v>
      </c>
      <c r="T750" s="1041">
        <f t="shared" ca="1" si="249"/>
        <v>11.062500000000002</v>
      </c>
      <c r="U750" s="1041">
        <f t="shared" ca="1" si="249"/>
        <v>11.0625</v>
      </c>
      <c r="V750" s="1041">
        <f t="shared" ca="1" si="249"/>
        <v>11.0625</v>
      </c>
      <c r="W750" s="1041">
        <f t="shared" ca="1" si="249"/>
        <v>11.0625</v>
      </c>
      <c r="X750" s="1041">
        <f t="shared" ca="1" si="249"/>
        <v>11.0625</v>
      </c>
      <c r="Y750" s="1041">
        <f t="shared" ca="1" si="249"/>
        <v>11.062500000000002</v>
      </c>
      <c r="Z750" s="1041">
        <f t="shared" ca="1" si="249"/>
        <v>11.0625</v>
      </c>
      <c r="AA750" s="1041">
        <f t="shared" ca="1" si="249"/>
        <v>9.2187500000000018</v>
      </c>
      <c r="AB750" s="1041">
        <f t="shared" ca="1" si="249"/>
        <v>7.3750000000000009</v>
      </c>
      <c r="AC750" s="1041">
        <f t="shared" ca="1" si="249"/>
        <v>5.53125</v>
      </c>
      <c r="AD750" s="1041">
        <f t="shared" ca="1" si="249"/>
        <v>4.7937500000000002</v>
      </c>
      <c r="AE750" s="1041">
        <f t="shared" ca="1" si="249"/>
        <v>3.6875</v>
      </c>
      <c r="AF750" s="1041">
        <f t="shared" ca="1" si="249"/>
        <v>0</v>
      </c>
      <c r="AG750" s="1041">
        <f t="shared" ca="1" si="249"/>
        <v>0</v>
      </c>
      <c r="AH750" s="1041">
        <f t="shared" ca="1" si="249"/>
        <v>0</v>
      </c>
      <c r="AI750" s="1041">
        <f t="shared" ca="1" si="249"/>
        <v>0</v>
      </c>
      <c r="AJ750" s="1041">
        <f t="shared" ca="1" si="249"/>
        <v>0</v>
      </c>
      <c r="AK750" s="1041">
        <f t="shared" ca="1" si="249"/>
        <v>0</v>
      </c>
      <c r="AL750" s="1041">
        <f t="shared" ca="1" si="249"/>
        <v>0</v>
      </c>
      <c r="AM750" s="1041">
        <f t="shared" ca="1" si="249"/>
        <v>0</v>
      </c>
      <c r="AN750" s="1041">
        <f t="shared" ca="1" si="249"/>
        <v>0</v>
      </c>
      <c r="AO750" s="1041">
        <f t="shared" ca="1" si="249"/>
        <v>0</v>
      </c>
      <c r="AP750" s="1041">
        <f t="shared" ca="1" si="249"/>
        <v>0</v>
      </c>
      <c r="AQ750" s="1041">
        <f t="shared" ca="1" si="249"/>
        <v>0</v>
      </c>
      <c r="AR750" s="1041">
        <f t="shared" ca="1" si="249"/>
        <v>0</v>
      </c>
      <c r="AS750" s="1041">
        <f t="shared" ca="1" si="249"/>
        <v>0</v>
      </c>
      <c r="AT750" s="1041">
        <f t="shared" ca="1" si="249"/>
        <v>0</v>
      </c>
      <c r="AU750" s="1041">
        <f t="shared" ca="1" si="249"/>
        <v>0</v>
      </c>
      <c r="AV750" s="1041">
        <f t="shared" ca="1" si="249"/>
        <v>0</v>
      </c>
      <c r="AW750" s="1041">
        <f t="shared" ca="1" si="249"/>
        <v>0</v>
      </c>
      <c r="AX750" s="1041">
        <f t="shared" ca="1" si="249"/>
        <v>0</v>
      </c>
    </row>
    <row r="751" spans="1:50" ht="15" customHeight="1">
      <c r="A751" s="471"/>
      <c r="D751" s="1005"/>
      <c r="E751" s="1041" t="str">
        <f t="shared" si="245"/>
        <v>Carbon tax</v>
      </c>
      <c r="F751" s="1041"/>
      <c r="G751" s="1041" t="str">
        <f t="shared" si="246"/>
        <v>US$ mn 2021</v>
      </c>
      <c r="H751" s="1041">
        <f xml:space="preserve"> H735</f>
        <v>0</v>
      </c>
      <c r="I751" s="1041">
        <f ca="1" xml:space="preserve"> SUM(K751:AX751)</f>
        <v>0</v>
      </c>
      <c r="J751" s="1041"/>
      <c r="K751" s="1041">
        <f t="shared" ref="K751:AX751" ca="1" si="250" xml:space="preserve"> K735 / K$746</f>
        <v>0</v>
      </c>
      <c r="L751" s="1041">
        <f t="shared" ca="1" si="250"/>
        <v>0</v>
      </c>
      <c r="M751" s="1041">
        <f t="shared" ca="1" si="250"/>
        <v>0</v>
      </c>
      <c r="N751" s="1041">
        <f t="shared" ca="1" si="250"/>
        <v>0</v>
      </c>
      <c r="O751" s="1041">
        <f t="shared" ca="1" si="250"/>
        <v>0</v>
      </c>
      <c r="P751" s="1041">
        <f t="shared" ca="1" si="250"/>
        <v>0</v>
      </c>
      <c r="Q751" s="1041">
        <f t="shared" ca="1" si="250"/>
        <v>0</v>
      </c>
      <c r="R751" s="1041">
        <f t="shared" ca="1" si="250"/>
        <v>0</v>
      </c>
      <c r="S751" s="1041">
        <f t="shared" ca="1" si="250"/>
        <v>0</v>
      </c>
      <c r="T751" s="1041">
        <f t="shared" ca="1" si="250"/>
        <v>0</v>
      </c>
      <c r="U751" s="1041">
        <f t="shared" ca="1" si="250"/>
        <v>0</v>
      </c>
      <c r="V751" s="1041">
        <f t="shared" ca="1" si="250"/>
        <v>0</v>
      </c>
      <c r="W751" s="1041">
        <f t="shared" ca="1" si="250"/>
        <v>0</v>
      </c>
      <c r="X751" s="1041">
        <f t="shared" ca="1" si="250"/>
        <v>0</v>
      </c>
      <c r="Y751" s="1041">
        <f t="shared" ca="1" si="250"/>
        <v>0</v>
      </c>
      <c r="Z751" s="1041">
        <f t="shared" ca="1" si="250"/>
        <v>0</v>
      </c>
      <c r="AA751" s="1041">
        <f t="shared" ca="1" si="250"/>
        <v>0</v>
      </c>
      <c r="AB751" s="1041">
        <f t="shared" ca="1" si="250"/>
        <v>0</v>
      </c>
      <c r="AC751" s="1041">
        <f t="shared" ca="1" si="250"/>
        <v>0</v>
      </c>
      <c r="AD751" s="1041">
        <f t="shared" ca="1" si="250"/>
        <v>0</v>
      </c>
      <c r="AE751" s="1041">
        <f t="shared" ca="1" si="250"/>
        <v>0</v>
      </c>
      <c r="AF751" s="1041">
        <f t="shared" ca="1" si="250"/>
        <v>0</v>
      </c>
      <c r="AG751" s="1041">
        <f t="shared" ca="1" si="250"/>
        <v>0</v>
      </c>
      <c r="AH751" s="1041">
        <f t="shared" ca="1" si="250"/>
        <v>0</v>
      </c>
      <c r="AI751" s="1041">
        <f t="shared" ca="1" si="250"/>
        <v>0</v>
      </c>
      <c r="AJ751" s="1041">
        <f t="shared" ca="1" si="250"/>
        <v>0</v>
      </c>
      <c r="AK751" s="1041">
        <f t="shared" ca="1" si="250"/>
        <v>0</v>
      </c>
      <c r="AL751" s="1041">
        <f t="shared" ca="1" si="250"/>
        <v>0</v>
      </c>
      <c r="AM751" s="1041">
        <f t="shared" ca="1" si="250"/>
        <v>0</v>
      </c>
      <c r="AN751" s="1041">
        <f t="shared" ca="1" si="250"/>
        <v>0</v>
      </c>
      <c r="AO751" s="1041">
        <f t="shared" ca="1" si="250"/>
        <v>0</v>
      </c>
      <c r="AP751" s="1041">
        <f t="shared" ca="1" si="250"/>
        <v>0</v>
      </c>
      <c r="AQ751" s="1041">
        <f t="shared" ca="1" si="250"/>
        <v>0</v>
      </c>
      <c r="AR751" s="1041">
        <f t="shared" ca="1" si="250"/>
        <v>0</v>
      </c>
      <c r="AS751" s="1041">
        <f t="shared" ca="1" si="250"/>
        <v>0</v>
      </c>
      <c r="AT751" s="1041">
        <f t="shared" ca="1" si="250"/>
        <v>0</v>
      </c>
      <c r="AU751" s="1041">
        <f t="shared" ca="1" si="250"/>
        <v>0</v>
      </c>
      <c r="AV751" s="1041">
        <f t="shared" ca="1" si="250"/>
        <v>0</v>
      </c>
      <c r="AW751" s="1041">
        <f t="shared" ca="1" si="250"/>
        <v>0</v>
      </c>
      <c r="AX751" s="1041">
        <f t="shared" ca="1" si="250"/>
        <v>0</v>
      </c>
    </row>
    <row r="752" spans="1:50" ht="15" customHeight="1">
      <c r="A752" s="471"/>
      <c r="D752" s="1005"/>
      <c r="E752" s="1041" t="str">
        <f t="shared" si="245"/>
        <v>CIT: Mining company</v>
      </c>
      <c r="F752" s="1041"/>
      <c r="G752" s="1041" t="str">
        <f t="shared" si="246"/>
        <v>US$ mn 2021</v>
      </c>
      <c r="H752" s="1041"/>
      <c r="I752" s="1041">
        <f t="shared" ca="1" si="248"/>
        <v>362.41177277536571</v>
      </c>
      <c r="J752" s="1041"/>
      <c r="K752" s="1041">
        <f t="shared" ref="K752:AX752" ca="1" si="251" xml:space="preserve"> K736 / K$746</f>
        <v>0</v>
      </c>
      <c r="L752" s="1041">
        <f t="shared" ca="1" si="251"/>
        <v>0</v>
      </c>
      <c r="M752" s="1041">
        <f t="shared" ca="1" si="251"/>
        <v>0</v>
      </c>
      <c r="N752" s="1041">
        <f t="shared" ca="1" si="251"/>
        <v>0</v>
      </c>
      <c r="O752" s="1041">
        <f t="shared" ca="1" si="251"/>
        <v>0</v>
      </c>
      <c r="P752" s="1041">
        <f t="shared" ca="1" si="251"/>
        <v>0</v>
      </c>
      <c r="Q752" s="1041">
        <f t="shared" ca="1" si="251"/>
        <v>0</v>
      </c>
      <c r="R752" s="1041">
        <f t="shared" ca="1" si="251"/>
        <v>0</v>
      </c>
      <c r="S752" s="1041">
        <f t="shared" ca="1" si="251"/>
        <v>7.8619013256185006</v>
      </c>
      <c r="T752" s="1041">
        <f t="shared" ca="1" si="251"/>
        <v>30.401228446335146</v>
      </c>
      <c r="U752" s="1041">
        <f t="shared" ca="1" si="251"/>
        <v>36.708502880782994</v>
      </c>
      <c r="V752" s="1041">
        <f t="shared" ca="1" si="251"/>
        <v>37.798637542993923</v>
      </c>
      <c r="W752" s="1041">
        <f t="shared" ca="1" si="251"/>
        <v>37.798637542993923</v>
      </c>
      <c r="X752" s="1041">
        <f t="shared" ca="1" si="251"/>
        <v>37.034182667844838</v>
      </c>
      <c r="Y752" s="1041">
        <f t="shared" ca="1" si="251"/>
        <v>37.049171979122292</v>
      </c>
      <c r="Z752" s="1041">
        <f t="shared" ca="1" si="251"/>
        <v>37.063867382335445</v>
      </c>
      <c r="AA752" s="1041">
        <f t="shared" ca="1" si="251"/>
        <v>30.419524640387579</v>
      </c>
      <c r="AB752" s="1041">
        <f t="shared" ca="1" si="251"/>
        <v>24.222899403183778</v>
      </c>
      <c r="AC752" s="1041">
        <f t="shared" ca="1" si="251"/>
        <v>18.017212896121233</v>
      </c>
      <c r="AD752" s="1041">
        <f t="shared" ca="1" si="251"/>
        <v>15.797892791157951</v>
      </c>
      <c r="AE752" s="1041">
        <f t="shared" ca="1" si="251"/>
        <v>12.238113276488066</v>
      </c>
      <c r="AF752" s="1041">
        <f t="shared" ca="1" si="251"/>
        <v>0</v>
      </c>
      <c r="AG752" s="1041">
        <f t="shared" ca="1" si="251"/>
        <v>0</v>
      </c>
      <c r="AH752" s="1041">
        <f t="shared" ca="1" si="251"/>
        <v>0</v>
      </c>
      <c r="AI752" s="1041">
        <f t="shared" ca="1" si="251"/>
        <v>0</v>
      </c>
      <c r="AJ752" s="1041">
        <f t="shared" ca="1" si="251"/>
        <v>0</v>
      </c>
      <c r="AK752" s="1041">
        <f t="shared" ca="1" si="251"/>
        <v>0</v>
      </c>
      <c r="AL752" s="1041">
        <f t="shared" ca="1" si="251"/>
        <v>0</v>
      </c>
      <c r="AM752" s="1041">
        <f t="shared" ca="1" si="251"/>
        <v>0</v>
      </c>
      <c r="AN752" s="1041">
        <f t="shared" ca="1" si="251"/>
        <v>0</v>
      </c>
      <c r="AO752" s="1041">
        <f t="shared" ca="1" si="251"/>
        <v>0</v>
      </c>
      <c r="AP752" s="1041">
        <f t="shared" ca="1" si="251"/>
        <v>0</v>
      </c>
      <c r="AQ752" s="1041">
        <f t="shared" ca="1" si="251"/>
        <v>0</v>
      </c>
      <c r="AR752" s="1041">
        <f t="shared" ca="1" si="251"/>
        <v>0</v>
      </c>
      <c r="AS752" s="1041">
        <f t="shared" ca="1" si="251"/>
        <v>0</v>
      </c>
      <c r="AT752" s="1041">
        <f t="shared" ca="1" si="251"/>
        <v>0</v>
      </c>
      <c r="AU752" s="1041">
        <f t="shared" ca="1" si="251"/>
        <v>0</v>
      </c>
      <c r="AV752" s="1041">
        <f t="shared" ca="1" si="251"/>
        <v>0</v>
      </c>
      <c r="AW752" s="1041">
        <f t="shared" ca="1" si="251"/>
        <v>0</v>
      </c>
      <c r="AX752" s="1041">
        <f t="shared" ca="1" si="251"/>
        <v>0</v>
      </c>
    </row>
    <row r="753" spans="1:50" ht="15" customHeight="1">
      <c r="A753" s="471"/>
      <c r="D753" s="1005"/>
      <c r="E753" s="1041" t="str">
        <f t="shared" si="245"/>
        <v>RRT: Mining company</v>
      </c>
      <c r="F753" s="1041"/>
      <c r="G753" s="1041" t="str">
        <f t="shared" si="246"/>
        <v>US$ mn 2021</v>
      </c>
      <c r="H753" s="1041"/>
      <c r="I753" s="1041">
        <f t="shared" ca="1" si="248"/>
        <v>0</v>
      </c>
      <c r="J753" s="1041"/>
      <c r="K753" s="1041">
        <f t="shared" ref="K753:AX753" ca="1" si="252" xml:space="preserve"> K737 / K$746</f>
        <v>0</v>
      </c>
      <c r="L753" s="1041">
        <f t="shared" ca="1" si="252"/>
        <v>0</v>
      </c>
      <c r="M753" s="1041">
        <f t="shared" ca="1" si="252"/>
        <v>0</v>
      </c>
      <c r="N753" s="1041">
        <f t="shared" ca="1" si="252"/>
        <v>0</v>
      </c>
      <c r="O753" s="1041">
        <f t="shared" ca="1" si="252"/>
        <v>0</v>
      </c>
      <c r="P753" s="1041">
        <f t="shared" ca="1" si="252"/>
        <v>0</v>
      </c>
      <c r="Q753" s="1041">
        <f t="shared" ca="1" si="252"/>
        <v>0</v>
      </c>
      <c r="R753" s="1041">
        <f t="shared" ca="1" si="252"/>
        <v>0</v>
      </c>
      <c r="S753" s="1041">
        <f t="shared" ca="1" si="252"/>
        <v>0</v>
      </c>
      <c r="T753" s="1041">
        <f t="shared" ca="1" si="252"/>
        <v>0</v>
      </c>
      <c r="U753" s="1041">
        <f t="shared" ca="1" si="252"/>
        <v>0</v>
      </c>
      <c r="V753" s="1041">
        <f t="shared" ca="1" si="252"/>
        <v>0</v>
      </c>
      <c r="W753" s="1041">
        <f t="shared" ca="1" si="252"/>
        <v>0</v>
      </c>
      <c r="X753" s="1041">
        <f t="shared" ca="1" si="252"/>
        <v>0</v>
      </c>
      <c r="Y753" s="1041">
        <f t="shared" ca="1" si="252"/>
        <v>0</v>
      </c>
      <c r="Z753" s="1041">
        <f t="shared" ca="1" si="252"/>
        <v>0</v>
      </c>
      <c r="AA753" s="1041">
        <f t="shared" ca="1" si="252"/>
        <v>0</v>
      </c>
      <c r="AB753" s="1041">
        <f t="shared" ca="1" si="252"/>
        <v>0</v>
      </c>
      <c r="AC753" s="1041">
        <f t="shared" ca="1" si="252"/>
        <v>0</v>
      </c>
      <c r="AD753" s="1041">
        <f t="shared" ca="1" si="252"/>
        <v>0</v>
      </c>
      <c r="AE753" s="1041">
        <f t="shared" ca="1" si="252"/>
        <v>0</v>
      </c>
      <c r="AF753" s="1041">
        <f t="shared" ca="1" si="252"/>
        <v>0</v>
      </c>
      <c r="AG753" s="1041">
        <f t="shared" ca="1" si="252"/>
        <v>0</v>
      </c>
      <c r="AH753" s="1041">
        <f t="shared" ca="1" si="252"/>
        <v>0</v>
      </c>
      <c r="AI753" s="1041">
        <f t="shared" ca="1" si="252"/>
        <v>0</v>
      </c>
      <c r="AJ753" s="1041">
        <f t="shared" ca="1" si="252"/>
        <v>0</v>
      </c>
      <c r="AK753" s="1041">
        <f t="shared" ca="1" si="252"/>
        <v>0</v>
      </c>
      <c r="AL753" s="1041">
        <f t="shared" ca="1" si="252"/>
        <v>0</v>
      </c>
      <c r="AM753" s="1041">
        <f t="shared" ca="1" si="252"/>
        <v>0</v>
      </c>
      <c r="AN753" s="1041">
        <f t="shared" ca="1" si="252"/>
        <v>0</v>
      </c>
      <c r="AO753" s="1041">
        <f t="shared" ca="1" si="252"/>
        <v>0</v>
      </c>
      <c r="AP753" s="1041">
        <f t="shared" ca="1" si="252"/>
        <v>0</v>
      </c>
      <c r="AQ753" s="1041">
        <f t="shared" ca="1" si="252"/>
        <v>0</v>
      </c>
      <c r="AR753" s="1041">
        <f t="shared" ca="1" si="252"/>
        <v>0</v>
      </c>
      <c r="AS753" s="1041">
        <f t="shared" ca="1" si="252"/>
        <v>0</v>
      </c>
      <c r="AT753" s="1041">
        <f t="shared" ca="1" si="252"/>
        <v>0</v>
      </c>
      <c r="AU753" s="1041">
        <f t="shared" ca="1" si="252"/>
        <v>0</v>
      </c>
      <c r="AV753" s="1041">
        <f t="shared" ca="1" si="252"/>
        <v>0</v>
      </c>
      <c r="AW753" s="1041">
        <f t="shared" ca="1" si="252"/>
        <v>0</v>
      </c>
      <c r="AX753" s="1041">
        <f t="shared" ca="1" si="252"/>
        <v>0</v>
      </c>
    </row>
    <row r="754" spans="1:50" ht="15" customHeight="1">
      <c r="A754" s="471"/>
      <c r="D754" s="1005"/>
      <c r="E754" s="1041" t="str">
        <f t="shared" si="245"/>
        <v>Dividend withholding tax</v>
      </c>
      <c r="F754" s="1041"/>
      <c r="G754" s="1041" t="str">
        <f t="shared" si="246"/>
        <v>US$ mn 2021</v>
      </c>
      <c r="H754" s="1041"/>
      <c r="I754" s="1041">
        <f t="shared" ca="1" si="248"/>
        <v>95.722174595619009</v>
      </c>
      <c r="J754" s="1041"/>
      <c r="K754" s="1041">
        <f t="shared" ref="K754:AX754" ca="1" si="253" xml:space="preserve"> K738 / K$746</f>
        <v>0</v>
      </c>
      <c r="L754" s="1041">
        <f t="shared" ca="1" si="253"/>
        <v>0</v>
      </c>
      <c r="M754" s="1041">
        <f t="shared" ca="1" si="253"/>
        <v>0</v>
      </c>
      <c r="N754" s="1041">
        <f t="shared" ca="1" si="253"/>
        <v>0</v>
      </c>
      <c r="O754" s="1041">
        <f t="shared" ca="1" si="253"/>
        <v>0</v>
      </c>
      <c r="P754" s="1041">
        <f t="shared" ca="1" si="253"/>
        <v>3.3343749999999988</v>
      </c>
      <c r="Q754" s="1041">
        <f t="shared" ca="1" si="253"/>
        <v>5.4260151550245039</v>
      </c>
      <c r="R754" s="1041">
        <f t="shared" ca="1" si="253"/>
        <v>5.9968799899077201</v>
      </c>
      <c r="S754" s="1041">
        <f t="shared" ca="1" si="253"/>
        <v>5.7622600062186704</v>
      </c>
      <c r="T754" s="1041">
        <f t="shared" ca="1" si="253"/>
        <v>4.0411399323796893</v>
      </c>
      <c r="U754" s="1041">
        <f t="shared" ca="1" si="253"/>
        <v>3.9249911443769259</v>
      </c>
      <c r="V754" s="1041">
        <f t="shared" ca="1" si="253"/>
        <v>9.6888862457006049</v>
      </c>
      <c r="W754" s="1041">
        <f t="shared" ca="1" si="253"/>
        <v>9.6888862457006102</v>
      </c>
      <c r="X754" s="1041">
        <f t="shared" ca="1" si="253"/>
        <v>9.4923121349479906</v>
      </c>
      <c r="Y754" s="1041">
        <f t="shared" ca="1" si="253"/>
        <v>9.4961665292764739</v>
      </c>
      <c r="Z754" s="1041">
        <f t="shared" ca="1" si="253"/>
        <v>9.4999453472455748</v>
      </c>
      <c r="AA754" s="1041">
        <f t="shared" ca="1" si="253"/>
        <v>7.7914000707446958</v>
      </c>
      <c r="AB754" s="1041">
        <f t="shared" ca="1" si="253"/>
        <v>6.8379821526065729</v>
      </c>
      <c r="AC754" s="1041">
        <f t="shared" ca="1" si="253"/>
        <v>4.7409346414889759</v>
      </c>
      <c r="AD754" s="1041">
        <f t="shared" ca="1" si="253"/>
        <v>0</v>
      </c>
      <c r="AE754" s="1041">
        <f t="shared" ca="1" si="253"/>
        <v>0</v>
      </c>
      <c r="AF754" s="1041">
        <f t="shared" ca="1" si="253"/>
        <v>0</v>
      </c>
      <c r="AG754" s="1041">
        <f t="shared" ca="1" si="253"/>
        <v>0</v>
      </c>
      <c r="AH754" s="1041">
        <f t="shared" ca="1" si="253"/>
        <v>0</v>
      </c>
      <c r="AI754" s="1041">
        <f t="shared" ca="1" si="253"/>
        <v>0</v>
      </c>
      <c r="AJ754" s="1041">
        <f t="shared" ca="1" si="253"/>
        <v>0</v>
      </c>
      <c r="AK754" s="1041">
        <f t="shared" ca="1" si="253"/>
        <v>0</v>
      </c>
      <c r="AL754" s="1041">
        <f t="shared" ca="1" si="253"/>
        <v>0</v>
      </c>
      <c r="AM754" s="1041">
        <f t="shared" ca="1" si="253"/>
        <v>0</v>
      </c>
      <c r="AN754" s="1041">
        <f t="shared" ca="1" si="253"/>
        <v>0</v>
      </c>
      <c r="AO754" s="1041">
        <f t="shared" ca="1" si="253"/>
        <v>0</v>
      </c>
      <c r="AP754" s="1041">
        <f t="shared" ca="1" si="253"/>
        <v>0</v>
      </c>
      <c r="AQ754" s="1041">
        <f t="shared" ca="1" si="253"/>
        <v>0</v>
      </c>
      <c r="AR754" s="1041">
        <f t="shared" ca="1" si="253"/>
        <v>0</v>
      </c>
      <c r="AS754" s="1041">
        <f t="shared" ca="1" si="253"/>
        <v>0</v>
      </c>
      <c r="AT754" s="1041">
        <f t="shared" ca="1" si="253"/>
        <v>0</v>
      </c>
      <c r="AU754" s="1041">
        <f t="shared" ca="1" si="253"/>
        <v>0</v>
      </c>
      <c r="AV754" s="1041">
        <f t="shared" ca="1" si="253"/>
        <v>0</v>
      </c>
      <c r="AW754" s="1041">
        <f t="shared" ca="1" si="253"/>
        <v>0</v>
      </c>
      <c r="AX754" s="1041">
        <f t="shared" ca="1" si="253"/>
        <v>0</v>
      </c>
    </row>
    <row r="755" spans="1:50" ht="15" customHeight="1">
      <c r="A755" s="471"/>
      <c r="D755" s="1005"/>
      <c r="E755" s="1041" t="str">
        <f t="shared" si="245"/>
        <v>Interest withholding tax</v>
      </c>
      <c r="F755" s="1041"/>
      <c r="G755" s="1041" t="str">
        <f t="shared" si="246"/>
        <v>US$ mn 2021</v>
      </c>
      <c r="H755" s="1041"/>
      <c r="I755" s="1041">
        <f t="shared" ca="1" si="248"/>
        <v>6.158557237434052</v>
      </c>
      <c r="J755" s="1041"/>
      <c r="K755" s="1041">
        <f t="shared" ref="K755:AX755" ca="1" si="254" xml:space="preserve"> K739 / K$746</f>
        <v>0</v>
      </c>
      <c r="L755" s="1041">
        <f t="shared" ca="1" si="254"/>
        <v>0</v>
      </c>
      <c r="M755" s="1041">
        <f t="shared" ca="1" si="254"/>
        <v>0</v>
      </c>
      <c r="N755" s="1041">
        <f t="shared" ca="1" si="254"/>
        <v>0</v>
      </c>
      <c r="O755" s="1041">
        <f t="shared" ca="1" si="254"/>
        <v>0</v>
      </c>
      <c r="P755" s="1041">
        <f t="shared" ca="1" si="254"/>
        <v>0</v>
      </c>
      <c r="Q755" s="1041">
        <f t="shared" ca="1" si="254"/>
        <v>2.1071371734068678</v>
      </c>
      <c r="R755" s="1041">
        <f t="shared" ca="1" si="254"/>
        <v>1.6526566065936219</v>
      </c>
      <c r="S755" s="1041">
        <f t="shared" ca="1" si="254"/>
        <v>1.2151886813188395</v>
      </c>
      <c r="T755" s="1041">
        <f t="shared" ca="1" si="254"/>
        <v>0.7942409681822481</v>
      </c>
      <c r="U755" s="1041">
        <f t="shared" ca="1" si="254"/>
        <v>0.38933380793247452</v>
      </c>
      <c r="V755" s="1041">
        <f t="shared" ca="1" si="254"/>
        <v>0</v>
      </c>
      <c r="W755" s="1041">
        <f t="shared" ca="1" si="254"/>
        <v>0</v>
      </c>
      <c r="X755" s="1041">
        <f t="shared" ca="1" si="254"/>
        <v>0</v>
      </c>
      <c r="Y755" s="1041">
        <f t="shared" ca="1" si="254"/>
        <v>0</v>
      </c>
      <c r="Z755" s="1041">
        <f t="shared" ca="1" si="254"/>
        <v>0</v>
      </c>
      <c r="AA755" s="1041">
        <f t="shared" ca="1" si="254"/>
        <v>0</v>
      </c>
      <c r="AB755" s="1041">
        <f t="shared" ca="1" si="254"/>
        <v>0</v>
      </c>
      <c r="AC755" s="1041">
        <f t="shared" ca="1" si="254"/>
        <v>0</v>
      </c>
      <c r="AD755" s="1041">
        <f t="shared" ca="1" si="254"/>
        <v>0</v>
      </c>
      <c r="AE755" s="1041">
        <f t="shared" ca="1" si="254"/>
        <v>0</v>
      </c>
      <c r="AF755" s="1041">
        <f t="shared" ca="1" si="254"/>
        <v>0</v>
      </c>
      <c r="AG755" s="1041">
        <f t="shared" ca="1" si="254"/>
        <v>0</v>
      </c>
      <c r="AH755" s="1041">
        <f t="shared" ca="1" si="254"/>
        <v>0</v>
      </c>
      <c r="AI755" s="1041">
        <f t="shared" ca="1" si="254"/>
        <v>0</v>
      </c>
      <c r="AJ755" s="1041">
        <f t="shared" ca="1" si="254"/>
        <v>0</v>
      </c>
      <c r="AK755" s="1041">
        <f t="shared" ca="1" si="254"/>
        <v>0</v>
      </c>
      <c r="AL755" s="1041">
        <f t="shared" ca="1" si="254"/>
        <v>0</v>
      </c>
      <c r="AM755" s="1041">
        <f t="shared" ca="1" si="254"/>
        <v>0</v>
      </c>
      <c r="AN755" s="1041">
        <f t="shared" ca="1" si="254"/>
        <v>0</v>
      </c>
      <c r="AO755" s="1041">
        <f t="shared" ca="1" si="254"/>
        <v>0</v>
      </c>
      <c r="AP755" s="1041">
        <f t="shared" ca="1" si="254"/>
        <v>0</v>
      </c>
      <c r="AQ755" s="1041">
        <f t="shared" ca="1" si="254"/>
        <v>0</v>
      </c>
      <c r="AR755" s="1041">
        <f t="shared" ca="1" si="254"/>
        <v>0</v>
      </c>
      <c r="AS755" s="1041">
        <f t="shared" ca="1" si="254"/>
        <v>0</v>
      </c>
      <c r="AT755" s="1041">
        <f t="shared" ca="1" si="254"/>
        <v>0</v>
      </c>
      <c r="AU755" s="1041">
        <f t="shared" ca="1" si="254"/>
        <v>0</v>
      </c>
      <c r="AV755" s="1041">
        <f t="shared" ca="1" si="254"/>
        <v>0</v>
      </c>
      <c r="AW755" s="1041">
        <f t="shared" ca="1" si="254"/>
        <v>0</v>
      </c>
      <c r="AX755" s="1041">
        <f t="shared" ca="1" si="254"/>
        <v>0</v>
      </c>
    </row>
    <row r="756" spans="1:50" ht="15" customHeight="1">
      <c r="A756" s="471"/>
      <c r="D756" s="1005"/>
      <c r="E756" s="1041" t="str">
        <f xml:space="preserve"> E740</f>
        <v>VAT cashflow: government</v>
      </c>
      <c r="F756" s="1041"/>
      <c r="G756" s="1041" t="str">
        <f t="shared" si="246"/>
        <v>US$ mn 2021</v>
      </c>
      <c r="H756" s="1041"/>
      <c r="I756" s="1041">
        <f ca="1" xml:space="preserve"> SUM(K756:AX756)</f>
        <v>0</v>
      </c>
      <c r="J756" s="1041"/>
      <c r="K756" s="1041">
        <f t="shared" ref="K756:AX756" ca="1" si="255" xml:space="preserve"> K740 / K$746</f>
        <v>0</v>
      </c>
      <c r="L756" s="1041">
        <f t="shared" ca="1" si="255"/>
        <v>0</v>
      </c>
      <c r="M756" s="1041">
        <f t="shared" ca="1" si="255"/>
        <v>0</v>
      </c>
      <c r="N756" s="1041">
        <f t="shared" ca="1" si="255"/>
        <v>0</v>
      </c>
      <c r="O756" s="1041">
        <f t="shared" ca="1" si="255"/>
        <v>0</v>
      </c>
      <c r="P756" s="1041">
        <f t="shared" ca="1" si="255"/>
        <v>0</v>
      </c>
      <c r="Q756" s="1041">
        <f t="shared" ca="1" si="255"/>
        <v>0</v>
      </c>
      <c r="R756" s="1041">
        <f t="shared" ca="1" si="255"/>
        <v>0</v>
      </c>
      <c r="S756" s="1041">
        <f t="shared" ca="1" si="255"/>
        <v>0</v>
      </c>
      <c r="T756" s="1041">
        <f t="shared" ca="1" si="255"/>
        <v>0</v>
      </c>
      <c r="U756" s="1041">
        <f t="shared" ca="1" si="255"/>
        <v>0</v>
      </c>
      <c r="V756" s="1041">
        <f t="shared" ca="1" si="255"/>
        <v>0</v>
      </c>
      <c r="W756" s="1041">
        <f t="shared" ca="1" si="255"/>
        <v>0</v>
      </c>
      <c r="X756" s="1041">
        <f t="shared" ca="1" si="255"/>
        <v>0</v>
      </c>
      <c r="Y756" s="1041">
        <f t="shared" ca="1" si="255"/>
        <v>0</v>
      </c>
      <c r="Z756" s="1041">
        <f t="shared" ca="1" si="255"/>
        <v>0</v>
      </c>
      <c r="AA756" s="1041">
        <f t="shared" ca="1" si="255"/>
        <v>0</v>
      </c>
      <c r="AB756" s="1041">
        <f t="shared" ca="1" si="255"/>
        <v>0</v>
      </c>
      <c r="AC756" s="1041">
        <f t="shared" ca="1" si="255"/>
        <v>0</v>
      </c>
      <c r="AD756" s="1041">
        <f t="shared" ca="1" si="255"/>
        <v>0</v>
      </c>
      <c r="AE756" s="1041">
        <f t="shared" ca="1" si="255"/>
        <v>0</v>
      </c>
      <c r="AF756" s="1041">
        <f t="shared" ca="1" si="255"/>
        <v>0</v>
      </c>
      <c r="AG756" s="1041">
        <f t="shared" ca="1" si="255"/>
        <v>0</v>
      </c>
      <c r="AH756" s="1041">
        <f t="shared" ca="1" si="255"/>
        <v>0</v>
      </c>
      <c r="AI756" s="1041">
        <f t="shared" ca="1" si="255"/>
        <v>0</v>
      </c>
      <c r="AJ756" s="1041">
        <f t="shared" ca="1" si="255"/>
        <v>0</v>
      </c>
      <c r="AK756" s="1041">
        <f t="shared" ca="1" si="255"/>
        <v>0</v>
      </c>
      <c r="AL756" s="1041">
        <f t="shared" ca="1" si="255"/>
        <v>0</v>
      </c>
      <c r="AM756" s="1041">
        <f t="shared" ca="1" si="255"/>
        <v>0</v>
      </c>
      <c r="AN756" s="1041">
        <f t="shared" ca="1" si="255"/>
        <v>0</v>
      </c>
      <c r="AO756" s="1041">
        <f t="shared" ca="1" si="255"/>
        <v>0</v>
      </c>
      <c r="AP756" s="1041">
        <f t="shared" ca="1" si="255"/>
        <v>0</v>
      </c>
      <c r="AQ756" s="1041">
        <f t="shared" ca="1" si="255"/>
        <v>0</v>
      </c>
      <c r="AR756" s="1041">
        <f t="shared" ca="1" si="255"/>
        <v>0</v>
      </c>
      <c r="AS756" s="1041">
        <f t="shared" ca="1" si="255"/>
        <v>0</v>
      </c>
      <c r="AT756" s="1041">
        <f t="shared" ca="1" si="255"/>
        <v>0</v>
      </c>
      <c r="AU756" s="1041">
        <f t="shared" ca="1" si="255"/>
        <v>0</v>
      </c>
      <c r="AV756" s="1041">
        <f t="shared" ca="1" si="255"/>
        <v>0</v>
      </c>
      <c r="AW756" s="1041">
        <f t="shared" ca="1" si="255"/>
        <v>0</v>
      </c>
      <c r="AX756" s="1041">
        <f t="shared" ca="1" si="255"/>
        <v>0</v>
      </c>
    </row>
    <row r="757" spans="1:50" ht="15" customHeight="1">
      <c r="A757" s="471"/>
      <c r="D757" s="1005"/>
      <c r="E757" s="1041" t="str">
        <f xml:space="preserve"> E741</f>
        <v>Government revenues excluding participation</v>
      </c>
      <c r="F757" s="1041"/>
      <c r="G757" s="1041" t="str">
        <f t="shared" si="246"/>
        <v>US$ mn 2021</v>
      </c>
      <c r="H757" s="1041"/>
      <c r="I757" s="1041">
        <f t="shared" ca="1" si="248"/>
        <v>611.79250460841877</v>
      </c>
      <c r="J757" s="1041"/>
      <c r="K757" s="1041">
        <f ca="1">SUM(K749:K756)</f>
        <v>0</v>
      </c>
      <c r="L757" s="1041">
        <f t="shared" ref="L757:AX757" ca="1" si="256">SUM(L749:L756)</f>
        <v>0</v>
      </c>
      <c r="M757" s="1041">
        <f t="shared" ca="1" si="256"/>
        <v>0</v>
      </c>
      <c r="N757" s="1041">
        <f t="shared" ca="1" si="256"/>
        <v>0</v>
      </c>
      <c r="O757" s="1041">
        <f t="shared" ca="1" si="256"/>
        <v>0.73750000000000004</v>
      </c>
      <c r="P757" s="1041">
        <f t="shared" ca="1" si="256"/>
        <v>8.8656249999999979</v>
      </c>
      <c r="Q757" s="1041">
        <f t="shared" ca="1" si="256"/>
        <v>18.595652328431374</v>
      </c>
      <c r="R757" s="1041">
        <f t="shared" ca="1" si="256"/>
        <v>18.712036596501342</v>
      </c>
      <c r="S757" s="1041">
        <f t="shared" ca="1" si="256"/>
        <v>25.901850013156011</v>
      </c>
      <c r="T757" s="1041">
        <f t="shared" ca="1" si="256"/>
        <v>46.299109346897083</v>
      </c>
      <c r="U757" s="1041">
        <f t="shared" ca="1" si="256"/>
        <v>52.085327833092393</v>
      </c>
      <c r="V757" s="1041">
        <f t="shared" ca="1" si="256"/>
        <v>58.550023788694531</v>
      </c>
      <c r="W757" s="1041">
        <f t="shared" ca="1" si="256"/>
        <v>58.550023788694531</v>
      </c>
      <c r="X757" s="1041">
        <f t="shared" ca="1" si="256"/>
        <v>57.588994802792826</v>
      </c>
      <c r="Y757" s="1041">
        <f t="shared" ca="1" si="256"/>
        <v>57.607838508398764</v>
      </c>
      <c r="Z757" s="1041">
        <f t="shared" ca="1" si="256"/>
        <v>57.626312729581016</v>
      </c>
      <c r="AA757" s="1041">
        <f t="shared" ca="1" si="256"/>
        <v>47.429674711132272</v>
      </c>
      <c r="AB757" s="1041">
        <f t="shared" ca="1" si="256"/>
        <v>38.435881555790353</v>
      </c>
      <c r="AC757" s="1041">
        <f t="shared" ca="1" si="256"/>
        <v>28.28939753761021</v>
      </c>
      <c r="AD757" s="1041">
        <f t="shared" ca="1" si="256"/>
        <v>20.591642791157952</v>
      </c>
      <c r="AE757" s="1041">
        <f t="shared" ca="1" si="256"/>
        <v>15.925613276488066</v>
      </c>
      <c r="AF757" s="1041">
        <f t="shared" ca="1" si="256"/>
        <v>0</v>
      </c>
      <c r="AG757" s="1041">
        <f t="shared" ca="1" si="256"/>
        <v>0</v>
      </c>
      <c r="AH757" s="1041">
        <f t="shared" ca="1" si="256"/>
        <v>0</v>
      </c>
      <c r="AI757" s="1041">
        <f t="shared" ca="1" si="256"/>
        <v>0</v>
      </c>
      <c r="AJ757" s="1041">
        <f t="shared" ca="1" si="256"/>
        <v>0</v>
      </c>
      <c r="AK757" s="1041">
        <f t="shared" ca="1" si="256"/>
        <v>0</v>
      </c>
      <c r="AL757" s="1041">
        <f t="shared" ca="1" si="256"/>
        <v>0</v>
      </c>
      <c r="AM757" s="1041">
        <f t="shared" ca="1" si="256"/>
        <v>0</v>
      </c>
      <c r="AN757" s="1041">
        <f t="shared" ca="1" si="256"/>
        <v>0</v>
      </c>
      <c r="AO757" s="1041">
        <f t="shared" ca="1" si="256"/>
        <v>0</v>
      </c>
      <c r="AP757" s="1041">
        <f t="shared" ca="1" si="256"/>
        <v>0</v>
      </c>
      <c r="AQ757" s="1041">
        <f t="shared" ca="1" si="256"/>
        <v>0</v>
      </c>
      <c r="AR757" s="1041">
        <f t="shared" ca="1" si="256"/>
        <v>0</v>
      </c>
      <c r="AS757" s="1041">
        <f t="shared" ca="1" si="256"/>
        <v>0</v>
      </c>
      <c r="AT757" s="1041">
        <f t="shared" ca="1" si="256"/>
        <v>0</v>
      </c>
      <c r="AU757" s="1041">
        <f t="shared" ca="1" si="256"/>
        <v>0</v>
      </c>
      <c r="AV757" s="1041">
        <f t="shared" ca="1" si="256"/>
        <v>0</v>
      </c>
      <c r="AW757" s="1041">
        <f t="shared" ca="1" si="256"/>
        <v>0</v>
      </c>
      <c r="AX757" s="1041">
        <f t="shared" ca="1" si="256"/>
        <v>0</v>
      </c>
    </row>
    <row r="758" spans="1:50" ht="15" customHeight="1">
      <c r="A758" s="471"/>
      <c r="D758" s="1005"/>
      <c r="E758" s="1041" t="str">
        <f xml:space="preserve"> E742</f>
        <v>State participation cashflows including share of loan</v>
      </c>
      <c r="F758" s="1041"/>
      <c r="G758" s="1041" t="str">
        <f t="shared" si="246"/>
        <v>US$ mn 2021</v>
      </c>
      <c r="H758" s="1041"/>
      <c r="I758" s="1041">
        <f t="shared" ca="1" si="248"/>
        <v>0</v>
      </c>
      <c r="J758" s="1041"/>
      <c r="K758" s="1041">
        <f t="shared" ref="K758:AX758" ca="1" si="257" xml:space="preserve"> K742 / K$746</f>
        <v>0</v>
      </c>
      <c r="L758" s="1041">
        <f t="shared" ca="1" si="257"/>
        <v>0</v>
      </c>
      <c r="M758" s="1041">
        <f t="shared" ca="1" si="257"/>
        <v>0</v>
      </c>
      <c r="N758" s="1041">
        <f t="shared" ca="1" si="257"/>
        <v>0</v>
      </c>
      <c r="O758" s="1041">
        <f t="shared" ca="1" si="257"/>
        <v>0</v>
      </c>
      <c r="P758" s="1041">
        <f t="shared" ca="1" si="257"/>
        <v>0</v>
      </c>
      <c r="Q758" s="1041">
        <f t="shared" ca="1" si="257"/>
        <v>0</v>
      </c>
      <c r="R758" s="1041">
        <f t="shared" ca="1" si="257"/>
        <v>0</v>
      </c>
      <c r="S758" s="1041">
        <f t="shared" ca="1" si="257"/>
        <v>0</v>
      </c>
      <c r="T758" s="1041">
        <f t="shared" ca="1" si="257"/>
        <v>0</v>
      </c>
      <c r="U758" s="1041">
        <f t="shared" ca="1" si="257"/>
        <v>0</v>
      </c>
      <c r="V758" s="1041">
        <f t="shared" ca="1" si="257"/>
        <v>0</v>
      </c>
      <c r="W758" s="1041">
        <f t="shared" ca="1" si="257"/>
        <v>0</v>
      </c>
      <c r="X758" s="1041">
        <f t="shared" ca="1" si="257"/>
        <v>0</v>
      </c>
      <c r="Y758" s="1041">
        <f t="shared" ca="1" si="257"/>
        <v>0</v>
      </c>
      <c r="Z758" s="1041">
        <f t="shared" ca="1" si="257"/>
        <v>0</v>
      </c>
      <c r="AA758" s="1041">
        <f t="shared" ca="1" si="257"/>
        <v>0</v>
      </c>
      <c r="AB758" s="1041">
        <f t="shared" ca="1" si="257"/>
        <v>0</v>
      </c>
      <c r="AC758" s="1041">
        <f t="shared" ca="1" si="257"/>
        <v>0</v>
      </c>
      <c r="AD758" s="1041">
        <f t="shared" ca="1" si="257"/>
        <v>0</v>
      </c>
      <c r="AE758" s="1041">
        <f t="shared" ca="1" si="257"/>
        <v>0</v>
      </c>
      <c r="AF758" s="1041">
        <f t="shared" ca="1" si="257"/>
        <v>0</v>
      </c>
      <c r="AG758" s="1041">
        <f t="shared" ca="1" si="257"/>
        <v>0</v>
      </c>
      <c r="AH758" s="1041">
        <f t="shared" ca="1" si="257"/>
        <v>0</v>
      </c>
      <c r="AI758" s="1041">
        <f t="shared" ca="1" si="257"/>
        <v>0</v>
      </c>
      <c r="AJ758" s="1041">
        <f t="shared" ca="1" si="257"/>
        <v>0</v>
      </c>
      <c r="AK758" s="1041">
        <f t="shared" ca="1" si="257"/>
        <v>0</v>
      </c>
      <c r="AL758" s="1041">
        <f t="shared" ca="1" si="257"/>
        <v>0</v>
      </c>
      <c r="AM758" s="1041">
        <f t="shared" ca="1" si="257"/>
        <v>0</v>
      </c>
      <c r="AN758" s="1041">
        <f t="shared" ca="1" si="257"/>
        <v>0</v>
      </c>
      <c r="AO758" s="1041">
        <f t="shared" ca="1" si="257"/>
        <v>0</v>
      </c>
      <c r="AP758" s="1041">
        <f t="shared" ca="1" si="257"/>
        <v>0</v>
      </c>
      <c r="AQ758" s="1041">
        <f t="shared" ca="1" si="257"/>
        <v>0</v>
      </c>
      <c r="AR758" s="1041">
        <f t="shared" ca="1" si="257"/>
        <v>0</v>
      </c>
      <c r="AS758" s="1041">
        <f t="shared" ca="1" si="257"/>
        <v>0</v>
      </c>
      <c r="AT758" s="1041">
        <f t="shared" ca="1" si="257"/>
        <v>0</v>
      </c>
      <c r="AU758" s="1041">
        <f t="shared" ca="1" si="257"/>
        <v>0</v>
      </c>
      <c r="AV758" s="1041">
        <f t="shared" ca="1" si="257"/>
        <v>0</v>
      </c>
      <c r="AW758" s="1041">
        <f t="shared" ca="1" si="257"/>
        <v>0</v>
      </c>
      <c r="AX758" s="1041">
        <f t="shared" ca="1" si="257"/>
        <v>0</v>
      </c>
    </row>
    <row r="759" spans="1:50" ht="15" customHeight="1">
      <c r="A759" s="471"/>
      <c r="D759" s="1005"/>
      <c r="E759" s="1041" t="str">
        <f xml:space="preserve"> E743</f>
        <v>Government revenues including participation</v>
      </c>
      <c r="F759" s="1041"/>
      <c r="G759" s="1041" t="str">
        <f t="shared" si="246"/>
        <v>US$ mn 2021</v>
      </c>
      <c r="H759" s="1041"/>
      <c r="I759" s="1041">
        <f t="shared" ca="1" si="248"/>
        <v>611.79250460841877</v>
      </c>
      <c r="J759" s="1041"/>
      <c r="K759" s="1054">
        <f t="shared" ref="K759:AX759" ca="1" si="258" xml:space="preserve"> K757 + K758</f>
        <v>0</v>
      </c>
      <c r="L759" s="1054">
        <f t="shared" ca="1" si="258"/>
        <v>0</v>
      </c>
      <c r="M759" s="1054">
        <f t="shared" ca="1" si="258"/>
        <v>0</v>
      </c>
      <c r="N759" s="1054">
        <f t="shared" ca="1" si="258"/>
        <v>0</v>
      </c>
      <c r="O759" s="1054">
        <f t="shared" ca="1" si="258"/>
        <v>0.73750000000000004</v>
      </c>
      <c r="P759" s="1054">
        <f t="shared" ca="1" si="258"/>
        <v>8.8656249999999979</v>
      </c>
      <c r="Q759" s="1054">
        <f t="shared" ca="1" si="258"/>
        <v>18.595652328431374</v>
      </c>
      <c r="R759" s="1054">
        <f t="shared" ca="1" si="258"/>
        <v>18.712036596501342</v>
      </c>
      <c r="S759" s="1054">
        <f t="shared" ca="1" si="258"/>
        <v>25.901850013156011</v>
      </c>
      <c r="T759" s="1054">
        <f t="shared" ca="1" si="258"/>
        <v>46.299109346897083</v>
      </c>
      <c r="U759" s="1054">
        <f t="shared" ca="1" si="258"/>
        <v>52.085327833092393</v>
      </c>
      <c r="V759" s="1054">
        <f t="shared" ca="1" si="258"/>
        <v>58.550023788694531</v>
      </c>
      <c r="W759" s="1054">
        <f t="shared" ca="1" si="258"/>
        <v>58.550023788694531</v>
      </c>
      <c r="X759" s="1054">
        <f t="shared" ca="1" si="258"/>
        <v>57.588994802792826</v>
      </c>
      <c r="Y759" s="1054">
        <f t="shared" ca="1" si="258"/>
        <v>57.607838508398764</v>
      </c>
      <c r="Z759" s="1054">
        <f t="shared" ca="1" si="258"/>
        <v>57.626312729581016</v>
      </c>
      <c r="AA759" s="1054">
        <f t="shared" ca="1" si="258"/>
        <v>47.429674711132272</v>
      </c>
      <c r="AB759" s="1054">
        <f t="shared" ca="1" si="258"/>
        <v>38.435881555790353</v>
      </c>
      <c r="AC759" s="1054">
        <f t="shared" ca="1" si="258"/>
        <v>28.28939753761021</v>
      </c>
      <c r="AD759" s="1054">
        <f t="shared" ca="1" si="258"/>
        <v>20.591642791157952</v>
      </c>
      <c r="AE759" s="1054">
        <f t="shared" ca="1" si="258"/>
        <v>15.925613276488066</v>
      </c>
      <c r="AF759" s="1054">
        <f t="shared" ca="1" si="258"/>
        <v>0</v>
      </c>
      <c r="AG759" s="1054">
        <f t="shared" ca="1" si="258"/>
        <v>0</v>
      </c>
      <c r="AH759" s="1054">
        <f t="shared" ca="1" si="258"/>
        <v>0</v>
      </c>
      <c r="AI759" s="1054">
        <f t="shared" ca="1" si="258"/>
        <v>0</v>
      </c>
      <c r="AJ759" s="1054">
        <f t="shared" ca="1" si="258"/>
        <v>0</v>
      </c>
      <c r="AK759" s="1054">
        <f t="shared" ca="1" si="258"/>
        <v>0</v>
      </c>
      <c r="AL759" s="1054">
        <f t="shared" ca="1" si="258"/>
        <v>0</v>
      </c>
      <c r="AM759" s="1054">
        <f t="shared" ca="1" si="258"/>
        <v>0</v>
      </c>
      <c r="AN759" s="1054">
        <f t="shared" ca="1" si="258"/>
        <v>0</v>
      </c>
      <c r="AO759" s="1054">
        <f t="shared" ca="1" si="258"/>
        <v>0</v>
      </c>
      <c r="AP759" s="1054">
        <f t="shared" ca="1" si="258"/>
        <v>0</v>
      </c>
      <c r="AQ759" s="1054">
        <f t="shared" ca="1" si="258"/>
        <v>0</v>
      </c>
      <c r="AR759" s="1054">
        <f t="shared" ca="1" si="258"/>
        <v>0</v>
      </c>
      <c r="AS759" s="1054">
        <f t="shared" ca="1" si="258"/>
        <v>0</v>
      </c>
      <c r="AT759" s="1054">
        <f t="shared" ca="1" si="258"/>
        <v>0</v>
      </c>
      <c r="AU759" s="1054">
        <f t="shared" ca="1" si="258"/>
        <v>0</v>
      </c>
      <c r="AV759" s="1054">
        <f t="shared" ca="1" si="258"/>
        <v>0</v>
      </c>
      <c r="AW759" s="1054">
        <f t="shared" ca="1" si="258"/>
        <v>0</v>
      </c>
      <c r="AX759" s="1054">
        <f t="shared" ca="1" si="258"/>
        <v>0</v>
      </c>
    </row>
    <row r="760" spans="1:50" ht="15" customHeight="1">
      <c r="A760" s="325"/>
      <c r="B760" s="509"/>
      <c r="C760" s="323"/>
      <c r="D760" s="1006"/>
      <c r="E760" s="1054"/>
      <c r="F760" s="1054"/>
      <c r="G760" s="1054"/>
      <c r="H760" s="1054"/>
      <c r="I760" s="1054"/>
      <c r="J760" s="1054"/>
      <c r="K760" s="1041"/>
      <c r="L760" s="1041"/>
      <c r="M760" s="1041"/>
      <c r="N760" s="1041"/>
      <c r="O760" s="1041"/>
      <c r="P760" s="1041"/>
      <c r="Q760" s="1041"/>
      <c r="R760" s="1041"/>
      <c r="S760" s="1041"/>
      <c r="T760" s="1041"/>
      <c r="U760" s="1041"/>
      <c r="V760" s="1041"/>
      <c r="W760" s="1041"/>
      <c r="X760" s="1041"/>
      <c r="Y760" s="1041"/>
      <c r="Z760" s="1041"/>
      <c r="AA760" s="1041"/>
      <c r="AB760" s="1041"/>
      <c r="AC760" s="1041"/>
      <c r="AD760" s="1041"/>
      <c r="AE760" s="1041"/>
      <c r="AF760" s="1041"/>
      <c r="AG760" s="1041"/>
      <c r="AH760" s="1041"/>
      <c r="AI760" s="1041"/>
      <c r="AJ760" s="1041"/>
      <c r="AK760" s="1041"/>
      <c r="AL760" s="1041"/>
      <c r="AM760" s="1041"/>
      <c r="AN760" s="1041"/>
      <c r="AO760" s="1041"/>
      <c r="AP760" s="1041"/>
      <c r="AQ760" s="1041"/>
      <c r="AR760" s="1041"/>
      <c r="AS760" s="1041"/>
      <c r="AT760" s="1041"/>
      <c r="AU760" s="1041"/>
      <c r="AV760" s="1041"/>
      <c r="AW760" s="1041"/>
      <c r="AX760" s="1041"/>
    </row>
    <row r="761" spans="1:50" ht="15" customHeight="1">
      <c r="A761" s="325"/>
      <c r="B761" s="509"/>
      <c r="C761" s="323" t="str">
        <f xml:space="preserve"> Translate!E39 &amp; ": " &amp; Translate!$E$19</f>
        <v>Government revenues: Total</v>
      </c>
      <c r="D761" s="1006"/>
      <c r="E761" s="1054"/>
      <c r="F761" s="1054"/>
      <c r="G761" s="1054"/>
      <c r="H761" s="1054"/>
      <c r="I761" s="1054"/>
      <c r="J761" s="1054"/>
      <c r="K761" s="1041"/>
      <c r="L761" s="1041"/>
      <c r="M761" s="1041"/>
      <c r="N761" s="1041"/>
      <c r="O761" s="1041"/>
      <c r="P761" s="1041"/>
      <c r="Q761" s="1041"/>
      <c r="R761" s="1041"/>
      <c r="S761" s="1041"/>
      <c r="T761" s="1041"/>
      <c r="U761" s="1041"/>
      <c r="V761" s="1041"/>
      <c r="W761" s="1041"/>
      <c r="X761" s="1041"/>
      <c r="Y761" s="1041"/>
      <c r="Z761" s="1041"/>
      <c r="AA761" s="1041"/>
      <c r="AB761" s="1041"/>
      <c r="AC761" s="1041"/>
      <c r="AD761" s="1041"/>
      <c r="AE761" s="1041"/>
      <c r="AF761" s="1041"/>
      <c r="AG761" s="1041"/>
      <c r="AH761" s="1041"/>
      <c r="AI761" s="1041"/>
      <c r="AJ761" s="1041"/>
      <c r="AK761" s="1041"/>
      <c r="AL761" s="1041"/>
      <c r="AM761" s="1041"/>
      <c r="AN761" s="1041"/>
      <c r="AO761" s="1041"/>
      <c r="AP761" s="1041"/>
      <c r="AQ761" s="1041"/>
      <c r="AR761" s="1041"/>
      <c r="AS761" s="1041"/>
      <c r="AT761" s="1041"/>
      <c r="AU761" s="1041"/>
      <c r="AV761" s="1041"/>
      <c r="AW761" s="1041"/>
      <c r="AX761" s="1041"/>
    </row>
    <row r="762" spans="1:50" ht="15" customHeight="1">
      <c r="A762" s="325"/>
      <c r="B762" s="509"/>
      <c r="C762" s="323"/>
      <c r="D762" s="1006"/>
      <c r="E762" s="1054" t="str">
        <f xml:space="preserve"> E749 &amp; ": " &amp; Translate!$E$19</f>
        <v>Signature bonus: Total</v>
      </c>
      <c r="F762" s="382">
        <f t="shared" ref="F762:F768" ca="1" si="259" xml:space="preserve"> SUM(K749:AX749)</f>
        <v>0</v>
      </c>
      <c r="G762" s="1054" t="str">
        <f t="shared" ref="G762:G768" si="260" xml:space="preserve"> G749</f>
        <v>US$ mn 2021</v>
      </c>
      <c r="H762" s="1054"/>
      <c r="I762" s="1054"/>
      <c r="J762" s="1054"/>
      <c r="K762" s="1041"/>
      <c r="L762" s="1041"/>
      <c r="M762" s="1041"/>
      <c r="N762" s="1041"/>
      <c r="O762" s="1041"/>
      <c r="P762" s="1041"/>
      <c r="Q762" s="1041"/>
      <c r="R762" s="1041"/>
      <c r="S762" s="1041"/>
      <c r="T762" s="1041"/>
      <c r="U762" s="1041"/>
      <c r="V762" s="1041"/>
      <c r="W762" s="1041"/>
      <c r="X762" s="1041"/>
      <c r="Y762" s="1041"/>
      <c r="Z762" s="1041"/>
      <c r="AA762" s="1041"/>
      <c r="AB762" s="1041"/>
      <c r="AC762" s="1041"/>
      <c r="AD762" s="1041"/>
      <c r="AE762" s="1041"/>
      <c r="AF762" s="1041"/>
      <c r="AG762" s="1041"/>
      <c r="AH762" s="1041"/>
      <c r="AI762" s="1041"/>
      <c r="AJ762" s="1041"/>
      <c r="AK762" s="1041"/>
      <c r="AL762" s="1041"/>
      <c r="AM762" s="1041"/>
      <c r="AN762" s="1041"/>
      <c r="AO762" s="1041"/>
      <c r="AP762" s="1041"/>
      <c r="AQ762" s="1041"/>
      <c r="AR762" s="1041"/>
      <c r="AS762" s="1041"/>
      <c r="AT762" s="1041"/>
      <c r="AU762" s="1041"/>
      <c r="AV762" s="1041"/>
      <c r="AW762" s="1041"/>
      <c r="AX762" s="1041"/>
    </row>
    <row r="763" spans="1:50" ht="15" customHeight="1">
      <c r="A763" s="325"/>
      <c r="B763" s="509"/>
      <c r="C763" s="323"/>
      <c r="D763" s="1006"/>
      <c r="E763" s="1054" t="str">
        <f xml:space="preserve"> E750 &amp; ": " &amp; Translate!$E$19</f>
        <v>Royalty: Total</v>
      </c>
      <c r="F763" s="382">
        <f t="shared" ca="1" si="259"/>
        <v>147.5</v>
      </c>
      <c r="G763" s="1054" t="str">
        <f t="shared" si="260"/>
        <v>US$ mn 2021</v>
      </c>
      <c r="H763" s="1054"/>
      <c r="I763" s="1054"/>
      <c r="J763" s="1054"/>
      <c r="K763" s="1041"/>
      <c r="L763" s="1041"/>
      <c r="M763" s="1041"/>
      <c r="N763" s="1041"/>
      <c r="O763" s="1041"/>
      <c r="P763" s="1041"/>
      <c r="Q763" s="1041"/>
      <c r="R763" s="1041"/>
      <c r="S763" s="1041"/>
      <c r="T763" s="1041"/>
      <c r="U763" s="1041"/>
      <c r="V763" s="1041"/>
      <c r="W763" s="1041"/>
      <c r="X763" s="1041"/>
      <c r="Y763" s="1041"/>
      <c r="Z763" s="1041"/>
      <c r="AA763" s="1041"/>
      <c r="AB763" s="1041"/>
      <c r="AC763" s="1041"/>
      <c r="AD763" s="1041"/>
      <c r="AE763" s="1041"/>
      <c r="AF763" s="1041"/>
      <c r="AG763" s="1041"/>
      <c r="AH763" s="1041"/>
      <c r="AI763" s="1041"/>
      <c r="AJ763" s="1041"/>
      <c r="AK763" s="1041"/>
      <c r="AL763" s="1041"/>
      <c r="AM763" s="1041"/>
      <c r="AN763" s="1041"/>
      <c r="AO763" s="1041"/>
      <c r="AP763" s="1041"/>
      <c r="AQ763" s="1041"/>
      <c r="AR763" s="1041"/>
      <c r="AS763" s="1041"/>
      <c r="AT763" s="1041"/>
      <c r="AU763" s="1041"/>
      <c r="AV763" s="1041"/>
      <c r="AW763" s="1041"/>
      <c r="AX763" s="1041"/>
    </row>
    <row r="764" spans="1:50" ht="15" customHeight="1">
      <c r="A764" s="325"/>
      <c r="B764" s="509"/>
      <c r="C764" s="323"/>
      <c r="D764" s="1006"/>
      <c r="E764" s="1054" t="str">
        <f xml:space="preserve"> E751 &amp; ": " &amp; Translate!$E$19</f>
        <v>Carbon tax: Total</v>
      </c>
      <c r="F764" s="382">
        <f t="shared" ca="1" si="259"/>
        <v>0</v>
      </c>
      <c r="G764" s="1054" t="str">
        <f t="shared" si="260"/>
        <v>US$ mn 2021</v>
      </c>
      <c r="H764" s="1054"/>
      <c r="I764" s="1054"/>
      <c r="J764" s="1054"/>
      <c r="K764" s="1041"/>
      <c r="L764" s="1041"/>
      <c r="M764" s="1041"/>
      <c r="N764" s="1041"/>
      <c r="O764" s="1041"/>
      <c r="P764" s="1041"/>
      <c r="Q764" s="1041"/>
      <c r="R764" s="1041"/>
      <c r="S764" s="1041"/>
      <c r="T764" s="1041"/>
      <c r="U764" s="1041"/>
      <c r="V764" s="1041"/>
      <c r="W764" s="1041"/>
      <c r="X764" s="1041"/>
      <c r="Y764" s="1041"/>
      <c r="Z764" s="1041"/>
      <c r="AA764" s="1041"/>
      <c r="AB764" s="1041"/>
      <c r="AC764" s="1041"/>
      <c r="AD764" s="1041"/>
      <c r="AE764" s="1041"/>
      <c r="AF764" s="1041"/>
      <c r="AG764" s="1041"/>
      <c r="AH764" s="1041"/>
      <c r="AI764" s="1041"/>
      <c r="AJ764" s="1041"/>
      <c r="AK764" s="1041"/>
      <c r="AL764" s="1041"/>
      <c r="AM764" s="1041"/>
      <c r="AN764" s="1041"/>
      <c r="AO764" s="1041"/>
      <c r="AP764" s="1041"/>
      <c r="AQ764" s="1041"/>
      <c r="AR764" s="1041"/>
      <c r="AS764" s="1041"/>
      <c r="AT764" s="1041"/>
      <c r="AU764" s="1041"/>
      <c r="AV764" s="1041"/>
      <c r="AW764" s="1041"/>
      <c r="AX764" s="1041"/>
    </row>
    <row r="765" spans="1:50" ht="15" customHeight="1">
      <c r="A765" s="325"/>
      <c r="B765" s="509"/>
      <c r="C765" s="323"/>
      <c r="D765" s="1006"/>
      <c r="E765" s="1054" t="str">
        <f xml:space="preserve"> E752 &amp; ": " &amp; Translate!$E$19</f>
        <v>CIT: Mining company: Total</v>
      </c>
      <c r="F765" s="382">
        <f t="shared" ca="1" si="259"/>
        <v>362.41177277536571</v>
      </c>
      <c r="G765" s="1054" t="str">
        <f t="shared" si="260"/>
        <v>US$ mn 2021</v>
      </c>
      <c r="H765" s="1054"/>
      <c r="I765" s="1054"/>
      <c r="J765" s="1054"/>
      <c r="K765" s="1041"/>
      <c r="L765" s="1041"/>
      <c r="M765" s="1041"/>
      <c r="N765" s="1041"/>
      <c r="O765" s="1041"/>
      <c r="P765" s="1041"/>
      <c r="Q765" s="1041"/>
      <c r="R765" s="1041"/>
      <c r="S765" s="1041"/>
      <c r="T765" s="1041"/>
      <c r="U765" s="1041"/>
      <c r="V765" s="1041"/>
      <c r="W765" s="1041"/>
      <c r="X765" s="1041"/>
      <c r="Y765" s="1041"/>
      <c r="Z765" s="1041"/>
      <c r="AA765" s="1041"/>
      <c r="AB765" s="1041"/>
      <c r="AC765" s="1041"/>
      <c r="AD765" s="1041"/>
      <c r="AE765" s="1041"/>
      <c r="AF765" s="1041"/>
      <c r="AG765" s="1041"/>
      <c r="AH765" s="1041"/>
      <c r="AI765" s="1041"/>
      <c r="AJ765" s="1041"/>
      <c r="AK765" s="1041"/>
      <c r="AL765" s="1041"/>
      <c r="AM765" s="1041"/>
      <c r="AN765" s="1041"/>
      <c r="AO765" s="1041"/>
      <c r="AP765" s="1041"/>
      <c r="AQ765" s="1041"/>
      <c r="AR765" s="1041"/>
      <c r="AS765" s="1041"/>
      <c r="AT765" s="1041"/>
      <c r="AU765" s="1041"/>
      <c r="AV765" s="1041"/>
      <c r="AW765" s="1041"/>
      <c r="AX765" s="1041"/>
    </row>
    <row r="766" spans="1:50" ht="15" customHeight="1">
      <c r="A766" s="325"/>
      <c r="B766" s="509"/>
      <c r="C766" s="323"/>
      <c r="D766" s="1006"/>
      <c r="E766" s="1054" t="str">
        <f xml:space="preserve"> E753 &amp; ": " &amp; Translate!$E$19</f>
        <v>RRT: Mining company: Total</v>
      </c>
      <c r="F766" s="382">
        <f t="shared" ca="1" si="259"/>
        <v>0</v>
      </c>
      <c r="G766" s="1054" t="str">
        <f t="shared" si="260"/>
        <v>US$ mn 2021</v>
      </c>
      <c r="H766" s="1054"/>
      <c r="I766" s="1054"/>
      <c r="J766" s="1054"/>
      <c r="K766" s="1041"/>
      <c r="L766" s="1041"/>
      <c r="M766" s="1041"/>
      <c r="N766" s="1041"/>
      <c r="O766" s="1041"/>
      <c r="P766" s="1041"/>
      <c r="Q766" s="1041"/>
      <c r="R766" s="1041"/>
      <c r="S766" s="1041"/>
      <c r="T766" s="1041"/>
      <c r="U766" s="1041"/>
      <c r="V766" s="1041"/>
      <c r="W766" s="1041"/>
      <c r="X766" s="1041"/>
      <c r="Y766" s="1041"/>
      <c r="Z766" s="1041"/>
      <c r="AA766" s="1041"/>
      <c r="AB766" s="1041"/>
      <c r="AC766" s="1041"/>
      <c r="AD766" s="1041"/>
      <c r="AE766" s="1041"/>
      <c r="AF766" s="1041"/>
      <c r="AG766" s="1041"/>
      <c r="AH766" s="1041"/>
      <c r="AI766" s="1041"/>
      <c r="AJ766" s="1041"/>
      <c r="AK766" s="1041"/>
      <c r="AL766" s="1041"/>
      <c r="AM766" s="1041"/>
      <c r="AN766" s="1041"/>
      <c r="AO766" s="1041"/>
      <c r="AP766" s="1041"/>
      <c r="AQ766" s="1041"/>
      <c r="AR766" s="1041"/>
      <c r="AS766" s="1041"/>
      <c r="AT766" s="1041"/>
      <c r="AU766" s="1041"/>
      <c r="AV766" s="1041"/>
      <c r="AW766" s="1041"/>
      <c r="AX766" s="1041"/>
    </row>
    <row r="767" spans="1:50" ht="15" customHeight="1">
      <c r="A767" s="325"/>
      <c r="B767" s="509"/>
      <c r="C767" s="323"/>
      <c r="D767" s="1006"/>
      <c r="E767" s="1054" t="str">
        <f xml:space="preserve"> E754 &amp; ": " &amp; Translate!$E$19</f>
        <v>Dividend withholding tax: Total</v>
      </c>
      <c r="F767" s="382">
        <f t="shared" ca="1" si="259"/>
        <v>95.722174595619009</v>
      </c>
      <c r="G767" s="1054" t="str">
        <f t="shared" si="260"/>
        <v>US$ mn 2021</v>
      </c>
      <c r="H767" s="1054"/>
      <c r="I767" s="1054"/>
      <c r="J767" s="1054"/>
      <c r="K767" s="1041"/>
      <c r="L767" s="1041"/>
      <c r="M767" s="1041"/>
      <c r="N767" s="1041"/>
      <c r="O767" s="1041"/>
      <c r="P767" s="1041"/>
      <c r="Q767" s="1041"/>
      <c r="R767" s="1041"/>
      <c r="S767" s="1041"/>
      <c r="T767" s="1041"/>
      <c r="U767" s="1041"/>
      <c r="V767" s="1041"/>
      <c r="W767" s="1041"/>
      <c r="X767" s="1041"/>
      <c r="Y767" s="1041"/>
      <c r="Z767" s="1041"/>
      <c r="AA767" s="1041"/>
      <c r="AB767" s="1041"/>
      <c r="AC767" s="1041"/>
      <c r="AD767" s="1041"/>
      <c r="AE767" s="1041"/>
      <c r="AF767" s="1041"/>
      <c r="AG767" s="1041"/>
      <c r="AH767" s="1041"/>
      <c r="AI767" s="1041"/>
      <c r="AJ767" s="1041"/>
      <c r="AK767" s="1041"/>
      <c r="AL767" s="1041"/>
      <c r="AM767" s="1041"/>
      <c r="AN767" s="1041"/>
      <c r="AO767" s="1041"/>
      <c r="AP767" s="1041"/>
      <c r="AQ767" s="1041"/>
      <c r="AR767" s="1041"/>
      <c r="AS767" s="1041"/>
      <c r="AT767" s="1041"/>
      <c r="AU767" s="1041"/>
      <c r="AV767" s="1041"/>
      <c r="AW767" s="1041"/>
      <c r="AX767" s="1041"/>
    </row>
    <row r="768" spans="1:50" ht="15" customHeight="1">
      <c r="A768" s="325"/>
      <c r="B768" s="509"/>
      <c r="C768" s="323"/>
      <c r="D768" s="1006"/>
      <c r="E768" s="1054" t="str">
        <f xml:space="preserve"> E755 &amp; ": " &amp; Translate!$E$19</f>
        <v>Interest withholding tax: Total</v>
      </c>
      <c r="F768" s="382">
        <f t="shared" ca="1" si="259"/>
        <v>6.158557237434052</v>
      </c>
      <c r="G768" s="1054" t="str">
        <f t="shared" si="260"/>
        <v>US$ mn 2021</v>
      </c>
      <c r="H768" s="1054"/>
      <c r="I768" s="1054"/>
      <c r="J768" s="1054"/>
      <c r="K768" s="1041"/>
      <c r="L768" s="1041"/>
      <c r="M768" s="1041"/>
      <c r="N768" s="1041"/>
      <c r="O768" s="1041"/>
      <c r="P768" s="1041"/>
      <c r="Q768" s="1041"/>
      <c r="R768" s="1041"/>
      <c r="S768" s="1041"/>
      <c r="T768" s="1041"/>
      <c r="U768" s="1041"/>
      <c r="V768" s="1041"/>
      <c r="W768" s="1041"/>
      <c r="X768" s="1041"/>
      <c r="Y768" s="1041"/>
      <c r="Z768" s="1041"/>
      <c r="AA768" s="1041"/>
      <c r="AB768" s="1041"/>
      <c r="AC768" s="1041"/>
      <c r="AD768" s="1041"/>
      <c r="AE768" s="1041"/>
      <c r="AF768" s="1041"/>
      <c r="AG768" s="1041"/>
      <c r="AH768" s="1041"/>
      <c r="AI768" s="1041"/>
      <c r="AJ768" s="1041"/>
      <c r="AK768" s="1041"/>
      <c r="AL768" s="1041"/>
      <c r="AM768" s="1041"/>
      <c r="AN768" s="1041"/>
      <c r="AO768" s="1041"/>
      <c r="AP768" s="1041"/>
      <c r="AQ768" s="1041"/>
      <c r="AR768" s="1041"/>
      <c r="AS768" s="1041"/>
      <c r="AT768" s="1041"/>
      <c r="AU768" s="1041"/>
      <c r="AV768" s="1041"/>
      <c r="AW768" s="1041"/>
      <c r="AX768" s="1041"/>
    </row>
    <row r="769" spans="1:50" ht="15" customHeight="1">
      <c r="A769" s="325"/>
      <c r="B769" s="509"/>
      <c r="C769" s="323"/>
      <c r="D769" s="1006"/>
      <c r="E769" s="1054" t="str">
        <f xml:space="preserve"> E756 &amp; ": " &amp; Translate!$E$19</f>
        <v>VAT cashflow: government: Total</v>
      </c>
      <c r="F769" s="382">
        <f ca="1" xml:space="preserve"> SUM(K756:AX756)</f>
        <v>0</v>
      </c>
      <c r="G769" s="1054" t="str">
        <f xml:space="preserve"> G756</f>
        <v>US$ mn 2021</v>
      </c>
      <c r="H769" s="1054"/>
      <c r="I769" s="1054"/>
      <c r="J769" s="1054"/>
      <c r="K769" s="1041"/>
      <c r="L769" s="1041"/>
      <c r="M769" s="1041"/>
      <c r="N769" s="1041"/>
      <c r="O769" s="1041"/>
      <c r="P769" s="1041"/>
      <c r="Q769" s="1041"/>
      <c r="R769" s="1041"/>
      <c r="S769" s="1041"/>
      <c r="T769" s="1041"/>
      <c r="U769" s="1041"/>
      <c r="V769" s="1041"/>
      <c r="W769" s="1041"/>
      <c r="X769" s="1041"/>
      <c r="Y769" s="1041"/>
      <c r="Z769" s="1041"/>
      <c r="AA769" s="1041"/>
      <c r="AB769" s="1041"/>
      <c r="AC769" s="1041"/>
      <c r="AD769" s="1041"/>
      <c r="AE769" s="1041"/>
      <c r="AF769" s="1041"/>
      <c r="AG769" s="1041"/>
      <c r="AH769" s="1041"/>
      <c r="AI769" s="1041"/>
      <c r="AJ769" s="1041"/>
      <c r="AK769" s="1041"/>
      <c r="AL769" s="1041"/>
      <c r="AM769" s="1041"/>
      <c r="AN769" s="1041"/>
      <c r="AO769" s="1041"/>
      <c r="AP769" s="1041"/>
      <c r="AQ769" s="1041"/>
      <c r="AR769" s="1041"/>
      <c r="AS769" s="1041"/>
      <c r="AT769" s="1041"/>
      <c r="AU769" s="1041"/>
      <c r="AV769" s="1041"/>
      <c r="AW769" s="1041"/>
      <c r="AX769" s="1041"/>
    </row>
    <row r="770" spans="1:50" ht="15" customHeight="1">
      <c r="A770" s="325"/>
      <c r="B770" s="509"/>
      <c r="C770" s="323"/>
      <c r="D770" s="1006"/>
      <c r="E770" s="1054" t="str">
        <f xml:space="preserve"> E757 &amp; ": " &amp; Translate!$E$19</f>
        <v>Government revenues excluding participation: Total</v>
      </c>
      <c r="F770" s="382">
        <f ca="1" xml:space="preserve"> SUM(K757:AX757)</f>
        <v>611.79250460841877</v>
      </c>
      <c r="G770" s="1054" t="str">
        <f xml:space="preserve"> G757</f>
        <v>US$ mn 2021</v>
      </c>
      <c r="H770" s="1054"/>
      <c r="I770" s="1054"/>
      <c r="J770" s="1054"/>
      <c r="K770" s="1041"/>
      <c r="L770" s="1041"/>
      <c r="M770" s="1041"/>
      <c r="N770" s="1041"/>
      <c r="O770" s="1041"/>
      <c r="P770" s="1041"/>
      <c r="Q770" s="1041"/>
      <c r="R770" s="1041"/>
      <c r="S770" s="1041"/>
      <c r="T770" s="1041"/>
      <c r="U770" s="1041"/>
      <c r="V770" s="1041"/>
      <c r="W770" s="1041"/>
      <c r="X770" s="1041"/>
      <c r="Y770" s="1041"/>
      <c r="Z770" s="1041"/>
      <c r="AA770" s="1041"/>
      <c r="AB770" s="1041"/>
      <c r="AC770" s="1041"/>
      <c r="AD770" s="1041"/>
      <c r="AE770" s="1041"/>
      <c r="AF770" s="1041"/>
      <c r="AG770" s="1041"/>
      <c r="AH770" s="1041"/>
      <c r="AI770" s="1041"/>
      <c r="AJ770" s="1041"/>
      <c r="AK770" s="1041"/>
      <c r="AL770" s="1041"/>
      <c r="AM770" s="1041"/>
      <c r="AN770" s="1041"/>
      <c r="AO770" s="1041"/>
      <c r="AP770" s="1041"/>
      <c r="AQ770" s="1041"/>
      <c r="AR770" s="1041"/>
      <c r="AS770" s="1041"/>
      <c r="AT770" s="1041"/>
      <c r="AU770" s="1041"/>
      <c r="AV770" s="1041"/>
      <c r="AW770" s="1041"/>
      <c r="AX770" s="1041"/>
    </row>
    <row r="771" spans="1:50" ht="15" customHeight="1">
      <c r="A771" s="325"/>
      <c r="B771" s="509"/>
      <c r="C771" s="323"/>
      <c r="D771" s="1006"/>
      <c r="E771" s="1054" t="str">
        <f xml:space="preserve"> E758 &amp; ": " &amp; Translate!$E$19</f>
        <v>State participation cashflows including share of loan: Total</v>
      </c>
      <c r="F771" s="382">
        <f ca="1" xml:space="preserve"> SUM(K758:AX758)</f>
        <v>0</v>
      </c>
      <c r="G771" s="1054" t="str">
        <f xml:space="preserve"> G758</f>
        <v>US$ mn 2021</v>
      </c>
      <c r="H771" s="1054"/>
      <c r="I771" s="1054"/>
      <c r="J771" s="1054"/>
      <c r="K771" s="1041"/>
      <c r="L771" s="1041"/>
      <c r="M771" s="1041"/>
      <c r="N771" s="1041"/>
      <c r="O771" s="1041"/>
      <c r="P771" s="1041"/>
      <c r="Q771" s="1041"/>
      <c r="R771" s="1041"/>
      <c r="S771" s="1041"/>
      <c r="T771" s="1041"/>
      <c r="U771" s="1041"/>
      <c r="V771" s="1041"/>
      <c r="W771" s="1041"/>
      <c r="X771" s="1041"/>
      <c r="Y771" s="1041"/>
      <c r="Z771" s="1041"/>
      <c r="AA771" s="1041"/>
      <c r="AB771" s="1041"/>
      <c r="AC771" s="1041"/>
      <c r="AD771" s="1041"/>
      <c r="AE771" s="1041"/>
      <c r="AF771" s="1041"/>
      <c r="AG771" s="1041"/>
      <c r="AH771" s="1041"/>
      <c r="AI771" s="1041"/>
      <c r="AJ771" s="1041"/>
      <c r="AK771" s="1041"/>
      <c r="AL771" s="1041"/>
      <c r="AM771" s="1041"/>
      <c r="AN771" s="1041"/>
      <c r="AO771" s="1041"/>
      <c r="AP771" s="1041"/>
      <c r="AQ771" s="1041"/>
      <c r="AR771" s="1041"/>
      <c r="AS771" s="1041"/>
      <c r="AT771" s="1041"/>
      <c r="AU771" s="1041"/>
      <c r="AV771" s="1041"/>
      <c r="AW771" s="1041"/>
      <c r="AX771" s="1041"/>
    </row>
    <row r="772" spans="1:50" ht="15" customHeight="1">
      <c r="A772" s="325"/>
      <c r="B772" s="509"/>
      <c r="C772" s="323"/>
      <c r="D772" s="1006"/>
      <c r="E772" s="1054" t="str">
        <f xml:space="preserve"> E759 &amp; ": " &amp; Translate!$E$19</f>
        <v>Government revenues including participation: Total</v>
      </c>
      <c r="F772" s="382">
        <f ca="1" xml:space="preserve"> SUM(K759:AX759)</f>
        <v>611.79250460841877</v>
      </c>
      <c r="G772" s="1054" t="str">
        <f xml:space="preserve"> G759</f>
        <v>US$ mn 2021</v>
      </c>
      <c r="H772" s="1054"/>
      <c r="I772" s="1054"/>
      <c r="J772" s="1054"/>
      <c r="K772" s="1041"/>
      <c r="L772" s="1041"/>
      <c r="M772" s="1041"/>
      <c r="N772" s="1041"/>
      <c r="O772" s="1041"/>
      <c r="P772" s="1041"/>
      <c r="Q772" s="1041"/>
      <c r="R772" s="1041"/>
      <c r="S772" s="1041"/>
      <c r="T772" s="1041"/>
      <c r="U772" s="1041"/>
      <c r="V772" s="1041"/>
      <c r="W772" s="1041"/>
      <c r="X772" s="1041"/>
      <c r="Y772" s="1041"/>
      <c r="Z772" s="1041"/>
      <c r="AA772" s="1041"/>
      <c r="AB772" s="1041"/>
      <c r="AC772" s="1041"/>
      <c r="AD772" s="1041"/>
      <c r="AE772" s="1041"/>
      <c r="AF772" s="1041"/>
      <c r="AG772" s="1041"/>
      <c r="AH772" s="1041"/>
      <c r="AI772" s="1041"/>
      <c r="AJ772" s="1041"/>
      <c r="AK772" s="1041"/>
      <c r="AL772" s="1041"/>
      <c r="AM772" s="1041"/>
      <c r="AN772" s="1041"/>
      <c r="AO772" s="1041"/>
      <c r="AP772" s="1041"/>
      <c r="AQ772" s="1041"/>
      <c r="AR772" s="1041"/>
      <c r="AS772" s="1041"/>
      <c r="AT772" s="1041"/>
      <c r="AU772" s="1041"/>
      <c r="AV772" s="1041"/>
      <c r="AW772" s="1041"/>
      <c r="AX772" s="1041"/>
    </row>
    <row r="773" spans="1:50" ht="15" customHeight="1">
      <c r="A773" s="325"/>
      <c r="B773" s="509"/>
      <c r="C773" s="323"/>
      <c r="D773" s="1006"/>
      <c r="E773" s="1054"/>
      <c r="F773" s="1054"/>
      <c r="G773" s="1054"/>
      <c r="H773" s="1054"/>
      <c r="I773" s="1054"/>
      <c r="J773" s="1054"/>
      <c r="K773" s="1041"/>
      <c r="L773" s="1041"/>
      <c r="M773" s="1041"/>
      <c r="N773" s="1041"/>
      <c r="O773" s="1041"/>
      <c r="P773" s="1041"/>
      <c r="Q773" s="1041"/>
      <c r="R773" s="1041"/>
      <c r="S773" s="1041"/>
      <c r="T773" s="1041"/>
      <c r="U773" s="1041"/>
      <c r="V773" s="1041"/>
      <c r="W773" s="1041"/>
      <c r="X773" s="1041"/>
      <c r="Y773" s="1041"/>
      <c r="Z773" s="1041"/>
      <c r="AA773" s="1041"/>
      <c r="AB773" s="1041"/>
      <c r="AC773" s="1041"/>
      <c r="AD773" s="1041"/>
      <c r="AE773" s="1041"/>
      <c r="AF773" s="1041"/>
      <c r="AG773" s="1041"/>
      <c r="AH773" s="1041"/>
      <c r="AI773" s="1041"/>
      <c r="AJ773" s="1041"/>
      <c r="AK773" s="1041"/>
      <c r="AL773" s="1041"/>
      <c r="AM773" s="1041"/>
      <c r="AN773" s="1041"/>
      <c r="AO773" s="1041"/>
      <c r="AP773" s="1041"/>
      <c r="AQ773" s="1041"/>
      <c r="AR773" s="1041"/>
      <c r="AS773" s="1041"/>
      <c r="AT773" s="1041"/>
      <c r="AU773" s="1041"/>
      <c r="AV773" s="1041"/>
      <c r="AW773" s="1041"/>
      <c r="AX773" s="1041"/>
    </row>
    <row r="774" spans="1:50" ht="15" customHeight="1">
      <c r="A774" s="325"/>
      <c r="B774" s="509"/>
      <c r="C774" s="323"/>
      <c r="D774" s="1006"/>
      <c r="E774" s="1054" t="str">
        <f xml:space="preserve"> Translate!$E$444 &amp; ": " &amp; C$761</f>
        <v>Check: Government revenues: Total</v>
      </c>
      <c r="F774" s="414">
        <f ca="1" xml:space="preserve"> IF( ABS( SUM(F762:F769) + F771 - F772) &gt; CHK_TOL, 1, 0)</f>
        <v>0</v>
      </c>
      <c r="G774" s="1054" t="str">
        <f xml:space="preserve"> Translate!E$444</f>
        <v>Check</v>
      </c>
      <c r="H774" s="1054"/>
      <c r="I774" s="1054"/>
      <c r="J774" s="1054"/>
      <c r="K774" s="1041"/>
      <c r="L774" s="1041"/>
      <c r="M774" s="1041"/>
      <c r="N774" s="1041"/>
      <c r="O774" s="1041"/>
      <c r="P774" s="1041"/>
      <c r="Q774" s="1041"/>
      <c r="R774" s="1041"/>
      <c r="S774" s="1041"/>
      <c r="T774" s="1041"/>
      <c r="U774" s="1041"/>
      <c r="V774" s="1041"/>
      <c r="W774" s="1041"/>
      <c r="X774" s="1041"/>
      <c r="Y774" s="1041"/>
      <c r="Z774" s="1041"/>
      <c r="AA774" s="1041"/>
      <c r="AB774" s="1041"/>
      <c r="AC774" s="1041"/>
      <c r="AD774" s="1041"/>
      <c r="AE774" s="1041"/>
      <c r="AF774" s="1041"/>
      <c r="AG774" s="1041"/>
      <c r="AH774" s="1041"/>
      <c r="AI774" s="1041"/>
      <c r="AJ774" s="1041"/>
      <c r="AK774" s="1041"/>
      <c r="AL774" s="1041"/>
      <c r="AM774" s="1041"/>
      <c r="AN774" s="1041"/>
      <c r="AO774" s="1041"/>
      <c r="AP774" s="1041"/>
      <c r="AQ774" s="1041"/>
      <c r="AR774" s="1041"/>
      <c r="AS774" s="1041"/>
      <c r="AT774" s="1041"/>
      <c r="AU774" s="1041"/>
      <c r="AV774" s="1041"/>
      <c r="AW774" s="1041"/>
      <c r="AX774" s="1041"/>
    </row>
    <row r="775" spans="1:50" ht="15" customHeight="1">
      <c r="A775" s="325"/>
      <c r="B775" s="509"/>
      <c r="C775" s="323"/>
      <c r="D775" s="1006"/>
      <c r="E775" s="1054"/>
      <c r="F775" s="1054"/>
      <c r="G775" s="1054"/>
      <c r="H775" s="1054"/>
      <c r="I775" s="1054"/>
      <c r="J775" s="1054"/>
      <c r="K775" s="1054"/>
      <c r="L775" s="1054"/>
      <c r="M775" s="1054"/>
      <c r="N775" s="1054"/>
      <c r="O775" s="1054"/>
      <c r="P775" s="1054"/>
      <c r="Q775" s="1054"/>
      <c r="R775" s="1054"/>
      <c r="S775" s="1054"/>
      <c r="T775" s="1054"/>
      <c r="U775" s="1054"/>
      <c r="V775" s="1054"/>
      <c r="W775" s="1054"/>
      <c r="X775" s="1054"/>
      <c r="Y775" s="1054"/>
      <c r="Z775" s="1054"/>
      <c r="AA775" s="1054"/>
      <c r="AB775" s="1054"/>
      <c r="AC775" s="1054"/>
      <c r="AD775" s="1054"/>
      <c r="AE775" s="1054"/>
      <c r="AF775" s="1054"/>
      <c r="AG775" s="1054"/>
      <c r="AH775" s="1054"/>
      <c r="AI775" s="1054"/>
      <c r="AJ775" s="1054"/>
      <c r="AK775" s="1054"/>
      <c r="AL775" s="1054"/>
      <c r="AM775" s="1054"/>
      <c r="AN775" s="1054"/>
      <c r="AO775" s="1054"/>
      <c r="AP775" s="1054"/>
      <c r="AQ775" s="1054"/>
      <c r="AR775" s="1054"/>
      <c r="AS775" s="1054"/>
      <c r="AT775" s="1054"/>
      <c r="AU775" s="1054"/>
      <c r="AV775" s="1054"/>
      <c r="AW775" s="1054"/>
      <c r="AX775" s="1054"/>
    </row>
    <row r="776" spans="1:50" ht="15" customHeight="1">
      <c r="A776" s="463" t="str">
        <f>Translate!$E$40</f>
        <v>Cashflow reconciliation</v>
      </c>
      <c r="B776" s="705"/>
      <c r="C776" s="464"/>
      <c r="D776" s="465"/>
      <c r="E776" s="463"/>
      <c r="F776" s="463"/>
      <c r="G776" s="463"/>
      <c r="H776" s="463"/>
      <c r="I776" s="463"/>
      <c r="J776" s="463"/>
      <c r="K776" s="463"/>
      <c r="L776" s="463"/>
      <c r="M776" s="463"/>
      <c r="N776" s="463"/>
      <c r="O776" s="463"/>
      <c r="P776" s="463"/>
      <c r="Q776" s="463"/>
      <c r="R776" s="463"/>
      <c r="S776" s="463"/>
      <c r="T776" s="463"/>
      <c r="U776" s="463"/>
      <c r="V776" s="463"/>
      <c r="W776" s="463"/>
      <c r="X776" s="463"/>
      <c r="Y776" s="463"/>
      <c r="Z776" s="463"/>
      <c r="AA776" s="463"/>
      <c r="AB776" s="463"/>
      <c r="AC776" s="463"/>
      <c r="AD776" s="463"/>
      <c r="AE776" s="463"/>
      <c r="AF776" s="463"/>
      <c r="AG776" s="463"/>
      <c r="AH776" s="463"/>
      <c r="AI776" s="463"/>
      <c r="AJ776" s="463"/>
      <c r="AK776" s="463"/>
      <c r="AL776" s="463"/>
      <c r="AM776" s="463"/>
      <c r="AN776" s="463"/>
      <c r="AO776" s="463"/>
      <c r="AP776" s="463"/>
      <c r="AQ776" s="463"/>
      <c r="AR776" s="463"/>
      <c r="AS776" s="463"/>
      <c r="AT776" s="463"/>
      <c r="AU776" s="463"/>
      <c r="AV776" s="463"/>
      <c r="AW776" s="463"/>
      <c r="AX776" s="463"/>
    </row>
    <row r="777" spans="1:50" ht="15" customHeight="1">
      <c r="A777" s="325"/>
      <c r="B777" s="509"/>
      <c r="C777" s="323"/>
      <c r="D777" s="1006"/>
      <c r="E777" s="1054"/>
      <c r="F777" s="1054"/>
      <c r="G777" s="1054"/>
      <c r="H777" s="1054"/>
      <c r="I777" s="1054"/>
      <c r="J777" s="1054"/>
      <c r="K777" s="1054"/>
      <c r="L777" s="1054"/>
      <c r="M777" s="1054"/>
      <c r="N777" s="1054"/>
      <c r="O777" s="1054"/>
      <c r="P777" s="1054"/>
      <c r="Q777" s="1054"/>
      <c r="R777" s="1054"/>
      <c r="S777" s="1054"/>
      <c r="T777" s="1054"/>
      <c r="U777" s="1054"/>
      <c r="V777" s="1054"/>
      <c r="W777" s="1054"/>
      <c r="X777" s="1054"/>
      <c r="Y777" s="1054"/>
      <c r="Z777" s="1054"/>
      <c r="AA777" s="1054"/>
      <c r="AB777" s="1054"/>
      <c r="AC777" s="1054"/>
      <c r="AD777" s="1054"/>
      <c r="AE777" s="1054"/>
      <c r="AF777" s="1054"/>
      <c r="AG777" s="1054"/>
      <c r="AH777" s="1054"/>
      <c r="AI777" s="1054"/>
      <c r="AJ777" s="1054"/>
      <c r="AK777" s="1054"/>
      <c r="AL777" s="1054"/>
      <c r="AM777" s="1054"/>
      <c r="AN777" s="1054"/>
      <c r="AO777" s="1054"/>
      <c r="AP777" s="1054"/>
      <c r="AQ777" s="1054"/>
      <c r="AR777" s="1054"/>
      <c r="AS777" s="1054"/>
      <c r="AT777" s="1054"/>
      <c r="AU777" s="1054"/>
      <c r="AV777" s="1054"/>
      <c r="AW777" s="1054"/>
      <c r="AX777" s="1054"/>
    </row>
    <row r="778" spans="1:50" s="221" customFormat="1" ht="15" customHeight="1">
      <c r="A778" s="362"/>
      <c r="B778" s="509"/>
      <c r="C778" s="469"/>
      <c r="D778" s="470"/>
      <c r="E778" s="362" t="str">
        <f xml:space="preserve"> ProjectCashflows!E$245</f>
        <v>Project cashflow before decommissioning fund</v>
      </c>
      <c r="F778" s="362">
        <f xml:space="preserve"> ProjectCashflows!F$245</f>
        <v>0</v>
      </c>
      <c r="G778" s="362" t="str">
        <f xml:space="preserve"> ProjectCashflows!G$245</f>
        <v>US$ mn</v>
      </c>
      <c r="H778" s="362">
        <f xml:space="preserve"> ProjectCashflows!H$245</f>
        <v>0</v>
      </c>
      <c r="I778" s="362">
        <f ca="1" xml:space="preserve"> ProjectCashflows!I$245</f>
        <v>1980.8537502110926</v>
      </c>
      <c r="J778" s="362">
        <f xml:space="preserve"> ProjectCashflows!J$245</f>
        <v>0</v>
      </c>
      <c r="K778" s="362">
        <f ca="1" xml:space="preserve"> ProjectCashflows!K$245</f>
        <v>-10</v>
      </c>
      <c r="L778" s="362">
        <f ca="1" xml:space="preserve"> ProjectCashflows!L$245</f>
        <v>-10.199999999999999</v>
      </c>
      <c r="M778" s="362">
        <f ca="1" xml:space="preserve"> ProjectCashflows!M$245</f>
        <v>-10.404</v>
      </c>
      <c r="N778" s="362">
        <f ca="1" xml:space="preserve"> ProjectCashflows!N$245</f>
        <v>-53.060399999999994</v>
      </c>
      <c r="O778" s="362">
        <f ca="1" xml:space="preserve"> ProjectCashflows!O$245</f>
        <v>-259.51311036000004</v>
      </c>
      <c r="P778" s="362">
        <f ca="1" xml:space="preserve"> ProjectCashflows!P$245</f>
        <v>-34.364514999600004</v>
      </c>
      <c r="Q778" s="362">
        <f ca="1" xml:space="preserve"> ProjectCashflows!Q$245</f>
        <v>164.138172607728</v>
      </c>
      <c r="R778" s="362">
        <f ca="1" xml:space="preserve"> ProjectCashflows!R$245</f>
        <v>167.42093605988254</v>
      </c>
      <c r="S778" s="362">
        <f ca="1" xml:space="preserve"> ProjectCashflows!S$245</f>
        <v>170.76935478108021</v>
      </c>
      <c r="T778" s="362">
        <f ca="1" xml:space="preserve"> ProjectCashflows!T$245</f>
        <v>174.18474187670188</v>
      </c>
      <c r="U778" s="362">
        <f ca="1" xml:space="preserve"> ProjectCashflows!U$245</f>
        <v>177.6684367142359</v>
      </c>
      <c r="V778" s="362">
        <f ca="1" xml:space="preserve"> ProjectCashflows!V$245</f>
        <v>181.22180544852057</v>
      </c>
      <c r="W778" s="362">
        <f ca="1" xml:space="preserve"> ProjectCashflows!W$245</f>
        <v>184.846241557491</v>
      </c>
      <c r="X778" s="362">
        <f ca="1" xml:space="preserve"> ProjectCashflows!X$245</f>
        <v>188.54316638864077</v>
      </c>
      <c r="Y778" s="362">
        <f ca="1" xml:space="preserve"> ProjectCashflows!Y$245</f>
        <v>192.3140297164137</v>
      </c>
      <c r="Z778" s="362">
        <f ca="1" xml:space="preserve"> ProjectCashflows!Z$245</f>
        <v>196.16031031074192</v>
      </c>
      <c r="AA778" s="362">
        <f ca="1" xml:space="preserve"> ProjectCashflows!AA$245</f>
        <v>164.90588282400984</v>
      </c>
      <c r="AB778" s="362">
        <f ca="1" xml:space="preserve"> ProjectCashflows!AB$245</f>
        <v>143.52474546722354</v>
      </c>
      <c r="AC778" s="362">
        <f ca="1" xml:space="preserve"> ProjectCashflows!AC$245</f>
        <v>109.79643028242602</v>
      </c>
      <c r="AD778" s="362">
        <f ca="1" xml:space="preserve"> ProjectCashflows!AD$245</f>
        <v>97.060044369664581</v>
      </c>
      <c r="AE778" s="362">
        <f ca="1" xml:space="preserve"> ProjectCashflows!AE$245</f>
        <v>76.154804043890678</v>
      </c>
      <c r="AF778" s="362">
        <f ca="1" xml:space="preserve"> ProjectCashflows!AF$245</f>
        <v>-30.313326877958442</v>
      </c>
      <c r="AG778" s="362">
        <f ca="1" xml:space="preserve"> ProjectCashflows!AG$245</f>
        <v>0</v>
      </c>
      <c r="AH778" s="362">
        <f ca="1" xml:space="preserve"> ProjectCashflows!AH$245</f>
        <v>0</v>
      </c>
      <c r="AI778" s="362">
        <f ca="1" xml:space="preserve"> ProjectCashflows!AI$245</f>
        <v>0</v>
      </c>
      <c r="AJ778" s="362">
        <f ca="1" xml:space="preserve"> ProjectCashflows!AJ$245</f>
        <v>0</v>
      </c>
      <c r="AK778" s="362">
        <f ca="1" xml:space="preserve"> ProjectCashflows!AK$245</f>
        <v>0</v>
      </c>
      <c r="AL778" s="362">
        <f ca="1" xml:space="preserve"> ProjectCashflows!AL$245</f>
        <v>0</v>
      </c>
      <c r="AM778" s="362">
        <f ca="1" xml:space="preserve"> ProjectCashflows!AM$245</f>
        <v>0</v>
      </c>
      <c r="AN778" s="362">
        <f ca="1" xml:space="preserve"> ProjectCashflows!AN$245</f>
        <v>0</v>
      </c>
      <c r="AO778" s="362">
        <f ca="1" xml:space="preserve"> ProjectCashflows!AO$245</f>
        <v>0</v>
      </c>
      <c r="AP778" s="362">
        <f ca="1" xml:space="preserve"> ProjectCashflows!AP$245</f>
        <v>0</v>
      </c>
      <c r="AQ778" s="362">
        <f ca="1" xml:space="preserve"> ProjectCashflows!AQ$245</f>
        <v>0</v>
      </c>
      <c r="AR778" s="362">
        <f ca="1" xml:space="preserve"> ProjectCashflows!AR$245</f>
        <v>0</v>
      </c>
      <c r="AS778" s="362">
        <f ca="1" xml:space="preserve"> ProjectCashflows!AS$245</f>
        <v>0</v>
      </c>
      <c r="AT778" s="362">
        <f ca="1" xml:space="preserve"> ProjectCashflows!AT$245</f>
        <v>0</v>
      </c>
      <c r="AU778" s="362">
        <f ca="1" xml:space="preserve"> ProjectCashflows!AU$245</f>
        <v>0</v>
      </c>
      <c r="AV778" s="362">
        <f ca="1" xml:space="preserve"> ProjectCashflows!AV$245</f>
        <v>0</v>
      </c>
      <c r="AW778" s="362">
        <f ca="1" xml:space="preserve"> ProjectCashflows!AW$245</f>
        <v>0</v>
      </c>
      <c r="AX778" s="362">
        <f ca="1" xml:space="preserve"> ProjectCashflows!AX$245</f>
        <v>0</v>
      </c>
    </row>
    <row r="779" spans="1:50" ht="15" customHeight="1">
      <c r="A779" s="347"/>
      <c r="B779" s="507"/>
      <c r="C779" s="333"/>
      <c r="D779" s="1077"/>
      <c r="E779" s="1049" t="str">
        <f t="shared" ref="E779:AX779" si="261" xml:space="preserve"> E$125</f>
        <v>Net decommissioning cashflows</v>
      </c>
      <c r="F779" s="1049">
        <f t="shared" si="261"/>
        <v>0</v>
      </c>
      <c r="G779" s="1049" t="str">
        <f t="shared" si="261"/>
        <v>US$ mn</v>
      </c>
      <c r="H779" s="1049">
        <f t="shared" si="261"/>
        <v>0</v>
      </c>
      <c r="I779" s="1049">
        <f t="shared" ca="1" si="261"/>
        <v>2.0589298729422225</v>
      </c>
      <c r="J779" s="1049">
        <f t="shared" si="261"/>
        <v>0</v>
      </c>
      <c r="K779" s="1049">
        <f t="shared" ca="1" si="261"/>
        <v>0</v>
      </c>
      <c r="L779" s="1049">
        <f t="shared" ca="1" si="261"/>
        <v>0</v>
      </c>
      <c r="M779" s="1049">
        <f t="shared" ca="1" si="261"/>
        <v>0</v>
      </c>
      <c r="N779" s="1049">
        <f t="shared" ca="1" si="261"/>
        <v>0</v>
      </c>
      <c r="O779" s="1049">
        <f t="shared" ca="1" si="261"/>
        <v>0</v>
      </c>
      <c r="P779" s="1049">
        <f t="shared" ca="1" si="261"/>
        <v>0</v>
      </c>
      <c r="Q779" s="1049">
        <f t="shared" ca="1" si="261"/>
        <v>0</v>
      </c>
      <c r="R779" s="1049">
        <f t="shared" ca="1" si="261"/>
        <v>0</v>
      </c>
      <c r="S779" s="1049">
        <f t="shared" ca="1" si="261"/>
        <v>0</v>
      </c>
      <c r="T779" s="1049">
        <f t="shared" ca="1" si="261"/>
        <v>0</v>
      </c>
      <c r="U779" s="1049">
        <f t="shared" ca="1" si="261"/>
        <v>0</v>
      </c>
      <c r="V779" s="1049">
        <f t="shared" ca="1" si="261"/>
        <v>0</v>
      </c>
      <c r="W779" s="1049">
        <f t="shared" ca="1" si="261"/>
        <v>0</v>
      </c>
      <c r="X779" s="1049">
        <f t="shared" ca="1" si="261"/>
        <v>-3.5317996256270274</v>
      </c>
      <c r="Y779" s="1049">
        <f t="shared" ca="1" si="261"/>
        <v>-3.5317996256270274</v>
      </c>
      <c r="Z779" s="1049">
        <f t="shared" ca="1" si="261"/>
        <v>-3.5317996256270274</v>
      </c>
      <c r="AA779" s="1049">
        <f t="shared" ca="1" si="261"/>
        <v>-3.5317996256270274</v>
      </c>
      <c r="AB779" s="1049">
        <f t="shared" ca="1" si="261"/>
        <v>-3.5317996256270274</v>
      </c>
      <c r="AC779" s="1049">
        <f t="shared" ca="1" si="261"/>
        <v>-3.5317996256270274</v>
      </c>
      <c r="AD779" s="1049">
        <f t="shared" ca="1" si="261"/>
        <v>-3.5317996256270274</v>
      </c>
      <c r="AE779" s="1049">
        <f t="shared" ca="1" si="261"/>
        <v>-3.5317996256270274</v>
      </c>
      <c r="AF779" s="1049">
        <f t="shared" ca="1" si="261"/>
        <v>30.313326877958442</v>
      </c>
      <c r="AG779" s="1049">
        <f t="shared" ca="1" si="261"/>
        <v>0</v>
      </c>
      <c r="AH779" s="1049">
        <f t="shared" ca="1" si="261"/>
        <v>0</v>
      </c>
      <c r="AI779" s="1049">
        <f t="shared" ca="1" si="261"/>
        <v>0</v>
      </c>
      <c r="AJ779" s="1049">
        <f t="shared" ca="1" si="261"/>
        <v>0</v>
      </c>
      <c r="AK779" s="1049">
        <f t="shared" ca="1" si="261"/>
        <v>0</v>
      </c>
      <c r="AL779" s="1049">
        <f t="shared" ca="1" si="261"/>
        <v>0</v>
      </c>
      <c r="AM779" s="1049">
        <f t="shared" ca="1" si="261"/>
        <v>0</v>
      </c>
      <c r="AN779" s="1049">
        <f t="shared" ca="1" si="261"/>
        <v>0</v>
      </c>
      <c r="AO779" s="1049">
        <f t="shared" ca="1" si="261"/>
        <v>0</v>
      </c>
      <c r="AP779" s="1049">
        <f t="shared" ca="1" si="261"/>
        <v>0</v>
      </c>
      <c r="AQ779" s="1049">
        <f t="shared" ca="1" si="261"/>
        <v>0</v>
      </c>
      <c r="AR779" s="1049">
        <f t="shared" ca="1" si="261"/>
        <v>0</v>
      </c>
      <c r="AS779" s="1049">
        <f t="shared" ca="1" si="261"/>
        <v>0</v>
      </c>
      <c r="AT779" s="1049">
        <f t="shared" ca="1" si="261"/>
        <v>0</v>
      </c>
      <c r="AU779" s="1049">
        <f t="shared" ca="1" si="261"/>
        <v>0</v>
      </c>
      <c r="AV779" s="1049">
        <f t="shared" ca="1" si="261"/>
        <v>0</v>
      </c>
      <c r="AW779" s="1049">
        <f t="shared" ca="1" si="261"/>
        <v>0</v>
      </c>
      <c r="AX779" s="1049">
        <f t="shared" ca="1" si="261"/>
        <v>0</v>
      </c>
    </row>
    <row r="780" spans="1:50" ht="15" customHeight="1">
      <c r="A780" s="347"/>
      <c r="B780" s="507"/>
      <c r="C780" s="333"/>
      <c r="D780" s="1077"/>
      <c r="E780" s="1049" t="str">
        <f>Translate!$E$277</f>
        <v>Project cashflows after decommissioning fund</v>
      </c>
      <c r="F780" s="1049"/>
      <c r="G780" s="1049" t="str">
        <f xml:space="preserve"> Translate!E$10</f>
        <v>US$ mn</v>
      </c>
      <c r="H780" s="1049"/>
      <c r="I780" s="1049">
        <f ca="1" xml:space="preserve"> SUM(K780:AX780)</f>
        <v>1982.9126800840349</v>
      </c>
      <c r="J780" s="1049"/>
      <c r="K780" s="1049">
        <f t="shared" ref="K780:AX780" ca="1" si="262" xml:space="preserve"> K778 + K779</f>
        <v>-10</v>
      </c>
      <c r="L780" s="1049">
        <f t="shared" ca="1" si="262"/>
        <v>-10.199999999999999</v>
      </c>
      <c r="M780" s="1049">
        <f t="shared" ca="1" si="262"/>
        <v>-10.404</v>
      </c>
      <c r="N780" s="1049">
        <f t="shared" ca="1" si="262"/>
        <v>-53.060399999999994</v>
      </c>
      <c r="O780" s="1049">
        <f t="shared" ca="1" si="262"/>
        <v>-259.51311036000004</v>
      </c>
      <c r="P780" s="1049">
        <f t="shared" ca="1" si="262"/>
        <v>-34.364514999600004</v>
      </c>
      <c r="Q780" s="1049">
        <f t="shared" ca="1" si="262"/>
        <v>164.138172607728</v>
      </c>
      <c r="R780" s="1049">
        <f t="shared" ca="1" si="262"/>
        <v>167.42093605988254</v>
      </c>
      <c r="S780" s="1049">
        <f t="shared" ca="1" si="262"/>
        <v>170.76935478108021</v>
      </c>
      <c r="T780" s="1049">
        <f t="shared" ca="1" si="262"/>
        <v>174.18474187670188</v>
      </c>
      <c r="U780" s="1049">
        <f t="shared" ca="1" si="262"/>
        <v>177.6684367142359</v>
      </c>
      <c r="V780" s="1049">
        <f t="shared" ca="1" si="262"/>
        <v>181.22180544852057</v>
      </c>
      <c r="W780" s="1049">
        <f t="shared" ca="1" si="262"/>
        <v>184.846241557491</v>
      </c>
      <c r="X780" s="1049">
        <f t="shared" ca="1" si="262"/>
        <v>185.01136676301374</v>
      </c>
      <c r="Y780" s="1049">
        <f t="shared" ca="1" si="262"/>
        <v>188.78223009078667</v>
      </c>
      <c r="Z780" s="1049">
        <f t="shared" ca="1" si="262"/>
        <v>192.62851068511489</v>
      </c>
      <c r="AA780" s="1049">
        <f t="shared" ca="1" si="262"/>
        <v>161.37408319838281</v>
      </c>
      <c r="AB780" s="1049">
        <f t="shared" ca="1" si="262"/>
        <v>139.99294584159651</v>
      </c>
      <c r="AC780" s="1049">
        <f t="shared" ca="1" si="262"/>
        <v>106.26463065679899</v>
      </c>
      <c r="AD780" s="1049">
        <f t="shared" ca="1" si="262"/>
        <v>93.528244744037551</v>
      </c>
      <c r="AE780" s="1049">
        <f t="shared" ca="1" si="262"/>
        <v>72.623004418263648</v>
      </c>
      <c r="AF780" s="1049">
        <f t="shared" ca="1" si="262"/>
        <v>0</v>
      </c>
      <c r="AG780" s="1049">
        <f t="shared" ca="1" si="262"/>
        <v>0</v>
      </c>
      <c r="AH780" s="1049">
        <f t="shared" ca="1" si="262"/>
        <v>0</v>
      </c>
      <c r="AI780" s="1049">
        <f t="shared" ca="1" si="262"/>
        <v>0</v>
      </c>
      <c r="AJ780" s="1049">
        <f t="shared" ca="1" si="262"/>
        <v>0</v>
      </c>
      <c r="AK780" s="1049">
        <f t="shared" ca="1" si="262"/>
        <v>0</v>
      </c>
      <c r="AL780" s="1049">
        <f t="shared" ca="1" si="262"/>
        <v>0</v>
      </c>
      <c r="AM780" s="1049">
        <f t="shared" ca="1" si="262"/>
        <v>0</v>
      </c>
      <c r="AN780" s="1049">
        <f t="shared" ca="1" si="262"/>
        <v>0</v>
      </c>
      <c r="AO780" s="1049">
        <f t="shared" ca="1" si="262"/>
        <v>0</v>
      </c>
      <c r="AP780" s="1049">
        <f t="shared" ca="1" si="262"/>
        <v>0</v>
      </c>
      <c r="AQ780" s="1049">
        <f t="shared" ca="1" si="262"/>
        <v>0</v>
      </c>
      <c r="AR780" s="1049">
        <f t="shared" ca="1" si="262"/>
        <v>0</v>
      </c>
      <c r="AS780" s="1049">
        <f t="shared" ca="1" si="262"/>
        <v>0</v>
      </c>
      <c r="AT780" s="1049">
        <f t="shared" ca="1" si="262"/>
        <v>0</v>
      </c>
      <c r="AU780" s="1049">
        <f t="shared" ca="1" si="262"/>
        <v>0</v>
      </c>
      <c r="AV780" s="1049">
        <f t="shared" ca="1" si="262"/>
        <v>0</v>
      </c>
      <c r="AW780" s="1049">
        <f t="shared" ca="1" si="262"/>
        <v>0</v>
      </c>
      <c r="AX780" s="1049">
        <f t="shared" ca="1" si="262"/>
        <v>0</v>
      </c>
    </row>
    <row r="781" spans="1:50" ht="15" customHeight="1">
      <c r="A781" s="325"/>
      <c r="B781" s="509"/>
      <c r="C781" s="323"/>
      <c r="D781" s="1006"/>
      <c r="E781" s="1054"/>
      <c r="F781" s="1054"/>
      <c r="G781" s="1054"/>
      <c r="H781" s="1054"/>
      <c r="I781" s="1054"/>
      <c r="J781" s="1054"/>
      <c r="K781" s="1054"/>
      <c r="L781" s="1054"/>
      <c r="M781" s="1054"/>
      <c r="N781" s="1054"/>
      <c r="O781" s="1054"/>
      <c r="P781" s="1054"/>
      <c r="Q781" s="1054"/>
      <c r="R781" s="1054"/>
      <c r="S781" s="1054"/>
      <c r="T781" s="1054"/>
      <c r="U781" s="1054"/>
      <c r="V781" s="1054"/>
      <c r="W781" s="1054"/>
      <c r="X781" s="1054"/>
      <c r="Y781" s="1054"/>
      <c r="Z781" s="1054"/>
      <c r="AA781" s="1054"/>
      <c r="AB781" s="1054"/>
      <c r="AC781" s="1054"/>
      <c r="AD781" s="1054"/>
      <c r="AE781" s="1054"/>
      <c r="AF781" s="1054"/>
      <c r="AG781" s="1054"/>
      <c r="AH781" s="1054"/>
      <c r="AI781" s="1054"/>
      <c r="AJ781" s="1054"/>
      <c r="AK781" s="1054"/>
      <c r="AL781" s="1054"/>
      <c r="AM781" s="1054"/>
      <c r="AN781" s="1054"/>
      <c r="AO781" s="1054"/>
      <c r="AP781" s="1054"/>
      <c r="AQ781" s="1054"/>
      <c r="AR781" s="1054"/>
      <c r="AS781" s="1054"/>
      <c r="AT781" s="1054"/>
      <c r="AU781" s="1054"/>
      <c r="AV781" s="1054"/>
      <c r="AW781" s="1054"/>
      <c r="AX781" s="1054"/>
    </row>
    <row r="782" spans="1:50" ht="15" customHeight="1">
      <c r="A782" s="325"/>
      <c r="B782" s="509"/>
      <c r="C782" s="323"/>
      <c r="D782" s="1006"/>
      <c r="E782" s="1054" t="str">
        <f t="shared" ref="E782:AX782" si="263" xml:space="preserve"> E$741</f>
        <v>Government revenues excluding participation</v>
      </c>
      <c r="F782" s="1054">
        <f t="shared" si="263"/>
        <v>0</v>
      </c>
      <c r="G782" s="1054" t="str">
        <f t="shared" si="263"/>
        <v>US$ mn</v>
      </c>
      <c r="H782" s="1054">
        <f t="shared" si="263"/>
        <v>0</v>
      </c>
      <c r="I782" s="1054">
        <f t="shared" ca="1" si="263"/>
        <v>790.3139390764552</v>
      </c>
      <c r="J782" s="1054">
        <f t="shared" si="263"/>
        <v>0</v>
      </c>
      <c r="K782" s="1054">
        <f t="shared" ca="1" si="263"/>
        <v>0</v>
      </c>
      <c r="L782" s="1054">
        <f t="shared" ca="1" si="263"/>
        <v>0</v>
      </c>
      <c r="M782" s="1054">
        <f t="shared" ca="1" si="263"/>
        <v>0</v>
      </c>
      <c r="N782" s="1054">
        <f t="shared" ca="1" si="263"/>
        <v>0</v>
      </c>
      <c r="O782" s="1054">
        <f t="shared" ca="1" si="263"/>
        <v>0.79829371800000004</v>
      </c>
      <c r="P782" s="1054">
        <f t="shared" ca="1" si="263"/>
        <v>9.7883663708699995</v>
      </c>
      <c r="Q782" s="1054">
        <f t="shared" ca="1" si="263"/>
        <v>20.94172481397851</v>
      </c>
      <c r="R782" s="1054">
        <f t="shared" ca="1" si="263"/>
        <v>21.494248250929903</v>
      </c>
      <c r="S782" s="1054">
        <f t="shared" ca="1" si="263"/>
        <v>30.348145553227901</v>
      </c>
      <c r="T782" s="1054">
        <f t="shared" ca="1" si="263"/>
        <v>55.331721514308498</v>
      </c>
      <c r="U782" s="1054">
        <f t="shared" ca="1" si="263"/>
        <v>63.491723992137253</v>
      </c>
      <c r="V782" s="1054">
        <f t="shared" ca="1" si="263"/>
        <v>72.799595334758507</v>
      </c>
      <c r="W782" s="1054">
        <f t="shared" ca="1" si="263"/>
        <v>74.255587241453682</v>
      </c>
      <c r="X782" s="1054">
        <f t="shared" ca="1" si="263"/>
        <v>74.497505518062013</v>
      </c>
      <c r="Y782" s="1054">
        <f t="shared" ca="1" si="263"/>
        <v>76.012319497787715</v>
      </c>
      <c r="Z782" s="1054">
        <f t="shared" ca="1" si="263"/>
        <v>77.557429757107855</v>
      </c>
      <c r="AA782" s="1054">
        <f t="shared" ca="1" si="263"/>
        <v>65.110779440540114</v>
      </c>
      <c r="AB782" s="1054">
        <f t="shared" ca="1" si="263"/>
        <v>53.819513337591829</v>
      </c>
      <c r="AC782" s="1054">
        <f t="shared" ca="1" si="263"/>
        <v>40.404225879285249</v>
      </c>
      <c r="AD782" s="1054">
        <f t="shared" ca="1" si="263"/>
        <v>29.99813527886041</v>
      </c>
      <c r="AE782" s="1054">
        <f t="shared" ca="1" si="263"/>
        <v>23.664623577555759</v>
      </c>
      <c r="AF782" s="1054">
        <f t="shared" ca="1" si="263"/>
        <v>0</v>
      </c>
      <c r="AG782" s="1054">
        <f t="shared" ca="1" si="263"/>
        <v>0</v>
      </c>
      <c r="AH782" s="1054">
        <f t="shared" ca="1" si="263"/>
        <v>0</v>
      </c>
      <c r="AI782" s="1054">
        <f t="shared" ca="1" si="263"/>
        <v>0</v>
      </c>
      <c r="AJ782" s="1054">
        <f t="shared" ca="1" si="263"/>
        <v>0</v>
      </c>
      <c r="AK782" s="1054">
        <f t="shared" ca="1" si="263"/>
        <v>0</v>
      </c>
      <c r="AL782" s="1054">
        <f t="shared" ca="1" si="263"/>
        <v>0</v>
      </c>
      <c r="AM782" s="1054">
        <f t="shared" ca="1" si="263"/>
        <v>0</v>
      </c>
      <c r="AN782" s="1054">
        <f t="shared" ca="1" si="263"/>
        <v>0</v>
      </c>
      <c r="AO782" s="1054">
        <f t="shared" ca="1" si="263"/>
        <v>0</v>
      </c>
      <c r="AP782" s="1054">
        <f t="shared" ca="1" si="263"/>
        <v>0</v>
      </c>
      <c r="AQ782" s="1054">
        <f t="shared" ca="1" si="263"/>
        <v>0</v>
      </c>
      <c r="AR782" s="1054">
        <f t="shared" ca="1" si="263"/>
        <v>0</v>
      </c>
      <c r="AS782" s="1054">
        <f t="shared" ca="1" si="263"/>
        <v>0</v>
      </c>
      <c r="AT782" s="1054">
        <f t="shared" ca="1" si="263"/>
        <v>0</v>
      </c>
      <c r="AU782" s="1054">
        <f t="shared" ca="1" si="263"/>
        <v>0</v>
      </c>
      <c r="AV782" s="1054">
        <f t="shared" ca="1" si="263"/>
        <v>0</v>
      </c>
      <c r="AW782" s="1054">
        <f t="shared" ca="1" si="263"/>
        <v>0</v>
      </c>
      <c r="AX782" s="1054">
        <f t="shared" ca="1" si="263"/>
        <v>0</v>
      </c>
    </row>
    <row r="783" spans="1:50" s="258" customFormat="1" ht="15" customHeight="1">
      <c r="A783" s="468"/>
      <c r="B783" s="1022"/>
      <c r="C783" s="1023"/>
      <c r="D783" s="410"/>
      <c r="E783" s="468" t="str">
        <f t="shared" ref="E783:AX783" si="264" xml:space="preserve"> E$727</f>
        <v>Net cashflow after fiscal regime: Parent company (excluding loan)</v>
      </c>
      <c r="F783" s="468">
        <f t="shared" si="264"/>
        <v>0</v>
      </c>
      <c r="G783" s="468" t="str">
        <f t="shared" si="264"/>
        <v>US$ mn</v>
      </c>
      <c r="H783" s="468">
        <f t="shared" si="264"/>
        <v>0</v>
      </c>
      <c r="I783" s="468">
        <f t="shared" ca="1" si="264"/>
        <v>1098.1595287350306</v>
      </c>
      <c r="J783" s="468">
        <f t="shared" si="264"/>
        <v>0</v>
      </c>
      <c r="K783" s="468">
        <f t="shared" ca="1" si="264"/>
        <v>-10</v>
      </c>
      <c r="L783" s="468">
        <f t="shared" ca="1" si="264"/>
        <v>-10.199999999999999</v>
      </c>
      <c r="M783" s="468">
        <f t="shared" ca="1" si="264"/>
        <v>-10.404</v>
      </c>
      <c r="N783" s="468">
        <f t="shared" ca="1" si="264"/>
        <v>-15.918120000000002</v>
      </c>
      <c r="O783" s="468">
        <f t="shared" ca="1" si="264"/>
        <v>-70.885776078000021</v>
      </c>
      <c r="P783" s="468">
        <f t="shared" ca="1" si="264"/>
        <v>33.132774853529988</v>
      </c>
      <c r="Q783" s="468">
        <f t="shared" ca="1" si="264"/>
        <v>54.99516918550971</v>
      </c>
      <c r="R783" s="468">
        <f t="shared" ca="1" si="264"/>
        <v>61.996770855177814</v>
      </c>
      <c r="S783" s="468">
        <f t="shared" ca="1" si="264"/>
        <v>60.762653928542512</v>
      </c>
      <c r="T783" s="468">
        <f t="shared" ca="1" si="264"/>
        <v>43.465826717548509</v>
      </c>
      <c r="U783" s="468">
        <f t="shared" ca="1" si="264"/>
        <v>43.060880731718782</v>
      </c>
      <c r="V783" s="468">
        <f t="shared" ca="1" si="264"/>
        <v>108.42221011376205</v>
      </c>
      <c r="W783" s="468">
        <f t="shared" ca="1" si="264"/>
        <v>110.59065431603734</v>
      </c>
      <c r="X783" s="468">
        <f t="shared" ca="1" si="264"/>
        <v>110.51386124495176</v>
      </c>
      <c r="Y783" s="468">
        <f t="shared" ca="1" si="264"/>
        <v>112.76991059299894</v>
      </c>
      <c r="Z783" s="468">
        <f t="shared" ca="1" si="264"/>
        <v>115.07108092800704</v>
      </c>
      <c r="AA783" s="468">
        <f t="shared" ca="1" si="264"/>
        <v>96.263303757842721</v>
      </c>
      <c r="AB783" s="468">
        <f t="shared" ca="1" si="264"/>
        <v>86.173432504004694</v>
      </c>
      <c r="AC783" s="468">
        <f t="shared" ca="1" si="264"/>
        <v>65.860404777513722</v>
      </c>
      <c r="AD783" s="468">
        <f t="shared" ca="1" si="264"/>
        <v>63.530109465177134</v>
      </c>
      <c r="AE783" s="468">
        <f t="shared" ca="1" si="264"/>
        <v>48.958380840707889</v>
      </c>
      <c r="AF783" s="468">
        <f t="shared" ca="1" si="264"/>
        <v>0</v>
      </c>
      <c r="AG783" s="468">
        <f t="shared" ca="1" si="264"/>
        <v>0</v>
      </c>
      <c r="AH783" s="468">
        <f t="shared" ca="1" si="264"/>
        <v>0</v>
      </c>
      <c r="AI783" s="468">
        <f t="shared" ca="1" si="264"/>
        <v>0</v>
      </c>
      <c r="AJ783" s="468">
        <f t="shared" ca="1" si="264"/>
        <v>0</v>
      </c>
      <c r="AK783" s="468">
        <f t="shared" ca="1" si="264"/>
        <v>0</v>
      </c>
      <c r="AL783" s="468">
        <f t="shared" ca="1" si="264"/>
        <v>0</v>
      </c>
      <c r="AM783" s="468">
        <f t="shared" ca="1" si="264"/>
        <v>0</v>
      </c>
      <c r="AN783" s="468">
        <f t="shared" ca="1" si="264"/>
        <v>0</v>
      </c>
      <c r="AO783" s="468">
        <f t="shared" ca="1" si="264"/>
        <v>0</v>
      </c>
      <c r="AP783" s="468">
        <f t="shared" ca="1" si="264"/>
        <v>0</v>
      </c>
      <c r="AQ783" s="468">
        <f t="shared" ca="1" si="264"/>
        <v>0</v>
      </c>
      <c r="AR783" s="468">
        <f t="shared" ca="1" si="264"/>
        <v>0</v>
      </c>
      <c r="AS783" s="468">
        <f t="shared" ca="1" si="264"/>
        <v>0</v>
      </c>
      <c r="AT783" s="468">
        <f t="shared" ca="1" si="264"/>
        <v>0</v>
      </c>
      <c r="AU783" s="468">
        <f t="shared" ca="1" si="264"/>
        <v>0</v>
      </c>
      <c r="AV783" s="468">
        <f t="shared" ca="1" si="264"/>
        <v>0</v>
      </c>
      <c r="AW783" s="468">
        <f t="shared" ca="1" si="264"/>
        <v>0</v>
      </c>
      <c r="AX783" s="468">
        <f t="shared" ca="1" si="264"/>
        <v>0</v>
      </c>
    </row>
    <row r="784" spans="1:50" s="258" customFormat="1" ht="15" customHeight="1">
      <c r="A784" s="468"/>
      <c r="B784" s="1022"/>
      <c r="C784" s="1023"/>
      <c r="D784" s="410"/>
      <c r="E784" s="468" t="str">
        <f xml:space="preserve"> E$709</f>
        <v>State participation cashflows including share of loan</v>
      </c>
      <c r="F784" s="468">
        <f t="shared" ref="F784:AX784" si="265" xml:space="preserve"> F$709</f>
        <v>0</v>
      </c>
      <c r="G784" s="468" t="str">
        <f t="shared" si="265"/>
        <v>US$ mn</v>
      </c>
      <c r="H784" s="468">
        <f t="shared" si="265"/>
        <v>0</v>
      </c>
      <c r="I784" s="468">
        <f t="shared" ca="1" si="265"/>
        <v>0</v>
      </c>
      <c r="J784" s="468">
        <f t="shared" si="265"/>
        <v>0</v>
      </c>
      <c r="K784" s="468">
        <f t="shared" ca="1" si="265"/>
        <v>0</v>
      </c>
      <c r="L784" s="468">
        <f t="shared" ca="1" si="265"/>
        <v>0</v>
      </c>
      <c r="M784" s="468">
        <f t="shared" ca="1" si="265"/>
        <v>0</v>
      </c>
      <c r="N784" s="468">
        <f t="shared" ca="1" si="265"/>
        <v>0</v>
      </c>
      <c r="O784" s="468">
        <f t="shared" ca="1" si="265"/>
        <v>0</v>
      </c>
      <c r="P784" s="468">
        <f t="shared" ca="1" si="265"/>
        <v>0</v>
      </c>
      <c r="Q784" s="468">
        <f t="shared" ca="1" si="265"/>
        <v>0</v>
      </c>
      <c r="R784" s="468">
        <f t="shared" ca="1" si="265"/>
        <v>0</v>
      </c>
      <c r="S784" s="468">
        <f t="shared" ca="1" si="265"/>
        <v>0</v>
      </c>
      <c r="T784" s="468">
        <f t="shared" ca="1" si="265"/>
        <v>0</v>
      </c>
      <c r="U784" s="468">
        <f t="shared" ca="1" si="265"/>
        <v>0</v>
      </c>
      <c r="V784" s="468">
        <f t="shared" ca="1" si="265"/>
        <v>0</v>
      </c>
      <c r="W784" s="468">
        <f t="shared" ca="1" si="265"/>
        <v>0</v>
      </c>
      <c r="X784" s="468">
        <f t="shared" ca="1" si="265"/>
        <v>0</v>
      </c>
      <c r="Y784" s="468">
        <f t="shared" ca="1" si="265"/>
        <v>0</v>
      </c>
      <c r="Z784" s="468">
        <f t="shared" ca="1" si="265"/>
        <v>0</v>
      </c>
      <c r="AA784" s="468">
        <f t="shared" ca="1" si="265"/>
        <v>0</v>
      </c>
      <c r="AB784" s="468">
        <f t="shared" ca="1" si="265"/>
        <v>0</v>
      </c>
      <c r="AC784" s="468">
        <f t="shared" ca="1" si="265"/>
        <v>0</v>
      </c>
      <c r="AD784" s="468">
        <f t="shared" ca="1" si="265"/>
        <v>0</v>
      </c>
      <c r="AE784" s="468">
        <f t="shared" ca="1" si="265"/>
        <v>0</v>
      </c>
      <c r="AF784" s="468">
        <f t="shared" ca="1" si="265"/>
        <v>0</v>
      </c>
      <c r="AG784" s="468">
        <f t="shared" ca="1" si="265"/>
        <v>0</v>
      </c>
      <c r="AH784" s="468">
        <f t="shared" ca="1" si="265"/>
        <v>0</v>
      </c>
      <c r="AI784" s="468">
        <f t="shared" ca="1" si="265"/>
        <v>0</v>
      </c>
      <c r="AJ784" s="468">
        <f t="shared" ca="1" si="265"/>
        <v>0</v>
      </c>
      <c r="AK784" s="468">
        <f t="shared" ca="1" si="265"/>
        <v>0</v>
      </c>
      <c r="AL784" s="468">
        <f t="shared" ca="1" si="265"/>
        <v>0</v>
      </c>
      <c r="AM784" s="468">
        <f t="shared" ca="1" si="265"/>
        <v>0</v>
      </c>
      <c r="AN784" s="468">
        <f t="shared" ca="1" si="265"/>
        <v>0</v>
      </c>
      <c r="AO784" s="468">
        <f t="shared" ca="1" si="265"/>
        <v>0</v>
      </c>
      <c r="AP784" s="468">
        <f t="shared" ca="1" si="265"/>
        <v>0</v>
      </c>
      <c r="AQ784" s="468">
        <f t="shared" ca="1" si="265"/>
        <v>0</v>
      </c>
      <c r="AR784" s="468">
        <f t="shared" ca="1" si="265"/>
        <v>0</v>
      </c>
      <c r="AS784" s="468">
        <f t="shared" ca="1" si="265"/>
        <v>0</v>
      </c>
      <c r="AT784" s="468">
        <f t="shared" ca="1" si="265"/>
        <v>0</v>
      </c>
      <c r="AU784" s="468">
        <f t="shared" ca="1" si="265"/>
        <v>0</v>
      </c>
      <c r="AV784" s="468">
        <f t="shared" ca="1" si="265"/>
        <v>0</v>
      </c>
      <c r="AW784" s="468">
        <f t="shared" ca="1" si="265"/>
        <v>0</v>
      </c>
      <c r="AX784" s="468">
        <f t="shared" ca="1" si="265"/>
        <v>0</v>
      </c>
    </row>
    <row r="785" spans="1:50" s="258" customFormat="1" ht="15" customHeight="1">
      <c r="A785" s="468"/>
      <c r="B785" s="1022"/>
      <c r="C785" s="1023"/>
      <c r="D785" s="410"/>
      <c r="E785" s="468" t="str">
        <f xml:space="preserve"> E$704</f>
        <v>Project loan cashflows net of state participation share, met by parent company</v>
      </c>
      <c r="F785" s="468">
        <f t="shared" ref="F785:AX785" si="266" xml:space="preserve"> F$704</f>
        <v>0</v>
      </c>
      <c r="G785" s="468" t="str">
        <f t="shared" si="266"/>
        <v>US$ mn</v>
      </c>
      <c r="H785" s="468">
        <f t="shared" si="266"/>
        <v>0</v>
      </c>
      <c r="I785" s="468">
        <f t="shared" ca="1" si="266"/>
        <v>94.43921227254917</v>
      </c>
      <c r="J785" s="468">
        <f t="shared" si="266"/>
        <v>0</v>
      </c>
      <c r="K785" s="468">
        <f t="shared" ca="1" si="266"/>
        <v>0</v>
      </c>
      <c r="L785" s="468">
        <f t="shared" ca="1" si="266"/>
        <v>0</v>
      </c>
      <c r="M785" s="468">
        <f t="shared" ca="1" si="266"/>
        <v>0</v>
      </c>
      <c r="N785" s="468">
        <f t="shared" ca="1" si="266"/>
        <v>-37.142279999999992</v>
      </c>
      <c r="O785" s="468">
        <f t="shared" ca="1" si="266"/>
        <v>-189.42562799999999</v>
      </c>
      <c r="P785" s="468">
        <f t="shared" ca="1" si="266"/>
        <v>-77.285656223999993</v>
      </c>
      <c r="Q785" s="468">
        <f t="shared" ca="1" si="266"/>
        <v>88.201278608239775</v>
      </c>
      <c r="R785" s="468">
        <f t="shared" ca="1" si="266"/>
        <v>83.929916953774793</v>
      </c>
      <c r="S785" s="468">
        <f t="shared" ca="1" si="266"/>
        <v>79.658555299309825</v>
      </c>
      <c r="T785" s="468">
        <f t="shared" ca="1" si="266"/>
        <v>75.387193644844857</v>
      </c>
      <c r="U785" s="468">
        <f t="shared" ca="1" si="266"/>
        <v>71.115831990379888</v>
      </c>
      <c r="V785" s="468">
        <f t="shared" ca="1" si="266"/>
        <v>0</v>
      </c>
      <c r="W785" s="468">
        <f t="shared" ca="1" si="266"/>
        <v>0</v>
      </c>
      <c r="X785" s="468">
        <f t="shared" ca="1" si="266"/>
        <v>0</v>
      </c>
      <c r="Y785" s="468">
        <f t="shared" ca="1" si="266"/>
        <v>0</v>
      </c>
      <c r="Z785" s="468">
        <f t="shared" ca="1" si="266"/>
        <v>0</v>
      </c>
      <c r="AA785" s="468">
        <f t="shared" ca="1" si="266"/>
        <v>0</v>
      </c>
      <c r="AB785" s="468">
        <f t="shared" ca="1" si="266"/>
        <v>0</v>
      </c>
      <c r="AC785" s="468">
        <f t="shared" ca="1" si="266"/>
        <v>0</v>
      </c>
      <c r="AD785" s="468">
        <f t="shared" ca="1" si="266"/>
        <v>0</v>
      </c>
      <c r="AE785" s="468">
        <f t="shared" ca="1" si="266"/>
        <v>0</v>
      </c>
      <c r="AF785" s="468">
        <f t="shared" ca="1" si="266"/>
        <v>0</v>
      </c>
      <c r="AG785" s="468">
        <f t="shared" ca="1" si="266"/>
        <v>0</v>
      </c>
      <c r="AH785" s="468">
        <f t="shared" ca="1" si="266"/>
        <v>0</v>
      </c>
      <c r="AI785" s="468">
        <f t="shared" ca="1" si="266"/>
        <v>0</v>
      </c>
      <c r="AJ785" s="468">
        <f t="shared" ca="1" si="266"/>
        <v>0</v>
      </c>
      <c r="AK785" s="468">
        <f t="shared" ca="1" si="266"/>
        <v>0</v>
      </c>
      <c r="AL785" s="468">
        <f t="shared" ca="1" si="266"/>
        <v>0</v>
      </c>
      <c r="AM785" s="468">
        <f t="shared" ca="1" si="266"/>
        <v>0</v>
      </c>
      <c r="AN785" s="468">
        <f t="shared" ca="1" si="266"/>
        <v>0</v>
      </c>
      <c r="AO785" s="468">
        <f t="shared" ca="1" si="266"/>
        <v>0</v>
      </c>
      <c r="AP785" s="468">
        <f t="shared" ca="1" si="266"/>
        <v>0</v>
      </c>
      <c r="AQ785" s="468">
        <f t="shared" ca="1" si="266"/>
        <v>0</v>
      </c>
      <c r="AR785" s="468">
        <f t="shared" ca="1" si="266"/>
        <v>0</v>
      </c>
      <c r="AS785" s="468">
        <f t="shared" ca="1" si="266"/>
        <v>0</v>
      </c>
      <c r="AT785" s="468">
        <f t="shared" ca="1" si="266"/>
        <v>0</v>
      </c>
      <c r="AU785" s="468">
        <f t="shared" ca="1" si="266"/>
        <v>0</v>
      </c>
      <c r="AV785" s="468">
        <f t="shared" ca="1" si="266"/>
        <v>0</v>
      </c>
      <c r="AW785" s="468">
        <f t="shared" ca="1" si="266"/>
        <v>0</v>
      </c>
      <c r="AX785" s="468">
        <f t="shared" ca="1" si="266"/>
        <v>0</v>
      </c>
    </row>
    <row r="786" spans="1:50" ht="15" customHeight="1">
      <c r="A786" s="325"/>
      <c r="B786" s="509"/>
      <c r="C786" s="323"/>
      <c r="D786" s="1006"/>
      <c r="E786" s="1054" t="str">
        <f>Translate!$E$278</f>
        <v>Sum of participant cashflows</v>
      </c>
      <c r="F786" s="1054"/>
      <c r="G786" s="1054" t="str">
        <f xml:space="preserve"> Translate!E$10</f>
        <v>US$ mn</v>
      </c>
      <c r="H786" s="1054"/>
      <c r="I786" s="1054">
        <f ca="1" xml:space="preserve"> SUM(K786:AX786)</f>
        <v>1982.9126800840349</v>
      </c>
      <c r="J786" s="1054"/>
      <c r="K786" s="1054">
        <f t="shared" ref="K786:AX786" ca="1" si="267">SUM(K782:K785)</f>
        <v>-10</v>
      </c>
      <c r="L786" s="1054">
        <f t="shared" ca="1" si="267"/>
        <v>-10.199999999999999</v>
      </c>
      <c r="M786" s="1054">
        <f t="shared" ca="1" si="267"/>
        <v>-10.404</v>
      </c>
      <c r="N786" s="1054">
        <f t="shared" ca="1" si="267"/>
        <v>-53.060399999999994</v>
      </c>
      <c r="O786" s="1054">
        <f t="shared" ca="1" si="267"/>
        <v>-259.51311036000004</v>
      </c>
      <c r="P786" s="1054">
        <f t="shared" ca="1" si="267"/>
        <v>-34.364514999600004</v>
      </c>
      <c r="Q786" s="1054">
        <f t="shared" ca="1" si="267"/>
        <v>164.138172607728</v>
      </c>
      <c r="R786" s="1054">
        <f t="shared" ca="1" si="267"/>
        <v>167.42093605988251</v>
      </c>
      <c r="S786" s="1054">
        <f t="shared" ca="1" si="267"/>
        <v>170.76935478108024</v>
      </c>
      <c r="T786" s="1054">
        <f t="shared" ca="1" si="267"/>
        <v>174.18474187670188</v>
      </c>
      <c r="U786" s="1054">
        <f t="shared" ca="1" si="267"/>
        <v>177.66843671423592</v>
      </c>
      <c r="V786" s="1054">
        <f t="shared" ca="1" si="267"/>
        <v>181.22180544852057</v>
      </c>
      <c r="W786" s="1054">
        <f t="shared" ca="1" si="267"/>
        <v>184.84624155749103</v>
      </c>
      <c r="X786" s="1054">
        <f t="shared" ca="1" si="267"/>
        <v>185.01136676301377</v>
      </c>
      <c r="Y786" s="1054">
        <f t="shared" ca="1" si="267"/>
        <v>188.78223009078664</v>
      </c>
      <c r="Z786" s="1054">
        <f t="shared" ca="1" si="267"/>
        <v>192.62851068511489</v>
      </c>
      <c r="AA786" s="1054">
        <f t="shared" ca="1" si="267"/>
        <v>161.37408319838283</v>
      </c>
      <c r="AB786" s="1054">
        <f t="shared" ca="1" si="267"/>
        <v>139.99294584159651</v>
      </c>
      <c r="AC786" s="1054">
        <f t="shared" ca="1" si="267"/>
        <v>106.26463065679897</v>
      </c>
      <c r="AD786" s="1054">
        <f t="shared" ca="1" si="267"/>
        <v>93.528244744037551</v>
      </c>
      <c r="AE786" s="1054">
        <f t="shared" ca="1" si="267"/>
        <v>72.623004418263648</v>
      </c>
      <c r="AF786" s="1054">
        <f t="shared" ca="1" si="267"/>
        <v>0</v>
      </c>
      <c r="AG786" s="1054">
        <f t="shared" ca="1" si="267"/>
        <v>0</v>
      </c>
      <c r="AH786" s="1054">
        <f t="shared" ca="1" si="267"/>
        <v>0</v>
      </c>
      <c r="AI786" s="1054">
        <f t="shared" ca="1" si="267"/>
        <v>0</v>
      </c>
      <c r="AJ786" s="1054">
        <f t="shared" ca="1" si="267"/>
        <v>0</v>
      </c>
      <c r="AK786" s="1054">
        <f t="shared" ca="1" si="267"/>
        <v>0</v>
      </c>
      <c r="AL786" s="1054">
        <f t="shared" ca="1" si="267"/>
        <v>0</v>
      </c>
      <c r="AM786" s="1054">
        <f t="shared" ca="1" si="267"/>
        <v>0</v>
      </c>
      <c r="AN786" s="1054">
        <f t="shared" ca="1" si="267"/>
        <v>0</v>
      </c>
      <c r="AO786" s="1054">
        <f t="shared" ca="1" si="267"/>
        <v>0</v>
      </c>
      <c r="AP786" s="1054">
        <f t="shared" ca="1" si="267"/>
        <v>0</v>
      </c>
      <c r="AQ786" s="1054">
        <f t="shared" ca="1" si="267"/>
        <v>0</v>
      </c>
      <c r="AR786" s="1054">
        <f t="shared" ca="1" si="267"/>
        <v>0</v>
      </c>
      <c r="AS786" s="1054">
        <f t="shared" ca="1" si="267"/>
        <v>0</v>
      </c>
      <c r="AT786" s="1054">
        <f t="shared" ca="1" si="267"/>
        <v>0</v>
      </c>
      <c r="AU786" s="1054">
        <f t="shared" ca="1" si="267"/>
        <v>0</v>
      </c>
      <c r="AV786" s="1054">
        <f t="shared" ca="1" si="267"/>
        <v>0</v>
      </c>
      <c r="AW786" s="1054">
        <f t="shared" ca="1" si="267"/>
        <v>0</v>
      </c>
      <c r="AX786" s="1054">
        <f t="shared" ca="1" si="267"/>
        <v>0</v>
      </c>
    </row>
    <row r="787" spans="1:50" ht="15" customHeight="1">
      <c r="A787" s="325"/>
      <c r="B787" s="509"/>
      <c r="C787" s="323"/>
      <c r="D787" s="1006"/>
      <c r="E787" s="1054"/>
      <c r="F787" s="1054"/>
      <c r="G787" s="1054"/>
      <c r="H787" s="1054"/>
      <c r="I787" s="1054"/>
      <c r="J787" s="1054"/>
      <c r="K787" s="1054"/>
      <c r="L787" s="1054"/>
      <c r="M787" s="1054"/>
      <c r="N787" s="1054"/>
      <c r="O787" s="1054"/>
      <c r="P787" s="1054"/>
      <c r="Q787" s="1054"/>
      <c r="R787" s="1054"/>
      <c r="S787" s="1054"/>
      <c r="T787" s="1054"/>
      <c r="U787" s="1054"/>
      <c r="V787" s="1054"/>
      <c r="W787" s="1054"/>
      <c r="X787" s="1054"/>
      <c r="Y787" s="1054"/>
      <c r="Z787" s="1054"/>
      <c r="AA787" s="1054"/>
      <c r="AB787" s="1054"/>
      <c r="AC787" s="1054"/>
      <c r="AD787" s="1054"/>
      <c r="AE787" s="1054"/>
      <c r="AF787" s="1054"/>
      <c r="AG787" s="1054"/>
      <c r="AH787" s="1054"/>
      <c r="AI787" s="1054"/>
      <c r="AJ787" s="1054"/>
      <c r="AK787" s="1054"/>
      <c r="AL787" s="1054"/>
      <c r="AM787" s="1054"/>
      <c r="AN787" s="1054"/>
      <c r="AO787" s="1054"/>
      <c r="AP787" s="1054"/>
      <c r="AQ787" s="1054"/>
      <c r="AR787" s="1054"/>
      <c r="AS787" s="1054"/>
      <c r="AT787" s="1054"/>
      <c r="AU787" s="1054"/>
      <c r="AV787" s="1054"/>
      <c r="AW787" s="1054"/>
      <c r="AX787" s="1054"/>
    </row>
    <row r="788" spans="1:50" ht="15" customHeight="1">
      <c r="A788" s="325"/>
      <c r="B788" s="509"/>
      <c r="C788" s="323"/>
      <c r="D788" s="1006"/>
      <c r="E788" s="1054" t="str">
        <f>Translate!$E$279</f>
        <v>Difference</v>
      </c>
      <c r="F788" s="1054"/>
      <c r="G788" s="1054" t="str">
        <f xml:space="preserve"> Translate!E$10</f>
        <v>US$ mn</v>
      </c>
      <c r="H788" s="1054"/>
      <c r="I788" s="1054">
        <f ca="1" xml:space="preserve"> SUM(K788:AX788)</f>
        <v>0</v>
      </c>
      <c r="J788" s="1054"/>
      <c r="K788" s="1054">
        <f t="shared" ref="K788:AX788" ca="1" si="268" xml:space="preserve"> K780 - K786</f>
        <v>0</v>
      </c>
      <c r="L788" s="1054">
        <f t="shared" ca="1" si="268"/>
        <v>0</v>
      </c>
      <c r="M788" s="1054">
        <f t="shared" ca="1" si="268"/>
        <v>0</v>
      </c>
      <c r="N788" s="1054">
        <f t="shared" ca="1" si="268"/>
        <v>0</v>
      </c>
      <c r="O788" s="1054">
        <f t="shared" ca="1" si="268"/>
        <v>0</v>
      </c>
      <c r="P788" s="1054">
        <f t="shared" ca="1" si="268"/>
        <v>0</v>
      </c>
      <c r="Q788" s="1054">
        <f t="shared" ca="1" si="268"/>
        <v>0</v>
      </c>
      <c r="R788" s="1054">
        <f t="shared" ca="1" si="268"/>
        <v>0</v>
      </c>
      <c r="S788" s="1054">
        <f t="shared" ca="1" si="268"/>
        <v>0</v>
      </c>
      <c r="T788" s="1054">
        <f t="shared" ca="1" si="268"/>
        <v>0</v>
      </c>
      <c r="U788" s="1054">
        <f t="shared" ca="1" si="268"/>
        <v>0</v>
      </c>
      <c r="V788" s="1054">
        <f t="shared" ca="1" si="268"/>
        <v>0</v>
      </c>
      <c r="W788" s="1054">
        <f t="shared" ca="1" si="268"/>
        <v>0</v>
      </c>
      <c r="X788" s="1054">
        <f t="shared" ca="1" si="268"/>
        <v>0</v>
      </c>
      <c r="Y788" s="1054">
        <f t="shared" ca="1" si="268"/>
        <v>0</v>
      </c>
      <c r="Z788" s="1054">
        <f t="shared" ca="1" si="268"/>
        <v>0</v>
      </c>
      <c r="AA788" s="1054">
        <f t="shared" ca="1" si="268"/>
        <v>0</v>
      </c>
      <c r="AB788" s="1054">
        <f t="shared" ca="1" si="268"/>
        <v>0</v>
      </c>
      <c r="AC788" s="1054">
        <f t="shared" ca="1" si="268"/>
        <v>0</v>
      </c>
      <c r="AD788" s="1054">
        <f t="shared" ca="1" si="268"/>
        <v>0</v>
      </c>
      <c r="AE788" s="1054">
        <f t="shared" ca="1" si="268"/>
        <v>0</v>
      </c>
      <c r="AF788" s="1054">
        <f t="shared" ca="1" si="268"/>
        <v>0</v>
      </c>
      <c r="AG788" s="1054">
        <f t="shared" ca="1" si="268"/>
        <v>0</v>
      </c>
      <c r="AH788" s="1054">
        <f t="shared" ca="1" si="268"/>
        <v>0</v>
      </c>
      <c r="AI788" s="1054">
        <f t="shared" ca="1" si="268"/>
        <v>0</v>
      </c>
      <c r="AJ788" s="1054">
        <f t="shared" ca="1" si="268"/>
        <v>0</v>
      </c>
      <c r="AK788" s="1054">
        <f t="shared" ca="1" si="268"/>
        <v>0</v>
      </c>
      <c r="AL788" s="1054">
        <f t="shared" ca="1" si="268"/>
        <v>0</v>
      </c>
      <c r="AM788" s="1054">
        <f t="shared" ca="1" si="268"/>
        <v>0</v>
      </c>
      <c r="AN788" s="1054">
        <f t="shared" ca="1" si="268"/>
        <v>0</v>
      </c>
      <c r="AO788" s="1054">
        <f t="shared" ca="1" si="268"/>
        <v>0</v>
      </c>
      <c r="AP788" s="1054">
        <f t="shared" ca="1" si="268"/>
        <v>0</v>
      </c>
      <c r="AQ788" s="1054">
        <f t="shared" ca="1" si="268"/>
        <v>0</v>
      </c>
      <c r="AR788" s="1054">
        <f t="shared" ca="1" si="268"/>
        <v>0</v>
      </c>
      <c r="AS788" s="1054">
        <f t="shared" ca="1" si="268"/>
        <v>0</v>
      </c>
      <c r="AT788" s="1054">
        <f t="shared" ca="1" si="268"/>
        <v>0</v>
      </c>
      <c r="AU788" s="1054">
        <f t="shared" ca="1" si="268"/>
        <v>0</v>
      </c>
      <c r="AV788" s="1054">
        <f t="shared" ca="1" si="268"/>
        <v>0</v>
      </c>
      <c r="AW788" s="1054">
        <f t="shared" ca="1" si="268"/>
        <v>0</v>
      </c>
      <c r="AX788" s="1054">
        <f t="shared" ca="1" si="268"/>
        <v>0</v>
      </c>
    </row>
    <row r="789" spans="1:50" ht="15" customHeight="1">
      <c r="A789" s="325"/>
      <c r="B789" s="509"/>
      <c r="C789" s="323"/>
      <c r="D789" s="1006"/>
      <c r="E789" s="1054" t="str">
        <f xml:space="preserve"> Translate!$E$444 &amp; ": " &amp; Translate!$E$40</f>
        <v>Check: Cashflow reconciliation</v>
      </c>
      <c r="F789" s="414">
        <f ca="1" xml:space="preserve"> MIN( 1, SUM(K789:AX789))</f>
        <v>0</v>
      </c>
      <c r="G789" s="1054" t="str">
        <f xml:space="preserve"> Translate!E$444</f>
        <v>Check</v>
      </c>
      <c r="H789" s="1054"/>
      <c r="I789" s="1054">
        <f ca="1" xml:space="preserve"> SUM(K789:AX789)</f>
        <v>0</v>
      </c>
      <c r="J789" s="1054"/>
      <c r="K789" s="414">
        <f t="shared" ref="K789:AX789" ca="1" si="269" xml:space="preserve"> IF( ABS(K788) &gt; CHK_TOL, 1, 0)</f>
        <v>0</v>
      </c>
      <c r="L789" s="414">
        <f t="shared" ca="1" si="269"/>
        <v>0</v>
      </c>
      <c r="M789" s="414">
        <f t="shared" ca="1" si="269"/>
        <v>0</v>
      </c>
      <c r="N789" s="414">
        <f t="shared" ca="1" si="269"/>
        <v>0</v>
      </c>
      <c r="O789" s="414">
        <f t="shared" ca="1" si="269"/>
        <v>0</v>
      </c>
      <c r="P789" s="414">
        <f t="shared" ca="1" si="269"/>
        <v>0</v>
      </c>
      <c r="Q789" s="414">
        <f t="shared" ca="1" si="269"/>
        <v>0</v>
      </c>
      <c r="R789" s="414">
        <f t="shared" ca="1" si="269"/>
        <v>0</v>
      </c>
      <c r="S789" s="414">
        <f t="shared" ca="1" si="269"/>
        <v>0</v>
      </c>
      <c r="T789" s="414">
        <f t="shared" ca="1" si="269"/>
        <v>0</v>
      </c>
      <c r="U789" s="414">
        <f t="shared" ca="1" si="269"/>
        <v>0</v>
      </c>
      <c r="V789" s="414">
        <f t="shared" ca="1" si="269"/>
        <v>0</v>
      </c>
      <c r="W789" s="414">
        <f t="shared" ca="1" si="269"/>
        <v>0</v>
      </c>
      <c r="X789" s="414">
        <f t="shared" ca="1" si="269"/>
        <v>0</v>
      </c>
      <c r="Y789" s="414">
        <f t="shared" ca="1" si="269"/>
        <v>0</v>
      </c>
      <c r="Z789" s="414">
        <f t="shared" ca="1" si="269"/>
        <v>0</v>
      </c>
      <c r="AA789" s="414">
        <f t="shared" ca="1" si="269"/>
        <v>0</v>
      </c>
      <c r="AB789" s="414">
        <f t="shared" ca="1" si="269"/>
        <v>0</v>
      </c>
      <c r="AC789" s="414">
        <f t="shared" ca="1" si="269"/>
        <v>0</v>
      </c>
      <c r="AD789" s="414">
        <f t="shared" ca="1" si="269"/>
        <v>0</v>
      </c>
      <c r="AE789" s="414">
        <f t="shared" ca="1" si="269"/>
        <v>0</v>
      </c>
      <c r="AF789" s="414">
        <f t="shared" ca="1" si="269"/>
        <v>0</v>
      </c>
      <c r="AG789" s="414">
        <f t="shared" ca="1" si="269"/>
        <v>0</v>
      </c>
      <c r="AH789" s="414">
        <f t="shared" ca="1" si="269"/>
        <v>0</v>
      </c>
      <c r="AI789" s="414">
        <f t="shared" ca="1" si="269"/>
        <v>0</v>
      </c>
      <c r="AJ789" s="414">
        <f t="shared" ca="1" si="269"/>
        <v>0</v>
      </c>
      <c r="AK789" s="414">
        <f t="shared" ca="1" si="269"/>
        <v>0</v>
      </c>
      <c r="AL789" s="414">
        <f t="shared" ca="1" si="269"/>
        <v>0</v>
      </c>
      <c r="AM789" s="414">
        <f t="shared" ca="1" si="269"/>
        <v>0</v>
      </c>
      <c r="AN789" s="414">
        <f t="shared" ca="1" si="269"/>
        <v>0</v>
      </c>
      <c r="AO789" s="414">
        <f t="shared" ca="1" si="269"/>
        <v>0</v>
      </c>
      <c r="AP789" s="414">
        <f t="shared" ca="1" si="269"/>
        <v>0</v>
      </c>
      <c r="AQ789" s="414">
        <f t="shared" ca="1" si="269"/>
        <v>0</v>
      </c>
      <c r="AR789" s="414">
        <f t="shared" ca="1" si="269"/>
        <v>0</v>
      </c>
      <c r="AS789" s="414">
        <f t="shared" ca="1" si="269"/>
        <v>0</v>
      </c>
      <c r="AT789" s="414">
        <f t="shared" ca="1" si="269"/>
        <v>0</v>
      </c>
      <c r="AU789" s="414">
        <f t="shared" ca="1" si="269"/>
        <v>0</v>
      </c>
      <c r="AV789" s="414">
        <f t="shared" ca="1" si="269"/>
        <v>0</v>
      </c>
      <c r="AW789" s="414">
        <f t="shared" ca="1" si="269"/>
        <v>0</v>
      </c>
      <c r="AX789" s="414">
        <f t="shared" ca="1" si="269"/>
        <v>0</v>
      </c>
    </row>
    <row r="790" spans="1:50" ht="15" customHeight="1">
      <c r="A790" s="325"/>
      <c r="B790" s="509"/>
      <c r="C790" s="323"/>
      <c r="D790" s="1006"/>
      <c r="E790" s="1054"/>
      <c r="F790" s="1054"/>
      <c r="G790" s="1054"/>
      <c r="H790" s="1054"/>
      <c r="I790" s="1054"/>
      <c r="J790" s="1054"/>
      <c r="K790" s="1054"/>
      <c r="L790" s="1054"/>
      <c r="M790" s="1054"/>
      <c r="N790" s="1054"/>
      <c r="O790" s="1054"/>
      <c r="P790" s="1054"/>
      <c r="Q790" s="1054"/>
      <c r="R790" s="1054"/>
      <c r="S790" s="1054"/>
      <c r="T790" s="1054"/>
      <c r="U790" s="1054"/>
      <c r="V790" s="1054"/>
      <c r="W790" s="1054"/>
      <c r="X790" s="1054"/>
      <c r="Y790" s="1054"/>
      <c r="Z790" s="1054"/>
      <c r="AA790" s="1054"/>
      <c r="AB790" s="1054"/>
      <c r="AC790" s="1054"/>
      <c r="AD790" s="1054"/>
      <c r="AE790" s="1054"/>
      <c r="AF790" s="1054"/>
      <c r="AG790" s="1054"/>
      <c r="AH790" s="1054"/>
      <c r="AI790" s="1054"/>
      <c r="AJ790" s="1054"/>
      <c r="AK790" s="1054"/>
      <c r="AL790" s="1054"/>
      <c r="AM790" s="1054"/>
      <c r="AN790" s="1054"/>
      <c r="AO790" s="1054"/>
      <c r="AP790" s="1054"/>
      <c r="AQ790" s="1054"/>
      <c r="AR790" s="1054"/>
      <c r="AS790" s="1054"/>
      <c r="AT790" s="1054"/>
      <c r="AU790" s="1054"/>
      <c r="AV790" s="1054"/>
      <c r="AW790" s="1054"/>
      <c r="AX790" s="1054"/>
    </row>
    <row r="791" spans="1:50" ht="15" customHeight="1">
      <c r="A791" s="56" t="e">
        <f ca="1" xml:space="preserve"> $A$1 &amp; ": " &amp; Translate!$E$609</f>
        <v>#VALUE!</v>
      </c>
      <c r="B791" s="705"/>
      <c r="C791" s="464"/>
      <c r="D791" s="465"/>
      <c r="E791" s="463"/>
      <c r="F791" s="463"/>
      <c r="G791" s="463"/>
      <c r="H791" s="463"/>
      <c r="I791" s="1054"/>
      <c r="J791" s="1054"/>
      <c r="K791" s="1054"/>
      <c r="L791" s="1054"/>
      <c r="M791" s="1054"/>
      <c r="N791" s="1054"/>
      <c r="O791" s="1054"/>
      <c r="P791" s="1054"/>
      <c r="Q791" s="1054"/>
      <c r="R791" s="1054"/>
      <c r="S791" s="1054"/>
      <c r="T791" s="1054"/>
      <c r="U791" s="1054"/>
      <c r="V791" s="1054"/>
      <c r="W791" s="1054"/>
      <c r="X791" s="1054"/>
      <c r="Y791" s="1054"/>
      <c r="Z791" s="1054"/>
      <c r="AA791" s="1054"/>
      <c r="AB791" s="1054"/>
      <c r="AC791" s="1054"/>
      <c r="AD791" s="1054"/>
      <c r="AE791" s="1054"/>
      <c r="AF791" s="1054"/>
      <c r="AG791" s="1054"/>
      <c r="AH791" s="1054"/>
      <c r="AI791" s="1054"/>
      <c r="AJ791" s="1054"/>
      <c r="AK791" s="1054"/>
      <c r="AL791" s="1054"/>
      <c r="AM791" s="1054"/>
      <c r="AN791" s="1054"/>
      <c r="AO791" s="1054"/>
      <c r="AP791" s="1054"/>
      <c r="AQ791" s="1054"/>
      <c r="AR791" s="1054"/>
      <c r="AS791" s="1054"/>
      <c r="AT791" s="1054"/>
      <c r="AU791" s="1054"/>
      <c r="AV791" s="1054"/>
      <c r="AW791" s="1054"/>
      <c r="AX791" s="1054"/>
    </row>
    <row r="792" spans="1:50" ht="15" customHeight="1">
      <c r="A792" s="57"/>
      <c r="B792" s="706"/>
      <c r="C792" s="201"/>
      <c r="D792" s="59"/>
      <c r="E792" s="57"/>
      <c r="F792" s="851" t="str">
        <f xml:space="preserve"> Translate!E$565</f>
        <v>do not delete row</v>
      </c>
      <c r="G792" s="57"/>
      <c r="H792" s="57"/>
      <c r="I792" s="1054"/>
      <c r="J792" s="1054"/>
      <c r="K792" s="1054"/>
      <c r="L792" s="1054"/>
      <c r="M792" s="1054"/>
      <c r="N792" s="1054"/>
      <c r="O792" s="1054"/>
      <c r="P792" s="1054"/>
      <c r="Q792" s="1054"/>
      <c r="R792" s="1054"/>
      <c r="S792" s="1054"/>
      <c r="T792" s="1054"/>
      <c r="U792" s="1054"/>
      <c r="V792" s="1054"/>
      <c r="W792" s="1054"/>
      <c r="X792" s="1054"/>
      <c r="Y792" s="1054"/>
      <c r="Z792" s="1054"/>
      <c r="AA792" s="1054"/>
      <c r="AB792" s="1054"/>
      <c r="AC792" s="1054"/>
      <c r="AD792" s="1054"/>
      <c r="AE792" s="1054"/>
      <c r="AF792" s="1054"/>
      <c r="AG792" s="1054"/>
      <c r="AH792" s="1054"/>
      <c r="AI792" s="1054"/>
      <c r="AJ792" s="1054"/>
      <c r="AK792" s="1054"/>
      <c r="AL792" s="1054"/>
      <c r="AM792" s="1054"/>
      <c r="AN792" s="1054"/>
      <c r="AO792" s="1054"/>
      <c r="AP792" s="1054"/>
      <c r="AQ792" s="1054"/>
      <c r="AR792" s="1054"/>
      <c r="AS792" s="1054"/>
      <c r="AT792" s="1054"/>
      <c r="AU792" s="1054"/>
      <c r="AV792" s="1054"/>
      <c r="AW792" s="1054"/>
      <c r="AX792" s="1054"/>
    </row>
    <row r="793" spans="1:50" ht="15" customHeight="1">
      <c r="A793" s="1041"/>
      <c r="D793" s="1005"/>
      <c r="E793" s="1041"/>
      <c r="F793" s="1041"/>
      <c r="G793" s="1041"/>
      <c r="H793" s="1041"/>
      <c r="I793" s="1041"/>
      <c r="J793" s="1041"/>
      <c r="K793" s="1041"/>
      <c r="L793" s="1041"/>
      <c r="M793" s="1041"/>
      <c r="N793" s="1041"/>
      <c r="O793" s="1041"/>
      <c r="P793" s="1041"/>
      <c r="Q793" s="1041"/>
      <c r="R793" s="1041"/>
      <c r="S793" s="1041"/>
      <c r="T793" s="1041"/>
      <c r="U793" s="1041"/>
      <c r="V793" s="1041"/>
      <c r="W793" s="1041"/>
      <c r="X793" s="1041"/>
      <c r="Y793" s="1041"/>
      <c r="Z793" s="1041"/>
      <c r="AA793" s="1041"/>
      <c r="AB793" s="1041"/>
      <c r="AC793" s="1041"/>
      <c r="AD793" s="1041"/>
      <c r="AE793" s="1041"/>
      <c r="AF793" s="1041"/>
      <c r="AG793" s="1041"/>
      <c r="AH793" s="1041"/>
      <c r="AI793" s="1041"/>
      <c r="AJ793" s="1041"/>
      <c r="AK793" s="1041"/>
      <c r="AL793" s="1041"/>
      <c r="AM793" s="1041"/>
      <c r="AN793" s="1041"/>
      <c r="AO793" s="1041"/>
      <c r="AP793" s="1041"/>
      <c r="AQ793" s="1041"/>
      <c r="AR793" s="1041"/>
      <c r="AS793" s="1041"/>
      <c r="AT793" s="1041"/>
      <c r="AU793" s="1041"/>
      <c r="AV793" s="1041"/>
      <c r="AW793" s="1041"/>
      <c r="AX793" s="1041"/>
    </row>
    <row r="794" spans="1:50" ht="15" customHeight="1">
      <c r="A794" s="1059"/>
      <c r="B794" s="674"/>
      <c r="C794" s="472"/>
      <c r="D794" s="1097"/>
      <c r="E794" s="358" t="str">
        <f xml:space="preserve"> E$115</f>
        <v>Check: decommissioning cashflows</v>
      </c>
      <c r="F794" s="414">
        <f ca="1" xml:space="preserve"> F$115</f>
        <v>0</v>
      </c>
      <c r="G794" s="473" t="str">
        <f xml:space="preserve"> G$115</f>
        <v>Check</v>
      </c>
      <c r="H794" s="1058"/>
      <c r="I794" s="1058"/>
      <c r="J794" s="1058"/>
      <c r="K794" s="1059"/>
      <c r="L794" s="1059"/>
      <c r="M794" s="1059"/>
      <c r="N794" s="1059"/>
      <c r="O794" s="1059"/>
      <c r="P794" s="1059"/>
      <c r="Q794" s="1059"/>
      <c r="R794" s="1059"/>
      <c r="S794" s="1059"/>
      <c r="T794" s="1059"/>
      <c r="U794" s="1059"/>
      <c r="V794" s="1059"/>
      <c r="W794" s="1059"/>
      <c r="X794" s="1059"/>
      <c r="Y794" s="1059"/>
      <c r="Z794" s="1059"/>
      <c r="AA794" s="1059"/>
      <c r="AB794" s="1059"/>
      <c r="AC794" s="1059"/>
      <c r="AD794" s="1059"/>
      <c r="AE794" s="1059"/>
      <c r="AF794" s="1059"/>
      <c r="AG794" s="1059"/>
      <c r="AH794" s="1059"/>
      <c r="AI794" s="1059"/>
      <c r="AJ794" s="1059"/>
      <c r="AK794" s="1059"/>
      <c r="AL794" s="1059"/>
      <c r="AM794" s="1059"/>
      <c r="AN794" s="1059"/>
      <c r="AO794" s="1059"/>
      <c r="AP794" s="1059"/>
      <c r="AQ794" s="1059"/>
      <c r="AR794" s="1059"/>
      <c r="AS794" s="1059"/>
      <c r="AT794" s="1059"/>
      <c r="AU794" s="1059"/>
      <c r="AV794" s="1059"/>
      <c r="AW794" s="1059"/>
      <c r="AX794" s="1059"/>
    </row>
    <row r="795" spans="1:50" ht="15" customHeight="1">
      <c r="A795" s="1059"/>
      <c r="B795" s="674"/>
      <c r="C795" s="472"/>
      <c r="D795" s="1097"/>
      <c r="E795" s="358" t="str">
        <f xml:space="preserve"> E$313</f>
        <v>Check: Loan cashflows</v>
      </c>
      <c r="F795" s="414">
        <f ca="1" xml:space="preserve"> F$313</f>
        <v>0</v>
      </c>
      <c r="G795" s="346" t="str">
        <f xml:space="preserve"> G$313</f>
        <v>Check</v>
      </c>
      <c r="H795" s="1058"/>
      <c r="I795" s="1058"/>
      <c r="J795" s="1058"/>
      <c r="K795" s="1059"/>
      <c r="L795" s="1059"/>
      <c r="M795" s="1059"/>
      <c r="N795" s="1059"/>
      <c r="O795" s="1059"/>
      <c r="P795" s="1059"/>
      <c r="Q795" s="1059"/>
      <c r="R795" s="1059"/>
      <c r="S795" s="1059"/>
      <c r="T795" s="1059"/>
      <c r="U795" s="1059"/>
      <c r="V795" s="1059"/>
      <c r="W795" s="1059"/>
      <c r="X795" s="1059"/>
      <c r="Y795" s="1059"/>
      <c r="Z795" s="1059"/>
      <c r="AA795" s="1059"/>
      <c r="AB795" s="1059"/>
      <c r="AC795" s="1059"/>
      <c r="AD795" s="1059"/>
      <c r="AE795" s="1059"/>
      <c r="AF795" s="1059"/>
      <c r="AG795" s="1059"/>
      <c r="AH795" s="1059"/>
      <c r="AI795" s="1059"/>
      <c r="AJ795" s="1059"/>
      <c r="AK795" s="1059"/>
      <c r="AL795" s="1059"/>
      <c r="AM795" s="1059"/>
      <c r="AN795" s="1059"/>
      <c r="AO795" s="1059"/>
      <c r="AP795" s="1059"/>
      <c r="AQ795" s="1059"/>
      <c r="AR795" s="1059"/>
      <c r="AS795" s="1059"/>
      <c r="AT795" s="1059"/>
      <c r="AU795" s="1059"/>
      <c r="AV795" s="1059"/>
      <c r="AW795" s="1059"/>
      <c r="AX795" s="1059"/>
    </row>
    <row r="796" spans="1:50" ht="15" customHeight="1">
      <c r="A796" s="1059"/>
      <c r="B796" s="674"/>
      <c r="C796" s="472"/>
      <c r="D796" s="1097"/>
      <c r="E796" s="358" t="str">
        <f xml:space="preserve"> E$337</f>
        <v>Check: interest allocation</v>
      </c>
      <c r="F796" s="414">
        <f ca="1" xml:space="preserve"> F$337</f>
        <v>0</v>
      </c>
      <c r="G796" s="346" t="str">
        <f xml:space="preserve"> G$337</f>
        <v>Check</v>
      </c>
      <c r="H796" s="1058"/>
      <c r="I796" s="1058"/>
      <c r="J796" s="1058"/>
      <c r="K796" s="1059"/>
      <c r="L796" s="1059"/>
      <c r="M796" s="1059"/>
      <c r="N796" s="1059"/>
      <c r="O796" s="1059"/>
      <c r="P796" s="1059"/>
      <c r="Q796" s="1059"/>
      <c r="R796" s="1059"/>
      <c r="S796" s="1059"/>
      <c r="T796" s="1059"/>
      <c r="U796" s="1059"/>
      <c r="V796" s="1059"/>
      <c r="W796" s="1059"/>
      <c r="X796" s="1059"/>
      <c r="Y796" s="1059"/>
      <c r="Z796" s="1059"/>
      <c r="AA796" s="1059"/>
      <c r="AB796" s="1059"/>
      <c r="AC796" s="1059"/>
      <c r="AD796" s="1059"/>
      <c r="AE796" s="1059"/>
      <c r="AF796" s="1059"/>
      <c r="AG796" s="1059"/>
      <c r="AH796" s="1059"/>
      <c r="AI796" s="1059"/>
      <c r="AJ796" s="1059"/>
      <c r="AK796" s="1059"/>
      <c r="AL796" s="1059"/>
      <c r="AM796" s="1059"/>
      <c r="AN796" s="1059"/>
      <c r="AO796" s="1059"/>
      <c r="AP796" s="1059"/>
      <c r="AQ796" s="1059"/>
      <c r="AR796" s="1059"/>
      <c r="AS796" s="1059"/>
      <c r="AT796" s="1059"/>
      <c r="AU796" s="1059"/>
      <c r="AV796" s="1059"/>
      <c r="AW796" s="1059"/>
      <c r="AX796" s="1059"/>
    </row>
    <row r="797" spans="1:50" ht="15" customHeight="1">
      <c r="A797" s="1059"/>
      <c r="B797" s="674"/>
      <c r="C797" s="472"/>
      <c r="D797" s="1097"/>
      <c r="E797" s="358" t="str">
        <f xml:space="preserve"> E$348</f>
        <v>Check: loan cashflows allocation</v>
      </c>
      <c r="F797" s="414">
        <f ca="1" xml:space="preserve"> F$348</f>
        <v>0</v>
      </c>
      <c r="G797" s="346" t="str">
        <f xml:space="preserve"> G$348</f>
        <v>Check</v>
      </c>
      <c r="H797" s="1058"/>
      <c r="I797" s="1058"/>
      <c r="J797" s="1058"/>
      <c r="K797" s="1059"/>
      <c r="L797" s="1059"/>
      <c r="M797" s="1059"/>
      <c r="N797" s="1059"/>
      <c r="O797" s="1059"/>
      <c r="P797" s="1059"/>
      <c r="Q797" s="1059"/>
      <c r="R797" s="1059"/>
      <c r="S797" s="1059"/>
      <c r="T797" s="1059"/>
      <c r="U797" s="1059"/>
      <c r="V797" s="1059"/>
      <c r="W797" s="1059"/>
      <c r="X797" s="1059"/>
      <c r="Y797" s="1059"/>
      <c r="Z797" s="1059"/>
      <c r="AA797" s="1059"/>
      <c r="AB797" s="1059"/>
      <c r="AC797" s="1059"/>
      <c r="AD797" s="1059"/>
      <c r="AE797" s="1059"/>
      <c r="AF797" s="1059"/>
      <c r="AG797" s="1059"/>
      <c r="AH797" s="1059"/>
      <c r="AI797" s="1059"/>
      <c r="AJ797" s="1059"/>
      <c r="AK797" s="1059"/>
      <c r="AL797" s="1059"/>
      <c r="AM797" s="1059"/>
      <c r="AN797" s="1059"/>
      <c r="AO797" s="1059"/>
      <c r="AP797" s="1059"/>
      <c r="AQ797" s="1059"/>
      <c r="AR797" s="1059"/>
      <c r="AS797" s="1059"/>
      <c r="AT797" s="1059"/>
      <c r="AU797" s="1059"/>
      <c r="AV797" s="1059"/>
      <c r="AW797" s="1059"/>
      <c r="AX797" s="1059"/>
    </row>
    <row r="798" spans="1:50" ht="15" customHeight="1">
      <c r="A798" s="1059"/>
      <c r="B798" s="674"/>
      <c r="C798" s="472"/>
      <c r="D798" s="1097"/>
      <c r="E798" s="358" t="str">
        <f xml:space="preserve"> E$401</f>
        <v>Check: costs into depreciation</v>
      </c>
      <c r="F798" s="414">
        <f ca="1" xml:space="preserve"> F$401</f>
        <v>0</v>
      </c>
      <c r="G798" s="473" t="str">
        <f xml:space="preserve"> G$401</f>
        <v>Check</v>
      </c>
      <c r="H798" s="1058"/>
      <c r="I798" s="1058"/>
      <c r="J798" s="1058"/>
      <c r="K798" s="1041"/>
      <c r="L798" s="1041"/>
      <c r="M798" s="1041"/>
      <c r="N798" s="1059"/>
      <c r="O798" s="1059"/>
      <c r="P798" s="1059"/>
      <c r="Q798" s="1059"/>
      <c r="R798" s="1059"/>
      <c r="S798" s="1059"/>
      <c r="T798" s="1059"/>
      <c r="U798" s="1059"/>
      <c r="V798" s="1059"/>
      <c r="W798" s="1059"/>
      <c r="X798" s="1059"/>
      <c r="Y798" s="1059"/>
      <c r="Z798" s="1059"/>
      <c r="AA798" s="1059"/>
      <c r="AB798" s="1059"/>
      <c r="AC798" s="1059"/>
      <c r="AD798" s="1059"/>
      <c r="AE798" s="1059"/>
      <c r="AF798" s="1059"/>
      <c r="AG798" s="1059"/>
      <c r="AH798" s="1059"/>
      <c r="AI798" s="1059"/>
      <c r="AJ798" s="1059"/>
      <c r="AK798" s="1059"/>
      <c r="AL798" s="1059"/>
      <c r="AM798" s="1059"/>
      <c r="AN798" s="1059"/>
      <c r="AO798" s="1059"/>
      <c r="AP798" s="1059"/>
      <c r="AQ798" s="1059"/>
      <c r="AR798" s="1059"/>
      <c r="AS798" s="1059"/>
      <c r="AT798" s="1059"/>
      <c r="AU798" s="1059"/>
      <c r="AV798" s="1059"/>
      <c r="AW798" s="1059"/>
      <c r="AX798" s="1059"/>
    </row>
    <row r="799" spans="1:50" ht="15" customHeight="1">
      <c r="A799" s="1059"/>
      <c r="B799" s="674"/>
      <c r="C799" s="472"/>
      <c r="D799" s="1097"/>
      <c r="E799" s="358" t="str">
        <f xml:space="preserve"> E$438</f>
        <v>Check: depreciation</v>
      </c>
      <c r="F799" s="414">
        <f ca="1" xml:space="preserve"> F$438</f>
        <v>0</v>
      </c>
      <c r="G799" s="473" t="str">
        <f xml:space="preserve"> G$438</f>
        <v>Check</v>
      </c>
      <c r="H799" s="1058"/>
      <c r="I799" s="1058"/>
      <c r="J799" s="1058"/>
      <c r="K799" s="1059"/>
      <c r="L799" s="1059"/>
      <c r="M799" s="1059"/>
      <c r="N799" s="1059"/>
      <c r="O799" s="1059"/>
      <c r="P799" s="1059"/>
      <c r="Q799" s="1059"/>
      <c r="R799" s="1059"/>
      <c r="S799" s="1059"/>
      <c r="T799" s="1059"/>
      <c r="U799" s="1059"/>
      <c r="V799" s="1059"/>
      <c r="W799" s="1059"/>
      <c r="X799" s="1059"/>
      <c r="Y799" s="1059"/>
      <c r="Z799" s="1059"/>
      <c r="AA799" s="1059"/>
      <c r="AB799" s="1059"/>
      <c r="AC799" s="1059"/>
      <c r="AD799" s="1059"/>
      <c r="AE799" s="1059"/>
      <c r="AF799" s="1059"/>
      <c r="AG799" s="1059"/>
      <c r="AH799" s="1059"/>
      <c r="AI799" s="1059"/>
      <c r="AJ799" s="1059"/>
      <c r="AK799" s="1059"/>
      <c r="AL799" s="1059"/>
      <c r="AM799" s="1059"/>
      <c r="AN799" s="1059"/>
      <c r="AO799" s="1059"/>
      <c r="AP799" s="1059"/>
      <c r="AQ799" s="1059"/>
      <c r="AR799" s="1059"/>
      <c r="AS799" s="1059"/>
      <c r="AT799" s="1059"/>
      <c r="AU799" s="1059"/>
      <c r="AV799" s="1059"/>
      <c r="AW799" s="1059"/>
      <c r="AX799" s="1059"/>
    </row>
    <row r="800" spans="1:50" ht="15" customHeight="1">
      <c r="A800" s="1059"/>
      <c r="B800" s="674"/>
      <c r="C800" s="472"/>
      <c r="D800" s="1097"/>
      <c r="E800" s="473" t="str">
        <f xml:space="preserve"> E$505</f>
        <v>Check: Mining company cashflows for RRT: cashflow versus tax return</v>
      </c>
      <c r="F800" s="414">
        <f ca="1" xml:space="preserve"> F$505</f>
        <v>0</v>
      </c>
      <c r="G800" s="473" t="str">
        <f xml:space="preserve"> G$505</f>
        <v>Check</v>
      </c>
      <c r="H800" s="1058"/>
      <c r="I800" s="1058"/>
      <c r="J800" s="1058"/>
      <c r="K800" s="1059"/>
      <c r="L800" s="1059"/>
      <c r="M800" s="1059"/>
      <c r="N800" s="1059"/>
      <c r="O800" s="1059"/>
      <c r="P800" s="1059"/>
      <c r="Q800" s="1059"/>
      <c r="R800" s="1059"/>
      <c r="S800" s="1059"/>
      <c r="T800" s="1059"/>
      <c r="U800" s="1059"/>
      <c r="V800" s="1059"/>
      <c r="W800" s="1059"/>
      <c r="X800" s="1059"/>
      <c r="Y800" s="1059"/>
      <c r="Z800" s="1059"/>
      <c r="AA800" s="1059"/>
      <c r="AB800" s="1059"/>
      <c r="AC800" s="1059"/>
      <c r="AD800" s="1059"/>
      <c r="AE800" s="1059"/>
      <c r="AF800" s="1059"/>
      <c r="AG800" s="1059"/>
      <c r="AH800" s="1059"/>
      <c r="AI800" s="1059"/>
      <c r="AJ800" s="1059"/>
      <c r="AK800" s="1059"/>
      <c r="AL800" s="1059"/>
      <c r="AM800" s="1059"/>
      <c r="AN800" s="1059"/>
      <c r="AO800" s="1059"/>
      <c r="AP800" s="1059"/>
      <c r="AQ800" s="1059"/>
      <c r="AR800" s="1059"/>
      <c r="AS800" s="1059"/>
      <c r="AT800" s="1059"/>
      <c r="AU800" s="1059"/>
      <c r="AV800" s="1059"/>
      <c r="AW800" s="1059"/>
      <c r="AX800" s="1059"/>
    </row>
    <row r="801" spans="1:50" ht="15" customHeight="1">
      <c r="A801" s="1059"/>
      <c r="B801" s="674"/>
      <c r="C801" s="472"/>
      <c r="D801" s="1097"/>
      <c r="E801" s="473" t="str">
        <f xml:space="preserve"> E$608</f>
        <v>Check: Mining company positive cashflows distributed</v>
      </c>
      <c r="F801" s="414">
        <f ca="1" xml:space="preserve"> F$608</f>
        <v>0</v>
      </c>
      <c r="G801" s="473" t="str">
        <f xml:space="preserve"> G$608</f>
        <v>Check</v>
      </c>
      <c r="H801" s="1058"/>
      <c r="I801" s="1058"/>
      <c r="J801" s="1058"/>
      <c r="K801" s="1059"/>
      <c r="L801" s="1059"/>
      <c r="M801" s="1059"/>
      <c r="N801" s="1059"/>
      <c r="O801" s="1059"/>
      <c r="P801" s="1059"/>
      <c r="Q801" s="1059"/>
      <c r="R801" s="1059"/>
      <c r="S801" s="1059"/>
      <c r="T801" s="1059"/>
      <c r="U801" s="1059"/>
      <c r="V801" s="1059"/>
      <c r="W801" s="1059"/>
      <c r="X801" s="1059"/>
      <c r="Y801" s="1059"/>
      <c r="Z801" s="1059"/>
      <c r="AA801" s="1059"/>
      <c r="AB801" s="1059"/>
      <c r="AC801" s="1059"/>
      <c r="AD801" s="1059"/>
      <c r="AE801" s="1059"/>
      <c r="AF801" s="1059"/>
      <c r="AG801" s="1059"/>
      <c r="AH801" s="1059"/>
      <c r="AI801" s="1059"/>
      <c r="AJ801" s="1059"/>
      <c r="AK801" s="1059"/>
      <c r="AL801" s="1059"/>
      <c r="AM801" s="1059"/>
      <c r="AN801" s="1059"/>
      <c r="AO801" s="1059"/>
      <c r="AP801" s="1059"/>
      <c r="AQ801" s="1059"/>
      <c r="AR801" s="1059"/>
      <c r="AS801" s="1059"/>
      <c r="AT801" s="1059"/>
      <c r="AU801" s="1059"/>
      <c r="AV801" s="1059"/>
      <c r="AW801" s="1059"/>
      <c r="AX801" s="1059"/>
    </row>
    <row r="802" spans="1:50" ht="15" customHeight="1">
      <c r="A802" s="1059"/>
      <c r="B802" s="674"/>
      <c r="C802" s="472"/>
      <c r="D802" s="1097"/>
      <c r="E802" s="358" t="str">
        <f xml:space="preserve"> E$681</f>
        <v>Check: Carried interest loan cashflows</v>
      </c>
      <c r="F802" s="414">
        <f ca="1" xml:space="preserve"> F$681</f>
        <v>0</v>
      </c>
      <c r="G802" s="358" t="str">
        <f xml:space="preserve"> G$681</f>
        <v>Check</v>
      </c>
      <c r="H802" s="1058"/>
      <c r="I802" s="1058"/>
      <c r="J802" s="1058"/>
      <c r="K802" s="1059"/>
      <c r="L802" s="1059"/>
      <c r="M802" s="1059"/>
      <c r="N802" s="1059"/>
      <c r="O802" s="1059"/>
      <c r="P802" s="1059"/>
      <c r="Q802" s="1059"/>
      <c r="R802" s="1059"/>
      <c r="S802" s="1059"/>
      <c r="T802" s="1059"/>
      <c r="U802" s="1059"/>
      <c r="V802" s="1059"/>
      <c r="W802" s="1059"/>
      <c r="X802" s="1059"/>
      <c r="Y802" s="1059"/>
      <c r="Z802" s="1059"/>
      <c r="AA802" s="1059"/>
      <c r="AB802" s="1059"/>
      <c r="AC802" s="1059"/>
      <c r="AD802" s="1059"/>
      <c r="AE802" s="1059"/>
      <c r="AF802" s="1059"/>
      <c r="AG802" s="1059"/>
      <c r="AH802" s="1059"/>
      <c r="AI802" s="1059"/>
      <c r="AJ802" s="1059"/>
      <c r="AK802" s="1059"/>
      <c r="AL802" s="1059"/>
      <c r="AM802" s="1059"/>
      <c r="AN802" s="1059"/>
      <c r="AO802" s="1059"/>
      <c r="AP802" s="1059"/>
      <c r="AQ802" s="1059"/>
      <c r="AR802" s="1059"/>
      <c r="AS802" s="1059"/>
      <c r="AT802" s="1059"/>
      <c r="AU802" s="1059"/>
      <c r="AV802" s="1059"/>
      <c r="AW802" s="1059"/>
      <c r="AX802" s="1059"/>
    </row>
    <row r="803" spans="1:50" ht="15" customHeight="1">
      <c r="A803" s="1059"/>
      <c r="B803" s="674"/>
      <c r="C803" s="472"/>
      <c r="D803" s="1097"/>
      <c r="E803" s="358" t="str">
        <f xml:space="preserve"> E$774</f>
        <v>Check: Government revenues: Total</v>
      </c>
      <c r="F803" s="414">
        <f ca="1" xml:space="preserve"> F$774</f>
        <v>0</v>
      </c>
      <c r="G803" s="473" t="str">
        <f xml:space="preserve"> G$774</f>
        <v>Check</v>
      </c>
      <c r="H803" s="1058"/>
      <c r="I803" s="1058"/>
      <c r="J803" s="1058"/>
      <c r="K803" s="1059"/>
      <c r="L803" s="1059"/>
      <c r="M803" s="1059"/>
      <c r="N803" s="1059"/>
      <c r="O803" s="1059"/>
      <c r="P803" s="1059"/>
      <c r="Q803" s="1059"/>
      <c r="R803" s="1059"/>
      <c r="S803" s="1059"/>
      <c r="T803" s="1059"/>
      <c r="U803" s="1059"/>
      <c r="V803" s="1059"/>
      <c r="W803" s="1059"/>
      <c r="X803" s="1059"/>
      <c r="Y803" s="1059"/>
      <c r="Z803" s="1059"/>
      <c r="AA803" s="1059"/>
      <c r="AB803" s="1059"/>
      <c r="AC803" s="1059"/>
      <c r="AD803" s="1059"/>
      <c r="AE803" s="1059"/>
      <c r="AF803" s="1059"/>
      <c r="AG803" s="1059"/>
      <c r="AH803" s="1059"/>
      <c r="AI803" s="1059"/>
      <c r="AJ803" s="1059"/>
      <c r="AK803" s="1059"/>
      <c r="AL803" s="1059"/>
      <c r="AM803" s="1059"/>
      <c r="AN803" s="1059"/>
      <c r="AO803" s="1059"/>
      <c r="AP803" s="1059"/>
      <c r="AQ803" s="1059"/>
      <c r="AR803" s="1059"/>
      <c r="AS803" s="1059"/>
      <c r="AT803" s="1059"/>
      <c r="AU803" s="1059"/>
      <c r="AV803" s="1059"/>
      <c r="AW803" s="1059"/>
      <c r="AX803" s="1059"/>
    </row>
    <row r="804" spans="1:50" ht="15" customHeight="1">
      <c r="A804" s="1059"/>
      <c r="B804" s="674"/>
      <c r="C804" s="472"/>
      <c r="D804" s="1097"/>
      <c r="E804" s="358" t="str">
        <f xml:space="preserve"> E$789</f>
        <v>Check: Cashflow reconciliation</v>
      </c>
      <c r="F804" s="414">
        <f ca="1" xml:space="preserve"> F$789</f>
        <v>0</v>
      </c>
      <c r="G804" s="473" t="str">
        <f xml:space="preserve"> G$789</f>
        <v>Check</v>
      </c>
      <c r="H804" s="1058"/>
      <c r="I804" s="1058"/>
      <c r="J804" s="1058"/>
      <c r="K804" s="1059"/>
      <c r="L804" s="1059"/>
      <c r="M804" s="1059"/>
      <c r="N804" s="1059"/>
      <c r="O804" s="1059"/>
      <c r="P804" s="1059"/>
      <c r="Q804" s="1059"/>
      <c r="R804" s="1059"/>
      <c r="S804" s="1059"/>
      <c r="T804" s="1059"/>
      <c r="U804" s="1059"/>
      <c r="V804" s="1059"/>
      <c r="W804" s="1059"/>
      <c r="X804" s="1059"/>
      <c r="Y804" s="1059"/>
      <c r="Z804" s="1059"/>
      <c r="AA804" s="1059"/>
      <c r="AB804" s="1059"/>
      <c r="AC804" s="1059"/>
      <c r="AD804" s="1059"/>
      <c r="AE804" s="1059"/>
      <c r="AF804" s="1059"/>
      <c r="AG804" s="1059"/>
      <c r="AH804" s="1059"/>
      <c r="AI804" s="1059"/>
      <c r="AJ804" s="1059"/>
      <c r="AK804" s="1059"/>
      <c r="AL804" s="1059"/>
      <c r="AM804" s="1059"/>
      <c r="AN804" s="1059"/>
      <c r="AO804" s="1059"/>
      <c r="AP804" s="1059"/>
      <c r="AQ804" s="1059"/>
      <c r="AR804" s="1059"/>
      <c r="AS804" s="1059"/>
      <c r="AT804" s="1059"/>
      <c r="AU804" s="1059"/>
      <c r="AV804" s="1059"/>
      <c r="AW804" s="1059"/>
      <c r="AX804" s="1059"/>
    </row>
    <row r="805" spans="1:50" ht="15" customHeight="1">
      <c r="A805" s="1059"/>
      <c r="B805" s="674"/>
      <c r="C805" s="472"/>
      <c r="D805" s="1097"/>
      <c r="E805" s="358" t="str">
        <f xml:space="preserve"> E$7</f>
        <v>Check: Translation of options</v>
      </c>
      <c r="F805" s="414">
        <f xml:space="preserve"> F$7</f>
        <v>0</v>
      </c>
      <c r="G805" s="473" t="str">
        <f xml:space="preserve"> G$7</f>
        <v>Check</v>
      </c>
      <c r="H805" s="1058"/>
      <c r="I805" s="1058"/>
      <c r="J805" s="1058"/>
      <c r="K805" s="1059"/>
      <c r="L805" s="1059"/>
      <c r="M805" s="1059"/>
      <c r="N805" s="1059"/>
      <c r="O805" s="1059"/>
      <c r="P805" s="1059"/>
      <c r="Q805" s="1059"/>
      <c r="R805" s="1059"/>
      <c r="S805" s="1059"/>
      <c r="T805" s="1059"/>
      <c r="U805" s="1059"/>
      <c r="V805" s="1059"/>
      <c r="W805" s="1059"/>
      <c r="X805" s="1059"/>
      <c r="Y805" s="1059"/>
      <c r="Z805" s="1059"/>
      <c r="AA805" s="1059"/>
      <c r="AB805" s="1059"/>
      <c r="AC805" s="1059"/>
      <c r="AD805" s="1059"/>
      <c r="AE805" s="1059"/>
      <c r="AF805" s="1059"/>
      <c r="AG805" s="1059"/>
      <c r="AH805" s="1059"/>
      <c r="AI805" s="1059"/>
      <c r="AJ805" s="1059"/>
      <c r="AK805" s="1059"/>
      <c r="AL805" s="1059"/>
      <c r="AM805" s="1059"/>
      <c r="AN805" s="1059"/>
      <c r="AO805" s="1059"/>
      <c r="AP805" s="1059"/>
      <c r="AQ805" s="1059"/>
      <c r="AR805" s="1059"/>
      <c r="AS805" s="1059"/>
      <c r="AT805" s="1059"/>
      <c r="AU805" s="1059"/>
      <c r="AV805" s="1059"/>
      <c r="AW805" s="1059"/>
      <c r="AX805" s="1059"/>
    </row>
    <row r="806" spans="1:50" ht="15" customHeight="1">
      <c r="A806" s="57"/>
      <c r="B806" s="706"/>
      <c r="C806" s="201"/>
      <c r="D806" s="59"/>
      <c r="E806" s="57"/>
      <c r="F806" s="851" t="str">
        <f xml:space="preserve"> Translate!E$565</f>
        <v>do not delete row</v>
      </c>
      <c r="G806" s="57"/>
      <c r="H806" s="57"/>
      <c r="I806" s="1054"/>
      <c r="J806" s="1054"/>
      <c r="K806" s="1054"/>
      <c r="L806" s="1054"/>
      <c r="M806" s="1054"/>
      <c r="N806" s="1054"/>
      <c r="O806" s="1054"/>
      <c r="P806" s="1054"/>
      <c r="Q806" s="1054"/>
      <c r="R806" s="1054"/>
      <c r="S806" s="1054"/>
      <c r="T806" s="1054"/>
      <c r="U806" s="1054"/>
      <c r="V806" s="1054"/>
      <c r="W806" s="1054"/>
      <c r="X806" s="1054"/>
      <c r="Y806" s="1054"/>
      <c r="Z806" s="1054"/>
      <c r="AA806" s="1054"/>
      <c r="AB806" s="1054"/>
      <c r="AC806" s="1054"/>
      <c r="AD806" s="1054"/>
      <c r="AE806" s="1054"/>
      <c r="AF806" s="1054"/>
      <c r="AG806" s="1054"/>
      <c r="AH806" s="1054"/>
      <c r="AI806" s="1054"/>
      <c r="AJ806" s="1054"/>
      <c r="AK806" s="1054"/>
      <c r="AL806" s="1054"/>
      <c r="AM806" s="1054"/>
      <c r="AN806" s="1054"/>
      <c r="AO806" s="1054"/>
      <c r="AP806" s="1054"/>
      <c r="AQ806" s="1054"/>
      <c r="AR806" s="1054"/>
      <c r="AS806" s="1054"/>
      <c r="AT806" s="1054"/>
      <c r="AU806" s="1054"/>
      <c r="AV806" s="1054"/>
      <c r="AW806" s="1054"/>
      <c r="AX806" s="1054"/>
    </row>
    <row r="807" spans="1:50" ht="15" customHeight="1">
      <c r="A807" s="19"/>
      <c r="C807" s="202"/>
      <c r="D807" s="203"/>
      <c r="E807" s="1041" t="e">
        <f ca="1" xml:space="preserve"> Translate!$E$639 &amp; ": " &amp; $A$1</f>
        <v>#VALUE!</v>
      </c>
      <c r="F807" s="62">
        <f ca="1" xml:space="preserve"> SUM(F792:F806)</f>
        <v>0</v>
      </c>
      <c r="G807" s="1041" t="str">
        <f xml:space="preserve"> Translate!E$444</f>
        <v>Check</v>
      </c>
      <c r="H807" s="1041"/>
      <c r="I807" s="1054"/>
      <c r="J807" s="1054"/>
      <c r="K807" s="1054"/>
      <c r="L807" s="1054"/>
      <c r="M807" s="1054"/>
      <c r="N807" s="1054"/>
      <c r="O807" s="1054"/>
      <c r="P807" s="1054"/>
      <c r="Q807" s="1054"/>
      <c r="R807" s="1054"/>
      <c r="S807" s="1054"/>
      <c r="T807" s="1054"/>
      <c r="U807" s="1054"/>
      <c r="V807" s="1054"/>
      <c r="W807" s="1054"/>
      <c r="X807" s="1054"/>
      <c r="Y807" s="1054"/>
      <c r="Z807" s="1054"/>
      <c r="AA807" s="1054"/>
      <c r="AB807" s="1054"/>
      <c r="AC807" s="1054"/>
      <c r="AD807" s="1054"/>
      <c r="AE807" s="1054"/>
      <c r="AF807" s="1054"/>
      <c r="AG807" s="1054"/>
      <c r="AH807" s="1054"/>
      <c r="AI807" s="1054"/>
      <c r="AJ807" s="1054"/>
      <c r="AK807" s="1054"/>
      <c r="AL807" s="1054"/>
      <c r="AM807" s="1054"/>
      <c r="AN807" s="1054"/>
      <c r="AO807" s="1054"/>
      <c r="AP807" s="1054"/>
      <c r="AQ807" s="1054"/>
      <c r="AR807" s="1054"/>
      <c r="AS807" s="1054"/>
      <c r="AT807" s="1054"/>
      <c r="AU807" s="1054"/>
      <c r="AV807" s="1054"/>
      <c r="AW807" s="1054"/>
      <c r="AX807" s="1054"/>
    </row>
  </sheetData>
  <conditionalFormatting sqref="F115 F794:F805">
    <cfRule type="cellIs" dxfId="259" priority="259" stopIfTrue="1" operator="notEqual">
      <formula>0</formula>
    </cfRule>
    <cfRule type="cellIs" dxfId="258" priority="260" stopIfTrue="1" operator="equal">
      <formula>""</formula>
    </cfRule>
  </conditionalFormatting>
  <conditionalFormatting sqref="F313">
    <cfRule type="cellIs" dxfId="257" priority="253" stopIfTrue="1" operator="notEqual">
      <formula>0</formula>
    </cfRule>
    <cfRule type="cellIs" dxfId="256" priority="254" stopIfTrue="1" operator="equal">
      <formula>""</formula>
    </cfRule>
  </conditionalFormatting>
  <conditionalFormatting sqref="F337">
    <cfRule type="cellIs" dxfId="255" priority="251" stopIfTrue="1" operator="notEqual">
      <formula>0</formula>
    </cfRule>
    <cfRule type="cellIs" dxfId="254" priority="252" stopIfTrue="1" operator="equal">
      <formula>""</formula>
    </cfRule>
  </conditionalFormatting>
  <conditionalFormatting sqref="F348">
    <cfRule type="cellIs" dxfId="253" priority="249" stopIfTrue="1" operator="notEqual">
      <formula>0</formula>
    </cfRule>
    <cfRule type="cellIs" dxfId="252" priority="250" stopIfTrue="1" operator="equal">
      <formula>""</formula>
    </cfRule>
  </conditionalFormatting>
  <conditionalFormatting sqref="F401">
    <cfRule type="cellIs" dxfId="251" priority="231" stopIfTrue="1" operator="notEqual">
      <formula>0</formula>
    </cfRule>
    <cfRule type="cellIs" dxfId="250" priority="232" stopIfTrue="1" operator="equal">
      <formula>""</formula>
    </cfRule>
  </conditionalFormatting>
  <conditionalFormatting sqref="F438">
    <cfRule type="cellIs" dxfId="249" priority="229" stopIfTrue="1" operator="notEqual">
      <formula>0</formula>
    </cfRule>
    <cfRule type="cellIs" dxfId="248" priority="230" stopIfTrue="1" operator="equal">
      <formula>""</formula>
    </cfRule>
  </conditionalFormatting>
  <conditionalFormatting sqref="K789:AX789">
    <cfRule type="cellIs" dxfId="247" priority="223" stopIfTrue="1" operator="notEqual">
      <formula>0</formula>
    </cfRule>
    <cfRule type="cellIs" dxfId="246" priority="224" stopIfTrue="1" operator="equal">
      <formula>""</formula>
    </cfRule>
  </conditionalFormatting>
  <conditionalFormatting sqref="F789">
    <cfRule type="cellIs" dxfId="245" priority="221" stopIfTrue="1" operator="notEqual">
      <formula>0</formula>
    </cfRule>
    <cfRule type="cellIs" dxfId="244" priority="222" stopIfTrue="1" operator="equal">
      <formula>""</formula>
    </cfRule>
  </conditionalFormatting>
  <conditionalFormatting sqref="F774">
    <cfRule type="cellIs" dxfId="243" priority="215" stopIfTrue="1" operator="notEqual">
      <formula>0</formula>
    </cfRule>
    <cfRule type="cellIs" dxfId="242" priority="216" stopIfTrue="1" operator="equal">
      <formula>""</formula>
    </cfRule>
  </conditionalFormatting>
  <conditionalFormatting sqref="F807">
    <cfRule type="cellIs" dxfId="241" priority="169" stopIfTrue="1" operator="notEqual">
      <formula>0</formula>
    </cfRule>
    <cfRule type="cellIs" dxfId="240" priority="170" stopIfTrue="1" operator="equal">
      <formula>""</formula>
    </cfRule>
  </conditionalFormatting>
  <conditionalFormatting sqref="F3">
    <cfRule type="cellIs" dxfId="239" priority="163" stopIfTrue="1" operator="notEqual">
      <formula>0</formula>
    </cfRule>
    <cfRule type="cellIs" dxfId="238" priority="164" stopIfTrue="1" operator="equal">
      <formula>""</formula>
    </cfRule>
  </conditionalFormatting>
  <conditionalFormatting sqref="F3">
    <cfRule type="cellIs" dxfId="237" priority="161" stopIfTrue="1" operator="notEqual">
      <formula>0</formula>
    </cfRule>
    <cfRule type="cellIs" dxfId="236" priority="162" stopIfTrue="1" operator="equal">
      <formula>""</formula>
    </cfRule>
  </conditionalFormatting>
  <conditionalFormatting sqref="F505">
    <cfRule type="cellIs" dxfId="235" priority="159" stopIfTrue="1" operator="notEqual">
      <formula>0</formula>
    </cfRule>
    <cfRule type="cellIs" dxfId="234" priority="160" stopIfTrue="1" operator="equal">
      <formula>""</formula>
    </cfRule>
  </conditionalFormatting>
  <conditionalFormatting sqref="F681">
    <cfRule type="cellIs" dxfId="233" priority="157" stopIfTrue="1" operator="notEqual">
      <formula>0</formula>
    </cfRule>
    <cfRule type="cellIs" dxfId="232" priority="158" stopIfTrue="1" operator="equal">
      <formula>""</formula>
    </cfRule>
  </conditionalFormatting>
  <conditionalFormatting sqref="F681">
    <cfRule type="cellIs" dxfId="231" priority="155" stopIfTrue="1" operator="notEqual">
      <formula>0</formula>
    </cfRule>
    <cfRule type="cellIs" dxfId="230" priority="156" stopIfTrue="1" operator="equal">
      <formula>""</formula>
    </cfRule>
  </conditionalFormatting>
  <conditionalFormatting sqref="K3">
    <cfRule type="cellIs" dxfId="229" priority="149" stopIfTrue="1" operator="notEqual">
      <formula>0</formula>
    </cfRule>
    <cfRule type="cellIs" dxfId="228" priority="150" stopIfTrue="1" operator="equal">
      <formula>""</formula>
    </cfRule>
  </conditionalFormatting>
  <conditionalFormatting sqref="K505:AX505">
    <cfRule type="cellIs" dxfId="227" priority="147" stopIfTrue="1" operator="notEqual">
      <formula>0</formula>
    </cfRule>
    <cfRule type="cellIs" dxfId="226" priority="148" stopIfTrue="1" operator="equal">
      <formula>""</formula>
    </cfRule>
  </conditionalFormatting>
  <conditionalFormatting sqref="I17 I52">
    <cfRule type="cellIs" dxfId="225" priority="134" stopIfTrue="1" operator="greaterThan">
      <formula>0</formula>
    </cfRule>
    <cfRule type="expression" dxfId="224" priority="135" stopIfTrue="1">
      <formula>AND(OR(G17="option",G17="switch",G17="selected"),I17="")</formula>
    </cfRule>
    <cfRule type="expression" priority="136" stopIfTrue="1">
      <formula>ISBLANK(I17)</formula>
    </cfRule>
    <cfRule type="cellIs" dxfId="223" priority="137" stopIfTrue="1" operator="equal">
      <formula>0</formula>
    </cfRule>
  </conditionalFormatting>
  <conditionalFormatting sqref="I23">
    <cfRule type="cellIs" dxfId="222" priority="130" stopIfTrue="1" operator="greaterThan">
      <formula>0</formula>
    </cfRule>
    <cfRule type="expression" dxfId="221" priority="131" stopIfTrue="1">
      <formula>AND(OR(G23="option",G23="switch",G23="selected"),I23="")</formula>
    </cfRule>
    <cfRule type="expression" priority="132" stopIfTrue="1">
      <formula>ISBLANK(I23)</formula>
    </cfRule>
    <cfRule type="cellIs" dxfId="220" priority="133" stopIfTrue="1" operator="equal">
      <formula>0</formula>
    </cfRule>
  </conditionalFormatting>
  <conditionalFormatting sqref="I22">
    <cfRule type="cellIs" dxfId="219" priority="125" stopIfTrue="1" operator="greaterThan">
      <formula>0</formula>
    </cfRule>
    <cfRule type="expression" dxfId="218" priority="126" stopIfTrue="1">
      <formula>AND(OR(G22="option",G22="switch",G22="selected"),I22="")</formula>
    </cfRule>
    <cfRule type="expression" priority="127" stopIfTrue="1">
      <formula>ISBLANK(I22)</formula>
    </cfRule>
    <cfRule type="cellIs" dxfId="217" priority="128" stopIfTrue="1" operator="equal">
      <formula>0</formula>
    </cfRule>
  </conditionalFormatting>
  <conditionalFormatting sqref="K66:M66 P66:AX66">
    <cfRule type="expression" dxfId="216" priority="112">
      <formula>IF(K18&lt;&gt;"",ISERROR(MATCH(K18,$F$542:$F$544,0)), FALSE)</formula>
    </cfRule>
  </conditionalFormatting>
  <conditionalFormatting sqref="I24">
    <cfRule type="cellIs" dxfId="215" priority="108" stopIfTrue="1" operator="greaterThan">
      <formula>0</formula>
    </cfRule>
    <cfRule type="expression" dxfId="214" priority="109" stopIfTrue="1">
      <formula>AND(OR(G24="option",G24="switch",G24="selected"),I24="")</formula>
    </cfRule>
    <cfRule type="expression" priority="110" stopIfTrue="1">
      <formula>ISBLANK(I24)</formula>
    </cfRule>
    <cfRule type="cellIs" dxfId="213" priority="111" stopIfTrue="1" operator="equal">
      <formula>0</formula>
    </cfRule>
  </conditionalFormatting>
  <conditionalFormatting sqref="I33">
    <cfRule type="cellIs" dxfId="212" priority="104" stopIfTrue="1" operator="greaterThan">
      <formula>0</formula>
    </cfRule>
    <cfRule type="expression" dxfId="211" priority="105" stopIfTrue="1">
      <formula>AND(OR(G33="option",G33="switch",G33="selected"),I33="")</formula>
    </cfRule>
    <cfRule type="expression" priority="106" stopIfTrue="1">
      <formula>ISBLANK(I33)</formula>
    </cfRule>
    <cfRule type="cellIs" dxfId="210" priority="107" stopIfTrue="1" operator="equal">
      <formula>0</formula>
    </cfRule>
  </conditionalFormatting>
  <conditionalFormatting sqref="I34">
    <cfRule type="cellIs" dxfId="209" priority="100" stopIfTrue="1" operator="greaterThan">
      <formula>0</formula>
    </cfRule>
    <cfRule type="expression" dxfId="208" priority="101" stopIfTrue="1">
      <formula>AND(OR(G34="option",G34="switch",G34="selected"),I34="")</formula>
    </cfRule>
    <cfRule type="expression" priority="102" stopIfTrue="1">
      <formula>ISBLANK(I34)</formula>
    </cfRule>
    <cfRule type="cellIs" dxfId="207" priority="103" stopIfTrue="1" operator="equal">
      <formula>0</formula>
    </cfRule>
  </conditionalFormatting>
  <conditionalFormatting sqref="I36">
    <cfRule type="cellIs" dxfId="206" priority="96" stopIfTrue="1" operator="equal">
      <formula>0</formula>
    </cfRule>
    <cfRule type="cellIs" dxfId="205" priority="97" stopIfTrue="1" operator="greaterThan">
      <formula>0</formula>
    </cfRule>
    <cfRule type="expression" dxfId="204" priority="98" stopIfTrue="1">
      <formula>AND(OR(G36="option",G36="switch",G36="selected"),I36="")</formula>
    </cfRule>
    <cfRule type="expression" priority="99" stopIfTrue="1">
      <formula>ISBLANK(I36)</formula>
    </cfRule>
  </conditionalFormatting>
  <conditionalFormatting sqref="I40">
    <cfRule type="cellIs" dxfId="203" priority="92" stopIfTrue="1" operator="greaterThan">
      <formula>0</formula>
    </cfRule>
    <cfRule type="expression" dxfId="202" priority="93" stopIfTrue="1">
      <formula>AND(OR(G40="option",G40="switch",G40="selected"),I40="")</formula>
    </cfRule>
    <cfRule type="expression" priority="94" stopIfTrue="1">
      <formula>ISBLANK(I40)</formula>
    </cfRule>
    <cfRule type="cellIs" dxfId="201" priority="95" stopIfTrue="1" operator="equal">
      <formula>0</formula>
    </cfRule>
  </conditionalFormatting>
  <conditionalFormatting sqref="I41">
    <cfRule type="cellIs" dxfId="200" priority="88" stopIfTrue="1" operator="greaterThan">
      <formula>0</formula>
    </cfRule>
    <cfRule type="expression" dxfId="199" priority="89" stopIfTrue="1">
      <formula>AND(OR(G41="option",G41="switch",G41="selected"),I41="")</formula>
    </cfRule>
    <cfRule type="expression" priority="90" stopIfTrue="1">
      <formula>ISBLANK(I41)</formula>
    </cfRule>
    <cfRule type="cellIs" dxfId="198" priority="91" stopIfTrue="1" operator="equal">
      <formula>0</formula>
    </cfRule>
  </conditionalFormatting>
  <conditionalFormatting sqref="I45">
    <cfRule type="cellIs" dxfId="197" priority="84" stopIfTrue="1" operator="greaterThan">
      <formula>0</formula>
    </cfRule>
    <cfRule type="expression" dxfId="196" priority="85" stopIfTrue="1">
      <formula>AND(OR(G45="option",G45="switch",G45="selected"),I45="")</formula>
    </cfRule>
    <cfRule type="expression" priority="86" stopIfTrue="1">
      <formula>ISBLANK(I45)</formula>
    </cfRule>
    <cfRule type="cellIs" dxfId="195" priority="87" stopIfTrue="1" operator="equal">
      <formula>0</formula>
    </cfRule>
  </conditionalFormatting>
  <conditionalFormatting sqref="I66">
    <cfRule type="cellIs" dxfId="194" priority="76" stopIfTrue="1" operator="greaterThan">
      <formula>0</formula>
    </cfRule>
    <cfRule type="expression" dxfId="193" priority="77" stopIfTrue="1">
      <formula>AND(OR(G66="option",G66="switch",G66="selected"),I66="")</formula>
    </cfRule>
    <cfRule type="expression" priority="78" stopIfTrue="1">
      <formula>ISBLANK(I66)</formula>
    </cfRule>
    <cfRule type="cellIs" dxfId="192" priority="79" stopIfTrue="1" operator="equal">
      <formula>0</formula>
    </cfRule>
  </conditionalFormatting>
  <conditionalFormatting sqref="F7">
    <cfRule type="cellIs" dxfId="191" priority="74" stopIfTrue="1" operator="notEqual">
      <formula>0</formula>
    </cfRule>
    <cfRule type="cellIs" dxfId="190" priority="75" stopIfTrue="1" operator="equal">
      <formula>""</formula>
    </cfRule>
  </conditionalFormatting>
  <conditionalFormatting sqref="I28">
    <cfRule type="cellIs" dxfId="189" priority="70" stopIfTrue="1" operator="greaterThan">
      <formula>0</formula>
    </cfRule>
    <cfRule type="expression" dxfId="188" priority="71" stopIfTrue="1">
      <formula>AND(OR(G28="option",G28="switch",G28="selected"),I28="")</formula>
    </cfRule>
    <cfRule type="expression" priority="72" stopIfTrue="1">
      <formula>ISBLANK(I28)</formula>
    </cfRule>
    <cfRule type="cellIs" dxfId="187" priority="73" stopIfTrue="1" operator="equal">
      <formula>0</formula>
    </cfRule>
  </conditionalFormatting>
  <conditionalFormatting sqref="I29">
    <cfRule type="cellIs" dxfId="186" priority="66" stopIfTrue="1" operator="greaterThan">
      <formula>0</formula>
    </cfRule>
    <cfRule type="expression" dxfId="185" priority="67" stopIfTrue="1">
      <formula>AND(OR(G29="option",G29="switch",G29="selected"),I29="")</formula>
    </cfRule>
    <cfRule type="expression" priority="68" stopIfTrue="1">
      <formula>ISBLANK(I29)</formula>
    </cfRule>
    <cfRule type="cellIs" dxfId="184" priority="69" stopIfTrue="1" operator="equal">
      <formula>0</formula>
    </cfRule>
  </conditionalFormatting>
  <conditionalFormatting sqref="K23:P23 R23:AX23">
    <cfRule type="expression" dxfId="183" priority="123">
      <formula>IF(K23&lt;&gt;"",ISERROR(MATCH(K23,$F$145:$F$146,0)), FALSE)</formula>
    </cfRule>
  </conditionalFormatting>
  <conditionalFormatting sqref="K40:P40 R40:AX40">
    <cfRule type="expression" dxfId="182" priority="116">
      <formula>IF(K40&lt;&gt;"",ISERROR(MATCH(K40,$F$357:$F$358,0)), FALSE)</formula>
    </cfRule>
  </conditionalFormatting>
  <conditionalFormatting sqref="K41:P41 R41:AX41">
    <cfRule type="expression" dxfId="181" priority="115">
      <formula>IF(K41&lt;&gt;"",ISERROR(MATCH(K41,$F$390:$F$391,0)), FALSE)</formula>
    </cfRule>
  </conditionalFormatting>
  <conditionalFormatting sqref="K28:M28 P28 R28:AX28">
    <cfRule type="expression" dxfId="180" priority="65">
      <formula>IF(K28&lt;&gt;"",ISERROR(MATCH(K28,$F$198:$F$199,0)), FALSE)</formula>
    </cfRule>
  </conditionalFormatting>
  <conditionalFormatting sqref="K29:P29 R29:AX29">
    <cfRule type="expression" dxfId="179" priority="64">
      <formula>IF(K29&lt;&gt;"",ISERROR(MATCH(K29,$F$237:$F$238,0)), FALSE)</formula>
    </cfRule>
  </conditionalFormatting>
  <conditionalFormatting sqref="N66">
    <cfRule type="expression" dxfId="178" priority="52">
      <formula>IF(N18&lt;&gt;"",ISERROR(MATCH(N18,$F$542:$F$544,0)), FALSE)</formula>
    </cfRule>
  </conditionalFormatting>
  <conditionalFormatting sqref="N23">
    <cfRule type="expression" dxfId="177" priority="61">
      <formula>IF(N23&lt;&gt;"",ISERROR(MATCH(N23,$F$145:$F$146,0)), FALSE)</formula>
    </cfRule>
  </conditionalFormatting>
  <conditionalFormatting sqref="N40">
    <cfRule type="expression" dxfId="176" priority="56">
      <formula>IF(N40&lt;&gt;"",ISERROR(MATCH(N40,$F$357:$F$358,0)), FALSE)</formula>
    </cfRule>
  </conditionalFormatting>
  <conditionalFormatting sqref="N41">
    <cfRule type="expression" dxfId="175" priority="55">
      <formula>IF(N41&lt;&gt;"",ISERROR(MATCH(N41,$F$390:$F$391,0)), FALSE)</formula>
    </cfRule>
  </conditionalFormatting>
  <conditionalFormatting sqref="N28">
    <cfRule type="expression" dxfId="174" priority="51">
      <formula>IF(N28&lt;&gt;"",ISERROR(MATCH(N28,$F$198:$F$199,0)), FALSE)</formula>
    </cfRule>
  </conditionalFormatting>
  <conditionalFormatting sqref="N29">
    <cfRule type="expression" dxfId="173" priority="50">
      <formula>IF(N29&lt;&gt;"",ISERROR(MATCH(N29,$F$237:$F$238,0)), FALSE)</formula>
    </cfRule>
  </conditionalFormatting>
  <conditionalFormatting sqref="O66">
    <cfRule type="expression" dxfId="172" priority="38">
      <formula>IF(O18&lt;&gt;"",ISERROR(MATCH(O18,$F$542:$F$544,0)), FALSE)</formula>
    </cfRule>
  </conditionalFormatting>
  <conditionalFormatting sqref="O23">
    <cfRule type="expression" dxfId="171" priority="47">
      <formula>IF(O23&lt;&gt;"",ISERROR(MATCH(O23,$F$145:$F$146,0)), FALSE)</formula>
    </cfRule>
  </conditionalFormatting>
  <conditionalFormatting sqref="O40">
    <cfRule type="expression" dxfId="170" priority="42">
      <formula>IF(O40&lt;&gt;"",ISERROR(MATCH(O40,$F$357:$F$358,0)), FALSE)</formula>
    </cfRule>
  </conditionalFormatting>
  <conditionalFormatting sqref="O41">
    <cfRule type="expression" dxfId="169" priority="41">
      <formula>IF(O41&lt;&gt;"",ISERROR(MATCH(O41,$F$390:$F$391,0)), FALSE)</formula>
    </cfRule>
  </conditionalFormatting>
  <conditionalFormatting sqref="O28">
    <cfRule type="expression" dxfId="168" priority="37">
      <formula>IF(O28&lt;&gt;"",ISERROR(MATCH(O28,$F$198:$F$199,0)), FALSE)</formula>
    </cfRule>
  </conditionalFormatting>
  <conditionalFormatting sqref="O29">
    <cfRule type="expression" dxfId="167" priority="36">
      <formula>IF(O29&lt;&gt;"",ISERROR(MATCH(O29,$F$237:$F$238,0)), FALSE)</formula>
    </cfRule>
  </conditionalFormatting>
  <conditionalFormatting sqref="Q41">
    <cfRule type="expression" dxfId="166" priority="21">
      <formula>IF(Q41&lt;&gt;"",ISERROR(MATCH(Q41,$F$390:$F$391,0)), FALSE)</formula>
    </cfRule>
  </conditionalFormatting>
  <conditionalFormatting sqref="Q41">
    <cfRule type="expression" dxfId="165" priority="20">
      <formula>IF(Q41&lt;&gt;"",ISERROR(MATCH(Q41,$F$390:$F$391,0)), FALSE)</formula>
    </cfRule>
  </conditionalFormatting>
  <conditionalFormatting sqref="Q40">
    <cfRule type="expression" dxfId="164" priority="19">
      <formula>IF(Q40&lt;&gt;"",ISERROR(MATCH(Q40,$F$357:$F$358,0)), FALSE)</formula>
    </cfRule>
  </conditionalFormatting>
  <conditionalFormatting sqref="Q40">
    <cfRule type="expression" dxfId="163" priority="18">
      <formula>IF(Q40&lt;&gt;"",ISERROR(MATCH(Q40,$F$357:$F$358,0)), FALSE)</formula>
    </cfRule>
  </conditionalFormatting>
  <conditionalFormatting sqref="Q28">
    <cfRule type="expression" dxfId="162" priority="17">
      <formula>IF(Q28&lt;&gt;"",ISERROR(MATCH(Q28,$F$198:$F$199,0)), FALSE)</formula>
    </cfRule>
  </conditionalFormatting>
  <conditionalFormatting sqref="Q29">
    <cfRule type="expression" dxfId="161" priority="16">
      <formula>IF(Q29&lt;&gt;"",ISERROR(MATCH(Q29,$F$237:$F$238,0)), FALSE)</formula>
    </cfRule>
  </conditionalFormatting>
  <conditionalFormatting sqref="Q29">
    <cfRule type="expression" dxfId="160" priority="15">
      <formula>IF(Q29&lt;&gt;"",ISERROR(MATCH(Q29,$F$237:$F$238,0)), FALSE)</formula>
    </cfRule>
  </conditionalFormatting>
  <conditionalFormatting sqref="Q23">
    <cfRule type="expression" dxfId="159" priority="14">
      <formula>IF(Q23&lt;&gt;"",ISERROR(MATCH(Q23,$F$145:$F$146,0)), FALSE)</formula>
    </cfRule>
  </conditionalFormatting>
  <conditionalFormatting sqref="Q23">
    <cfRule type="expression" dxfId="158" priority="13">
      <formula>IF(Q23&lt;&gt;"",ISERROR(MATCH(Q23,$F$145:$F$146,0)), FALSE)</formula>
    </cfRule>
  </conditionalFormatting>
  <conditionalFormatting sqref="F608">
    <cfRule type="cellIs" dxfId="157" priority="3" stopIfTrue="1" operator="notEqual">
      <formula>0</formula>
    </cfRule>
    <cfRule type="cellIs" dxfId="156" priority="4" stopIfTrue="1" operator="equal">
      <formula>""</formula>
    </cfRule>
  </conditionalFormatting>
  <conditionalFormatting sqref="F608">
    <cfRule type="cellIs" dxfId="155" priority="1" stopIfTrue="1" operator="notEqual">
      <formula>0</formula>
    </cfRule>
    <cfRule type="cellIs" dxfId="154" priority="2" stopIfTrue="1" operator="equal">
      <formula>""</formula>
    </cfRule>
  </conditionalFormatting>
  <dataValidations count="7">
    <dataValidation type="list" allowBlank="1" showInputMessage="1" showErrorMessage="1" sqref="K40:AX40" xr:uid="{00000000-0002-0000-0900-000006000000}">
      <formula1>$F$357:$F$358</formula1>
    </dataValidation>
    <dataValidation type="list" allowBlank="1" showInputMessage="1" showErrorMessage="1" sqref="K23:AX23" xr:uid="{00000000-0002-0000-0900-000004000000}">
      <formula1>$F$145:$F$146</formula1>
    </dataValidation>
    <dataValidation type="list" allowBlank="1" showInputMessage="1" showErrorMessage="1" sqref="K41:X41" xr:uid="{00000000-0002-0000-0900-000005000000}">
      <formula1>$F$390:$F$391</formula1>
    </dataValidation>
    <dataValidation type="list" allowBlank="1" showInputMessage="1" showErrorMessage="1" sqref="K29:AX29" xr:uid="{02FE6BF1-43B5-4400-A2AB-3633C3481459}">
      <formula1>$F$237:$F$238</formula1>
    </dataValidation>
    <dataValidation type="list" allowBlank="1" showInputMessage="1" showErrorMessage="1" sqref="K28:AX28" xr:uid="{4C7F9077-1AC4-4052-BC20-AED320737000}">
      <formula1>$F$198:$F$199</formula1>
    </dataValidation>
    <dataValidation type="list" allowBlank="1" showInputMessage="1" showErrorMessage="1" sqref="K66:AX66" xr:uid="{DA97B714-5EF9-4110-9EFA-41E6FD503B61}">
      <formula1>$F$542:$F$544</formula1>
    </dataValidation>
    <dataValidation type="list" allowBlank="1" showInputMessage="1" showErrorMessage="1" sqref="Y55:AX56" xr:uid="{00000000-0002-0000-0900-000001000000}">
      <formula1>"Yes,No"</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29" id="{FEFFF0CC-52F6-4BA6-B370-530D1EBC1D86}">
            <xm:f>IF(K18&lt;&gt;"",ISERROR(MATCH(K18,Inputs!$F$81:$F$82,0)), FALSE)</xm:f>
            <x14:dxf>
              <fill>
                <patternFill>
                  <bgColor rgb="FFFF0000"/>
                </patternFill>
              </fill>
            </x14:dxf>
          </x14:cfRule>
          <xm:sqref>K17:M17 P17 R17:AX17</xm:sqref>
        </x14:conditionalFormatting>
        <x14:conditionalFormatting xmlns:xm="http://schemas.microsoft.com/office/excel/2006/main">
          <x14:cfRule type="expression" priority="124" id="{A281FFC4-42DF-463F-826F-3A68019FA6B4}">
            <xm:f>IF(K18&lt;&gt;"",ISERROR(MATCH(K18,Inputs!$F$81:$F$82,0)), FALSE)</xm:f>
            <x14:dxf>
              <fill>
                <patternFill>
                  <bgColor rgb="FFFF0000"/>
                </patternFill>
              </fill>
            </x14:dxf>
          </x14:cfRule>
          <xm:sqref>K22:M22 P22 R22:AX22</xm:sqref>
        </x14:conditionalFormatting>
        <x14:conditionalFormatting xmlns:xm="http://schemas.microsoft.com/office/excel/2006/main">
          <x14:cfRule type="expression" priority="122" id="{596644CE-5E53-4D9C-B0F3-271152176981}">
            <xm:f>IF(K24&lt;&gt;"",ISERROR(MATCH(K24,Inputs!$F$81:$F$82,0)), FALSE)</xm:f>
            <x14:dxf>
              <fill>
                <patternFill>
                  <bgColor rgb="FFFF0000"/>
                </patternFill>
              </fill>
            </x14:dxf>
          </x14:cfRule>
          <xm:sqref>K24:P24 R24:AX24</xm:sqref>
        </x14:conditionalFormatting>
        <x14:conditionalFormatting xmlns:xm="http://schemas.microsoft.com/office/excel/2006/main">
          <x14:cfRule type="expression" priority="119" id="{CB62C1BD-A37E-4118-ADFF-4488B0EB6804}">
            <xm:f>IF(K33&lt;&gt;"",ISERROR(MATCH(K33,Inputs!$F$81:$F$82,0)), FALSE)</xm:f>
            <x14:dxf>
              <fill>
                <patternFill>
                  <bgColor rgb="FFFF0000"/>
                </patternFill>
              </fill>
            </x14:dxf>
          </x14:cfRule>
          <xm:sqref>K33:P33 R33:AX33</xm:sqref>
        </x14:conditionalFormatting>
        <x14:conditionalFormatting xmlns:xm="http://schemas.microsoft.com/office/excel/2006/main">
          <x14:cfRule type="expression" priority="118" id="{94812BE4-8FB2-4877-87D0-0721CBB6B592}">
            <xm:f>IF(K34&lt;&gt;"",ISERROR(MATCH(K34,Inputs!$F$81:$F$82,0)), FALSE)</xm:f>
            <x14:dxf>
              <fill>
                <patternFill>
                  <bgColor rgb="FFFF0000"/>
                </patternFill>
              </fill>
            </x14:dxf>
          </x14:cfRule>
          <xm:sqref>K34:P34 R34:AX34</xm:sqref>
        </x14:conditionalFormatting>
        <x14:conditionalFormatting xmlns:xm="http://schemas.microsoft.com/office/excel/2006/main">
          <x14:cfRule type="expression" priority="117" id="{B9BBE7D3-89E4-48EC-B0E4-3B4D79487F35}">
            <xm:f>IF(K36&lt;&gt;"",ISERROR(MATCH(K36,Inputs!$F$81:$F$82,0)), FALSE)</xm:f>
            <x14:dxf>
              <fill>
                <patternFill>
                  <bgColor rgb="FFFF0000"/>
                </patternFill>
              </fill>
            </x14:dxf>
          </x14:cfRule>
          <xm:sqref>K36:P36 R36:AX36</xm:sqref>
        </x14:conditionalFormatting>
        <x14:conditionalFormatting xmlns:xm="http://schemas.microsoft.com/office/excel/2006/main">
          <x14:cfRule type="expression" priority="114" id="{1DDF7DE2-3F9F-459D-8D40-65EE2D72C759}">
            <xm:f>IF(K45&lt;&gt;"",ISERROR(MATCH(K45,Inputs!$F$81:$F$82,0)), FALSE)</xm:f>
            <x14:dxf>
              <fill>
                <patternFill>
                  <bgColor rgb="FFFF0000"/>
                </patternFill>
              </fill>
            </x14:dxf>
          </x14:cfRule>
          <xm:sqref>K45:M45 P45:AX45</xm:sqref>
        </x14:conditionalFormatting>
        <x14:conditionalFormatting xmlns:xm="http://schemas.microsoft.com/office/excel/2006/main">
          <x14:cfRule type="expression" priority="113" id="{6FA4A94E-6698-4A59-9998-BCB324FED82A}">
            <xm:f>IF(K52&lt;&gt;"",ISERROR(MATCH(K52,Inputs!$F$81:$F$82,0)), FALSE)</xm:f>
            <x14:dxf>
              <fill>
                <patternFill>
                  <bgColor rgb="FFFF0000"/>
                </patternFill>
              </fill>
            </x14:dxf>
          </x14:cfRule>
          <xm:sqref>K52:M52 P52:AX52</xm:sqref>
        </x14:conditionalFormatting>
        <x14:conditionalFormatting xmlns:xm="http://schemas.microsoft.com/office/excel/2006/main">
          <x14:cfRule type="expression" priority="63" id="{D7B0DA0C-D4B4-47C7-A4F7-2FC6A31DC2BB}">
            <xm:f>IF(N18&lt;&gt;"",ISERROR(MATCH(N18,Inputs!$F$81:$F$82,0)), FALSE)</xm:f>
            <x14:dxf>
              <fill>
                <patternFill>
                  <bgColor rgb="FFFF0000"/>
                </patternFill>
              </fill>
            </x14:dxf>
          </x14:cfRule>
          <xm:sqref>N17</xm:sqref>
        </x14:conditionalFormatting>
        <x14:conditionalFormatting xmlns:xm="http://schemas.microsoft.com/office/excel/2006/main">
          <x14:cfRule type="expression" priority="62" id="{2DA85E49-F907-480F-A285-2A86DF974E04}">
            <xm:f>IF(N18&lt;&gt;"",ISERROR(MATCH(N18,Inputs!$F$81:$F$82,0)), FALSE)</xm:f>
            <x14:dxf>
              <fill>
                <patternFill>
                  <bgColor rgb="FFFF0000"/>
                </patternFill>
              </fill>
            </x14:dxf>
          </x14:cfRule>
          <xm:sqref>N22</xm:sqref>
        </x14:conditionalFormatting>
        <x14:conditionalFormatting xmlns:xm="http://schemas.microsoft.com/office/excel/2006/main">
          <x14:cfRule type="expression" priority="60" id="{E1D95EAA-CD93-4728-83E8-DA9ED6C316E1}">
            <xm:f>IF(N24&lt;&gt;"",ISERROR(MATCH(N24,Inputs!$F$81:$F$82,0)), FALSE)</xm:f>
            <x14:dxf>
              <fill>
                <patternFill>
                  <bgColor rgb="FFFF0000"/>
                </patternFill>
              </fill>
            </x14:dxf>
          </x14:cfRule>
          <xm:sqref>N24</xm:sqref>
        </x14:conditionalFormatting>
        <x14:conditionalFormatting xmlns:xm="http://schemas.microsoft.com/office/excel/2006/main">
          <x14:cfRule type="expression" priority="59" id="{EF010B56-6CBA-4178-914D-5380F981AF81}">
            <xm:f>IF(N33&lt;&gt;"",ISERROR(MATCH(N33,Inputs!$F$81:$F$82,0)), FALSE)</xm:f>
            <x14:dxf>
              <fill>
                <patternFill>
                  <bgColor rgb="FFFF0000"/>
                </patternFill>
              </fill>
            </x14:dxf>
          </x14:cfRule>
          <xm:sqref>N33</xm:sqref>
        </x14:conditionalFormatting>
        <x14:conditionalFormatting xmlns:xm="http://schemas.microsoft.com/office/excel/2006/main">
          <x14:cfRule type="expression" priority="58" id="{F1D91CCE-AD3F-4A42-8266-2AFED4135C38}">
            <xm:f>IF(N34&lt;&gt;"",ISERROR(MATCH(N34,Inputs!$F$81:$F$82,0)), FALSE)</xm:f>
            <x14:dxf>
              <fill>
                <patternFill>
                  <bgColor rgb="FFFF0000"/>
                </patternFill>
              </fill>
            </x14:dxf>
          </x14:cfRule>
          <xm:sqref>N34</xm:sqref>
        </x14:conditionalFormatting>
        <x14:conditionalFormatting xmlns:xm="http://schemas.microsoft.com/office/excel/2006/main">
          <x14:cfRule type="expression" priority="57" id="{245AF6E5-6D70-4892-8BBE-95E3D488BD01}">
            <xm:f>IF(N36&lt;&gt;"",ISERROR(MATCH(N36,Inputs!$F$81:$F$82,0)), FALSE)</xm:f>
            <x14:dxf>
              <fill>
                <patternFill>
                  <bgColor rgb="FFFF0000"/>
                </patternFill>
              </fill>
            </x14:dxf>
          </x14:cfRule>
          <xm:sqref>N36</xm:sqref>
        </x14:conditionalFormatting>
        <x14:conditionalFormatting xmlns:xm="http://schemas.microsoft.com/office/excel/2006/main">
          <x14:cfRule type="expression" priority="54" id="{F63DE406-F97C-41FF-88E3-B75F4CFAF80D}">
            <xm:f>IF(N45&lt;&gt;"",ISERROR(MATCH(N45,Inputs!$F$81:$F$82,0)), FALSE)</xm:f>
            <x14:dxf>
              <fill>
                <patternFill>
                  <bgColor rgb="FFFF0000"/>
                </patternFill>
              </fill>
            </x14:dxf>
          </x14:cfRule>
          <xm:sqref>N45</xm:sqref>
        </x14:conditionalFormatting>
        <x14:conditionalFormatting xmlns:xm="http://schemas.microsoft.com/office/excel/2006/main">
          <x14:cfRule type="expression" priority="53" id="{1590049E-77A0-491F-AEDF-6C7AF42D1A17}">
            <xm:f>IF(N52&lt;&gt;"",ISERROR(MATCH(N52,Inputs!$F$81:$F$82,0)), FALSE)</xm:f>
            <x14:dxf>
              <fill>
                <patternFill>
                  <bgColor rgb="FFFF0000"/>
                </patternFill>
              </fill>
            </x14:dxf>
          </x14:cfRule>
          <xm:sqref>N52</xm:sqref>
        </x14:conditionalFormatting>
        <x14:conditionalFormatting xmlns:xm="http://schemas.microsoft.com/office/excel/2006/main">
          <x14:cfRule type="expression" priority="49" id="{5316282E-34CE-41A8-95F1-187546EE799B}">
            <xm:f>IF(O18&lt;&gt;"",ISERROR(MATCH(O18,Inputs!$F$81:$F$82,0)), FALSE)</xm:f>
            <x14:dxf>
              <fill>
                <patternFill>
                  <bgColor rgb="FFFF0000"/>
                </patternFill>
              </fill>
            </x14:dxf>
          </x14:cfRule>
          <xm:sqref>O17</xm:sqref>
        </x14:conditionalFormatting>
        <x14:conditionalFormatting xmlns:xm="http://schemas.microsoft.com/office/excel/2006/main">
          <x14:cfRule type="expression" priority="48" id="{792ED046-AE62-4A9F-902E-D09998AE995E}">
            <xm:f>IF(O18&lt;&gt;"",ISERROR(MATCH(O18,Inputs!$F$81:$F$82,0)), FALSE)</xm:f>
            <x14:dxf>
              <fill>
                <patternFill>
                  <bgColor rgb="FFFF0000"/>
                </patternFill>
              </fill>
            </x14:dxf>
          </x14:cfRule>
          <xm:sqref>O22</xm:sqref>
        </x14:conditionalFormatting>
        <x14:conditionalFormatting xmlns:xm="http://schemas.microsoft.com/office/excel/2006/main">
          <x14:cfRule type="expression" priority="46" id="{B4886C1E-0AB1-4F1A-A450-2BFA688729B6}">
            <xm:f>IF(O24&lt;&gt;"",ISERROR(MATCH(O24,Inputs!$F$81:$F$82,0)), FALSE)</xm:f>
            <x14:dxf>
              <fill>
                <patternFill>
                  <bgColor rgb="FFFF0000"/>
                </patternFill>
              </fill>
            </x14:dxf>
          </x14:cfRule>
          <xm:sqref>O24</xm:sqref>
        </x14:conditionalFormatting>
        <x14:conditionalFormatting xmlns:xm="http://schemas.microsoft.com/office/excel/2006/main">
          <x14:cfRule type="expression" priority="45" id="{1D2AC4F2-17D3-4397-82E5-C133AAC91C61}">
            <xm:f>IF(O33&lt;&gt;"",ISERROR(MATCH(O33,Inputs!$F$81:$F$82,0)), FALSE)</xm:f>
            <x14:dxf>
              <fill>
                <patternFill>
                  <bgColor rgb="FFFF0000"/>
                </patternFill>
              </fill>
            </x14:dxf>
          </x14:cfRule>
          <xm:sqref>O33</xm:sqref>
        </x14:conditionalFormatting>
        <x14:conditionalFormatting xmlns:xm="http://schemas.microsoft.com/office/excel/2006/main">
          <x14:cfRule type="expression" priority="44" id="{B5785B5B-9C87-47AA-A453-B0A764FF2124}">
            <xm:f>IF(O34&lt;&gt;"",ISERROR(MATCH(O34,Inputs!$F$81:$F$82,0)), FALSE)</xm:f>
            <x14:dxf>
              <fill>
                <patternFill>
                  <bgColor rgb="FFFF0000"/>
                </patternFill>
              </fill>
            </x14:dxf>
          </x14:cfRule>
          <xm:sqref>O34</xm:sqref>
        </x14:conditionalFormatting>
        <x14:conditionalFormatting xmlns:xm="http://schemas.microsoft.com/office/excel/2006/main">
          <x14:cfRule type="expression" priority="43" id="{4DB7DB37-01EC-4B57-BB2F-806918BF297F}">
            <xm:f>IF(O36&lt;&gt;"",ISERROR(MATCH(O36,Inputs!$F$81:$F$82,0)), FALSE)</xm:f>
            <x14:dxf>
              <fill>
                <patternFill>
                  <bgColor rgb="FFFF0000"/>
                </patternFill>
              </fill>
            </x14:dxf>
          </x14:cfRule>
          <xm:sqref>O36</xm:sqref>
        </x14:conditionalFormatting>
        <x14:conditionalFormatting xmlns:xm="http://schemas.microsoft.com/office/excel/2006/main">
          <x14:cfRule type="expression" priority="40" id="{ABB69818-2173-47A2-AB1C-6F5E2CF0A2B8}">
            <xm:f>IF(O45&lt;&gt;"",ISERROR(MATCH(O45,Inputs!$F$81:$F$82,0)), FALSE)</xm:f>
            <x14:dxf>
              <fill>
                <patternFill>
                  <bgColor rgb="FFFF0000"/>
                </patternFill>
              </fill>
            </x14:dxf>
          </x14:cfRule>
          <xm:sqref>O45</xm:sqref>
        </x14:conditionalFormatting>
        <x14:conditionalFormatting xmlns:xm="http://schemas.microsoft.com/office/excel/2006/main">
          <x14:cfRule type="expression" priority="39" id="{E46ECCA5-7B5F-4857-BB55-7804C29875CE}">
            <xm:f>IF(O52&lt;&gt;"",ISERROR(MATCH(O52,Inputs!$F$81:$F$82,0)), FALSE)</xm:f>
            <x14:dxf>
              <fill>
                <patternFill>
                  <bgColor rgb="FFFF0000"/>
                </patternFill>
              </fill>
            </x14:dxf>
          </x14:cfRule>
          <xm:sqref>O52</xm:sqref>
        </x14:conditionalFormatting>
        <x14:conditionalFormatting xmlns:xm="http://schemas.microsoft.com/office/excel/2006/main">
          <x14:cfRule type="expression" priority="12" id="{EF6456F2-38D7-4500-B113-04EFDD11D8C5}">
            <xm:f>IF(Q24&lt;&gt;"",ISERROR(MATCH(Q24,Inputs!$F$81:$F$82,0)), FALSE)</xm:f>
            <x14:dxf>
              <fill>
                <patternFill>
                  <bgColor rgb="FFFF0000"/>
                </patternFill>
              </fill>
            </x14:dxf>
          </x14:cfRule>
          <xm:sqref>Q24</xm:sqref>
        </x14:conditionalFormatting>
        <x14:conditionalFormatting xmlns:xm="http://schemas.microsoft.com/office/excel/2006/main">
          <x14:cfRule type="expression" priority="11" id="{85A56299-E303-4D2A-BE80-97D00E1B0C85}">
            <xm:f>IF(Q24&lt;&gt;"",ISERROR(MATCH(Q24,Inputs!$F$81:$F$82,0)), FALSE)</xm:f>
            <x14:dxf>
              <fill>
                <patternFill>
                  <bgColor rgb="FFFF0000"/>
                </patternFill>
              </fill>
            </x14:dxf>
          </x14:cfRule>
          <xm:sqref>Q24</xm:sqref>
        </x14:conditionalFormatting>
        <x14:conditionalFormatting xmlns:xm="http://schemas.microsoft.com/office/excel/2006/main">
          <x14:cfRule type="expression" priority="10" id="{881C84C9-3F33-4F86-B44A-26C23A578340}">
            <xm:f>IF(Q36&lt;&gt;"",ISERROR(MATCH(Q36,Inputs!$F$81:$F$82,0)), FALSE)</xm:f>
            <x14:dxf>
              <fill>
                <patternFill>
                  <bgColor rgb="FFFF0000"/>
                </patternFill>
              </fill>
            </x14:dxf>
          </x14:cfRule>
          <xm:sqref>Q36</xm:sqref>
        </x14:conditionalFormatting>
        <x14:conditionalFormatting xmlns:xm="http://schemas.microsoft.com/office/excel/2006/main">
          <x14:cfRule type="expression" priority="9" id="{BF154802-E6B5-42AD-96E6-C9CFB0CA3113}">
            <xm:f>IF(Q36&lt;&gt;"",ISERROR(MATCH(Q36,Inputs!$F$81:$F$82,0)), FALSE)</xm:f>
            <x14:dxf>
              <fill>
                <patternFill>
                  <bgColor rgb="FFFF0000"/>
                </patternFill>
              </fill>
            </x14:dxf>
          </x14:cfRule>
          <xm:sqref>Q36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2000000}">
          <x14:formula1>
            <xm:f>Inputs!$F$81:$F$82</xm:f>
          </x14:formula1>
          <xm:sqref>R22:AX22 R33:AX34 R17:AX17 K52:AX52 K24:AX24 K17:P17 K33:P34 K36:AX36 K22:P22 K45:AX45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84BF1-3FB0-4A67-9275-4A5355DC7929}">
  <sheetPr codeName="Sheet21">
    <pageSetUpPr autoPageBreaks="0"/>
  </sheetPr>
  <dimension ref="A1:AX290"/>
  <sheetViews>
    <sheetView zoomScale="85" zoomScaleNormal="85" workbookViewId="0">
      <pane xSplit="10" ySplit="3" topLeftCell="K4" activePane="bottomRight" state="frozen"/>
      <selection pane="bottomRight" activeCell="E97" sqref="E97"/>
      <selection pane="bottomLeft" activeCell="H1" sqref="H1:H1048576"/>
      <selection pane="topRight" activeCell="H1" sqref="H1:H1048576"/>
    </sheetView>
  </sheetViews>
  <sheetFormatPr defaultColWidth="0" defaultRowHeight="15" outlineLevelCol="1"/>
  <cols>
    <col min="1" max="4" width="1.28515625" style="4" customWidth="1"/>
    <col min="5" max="5" width="50.7109375" style="4" customWidth="1"/>
    <col min="6" max="6" width="12.7109375" style="4" customWidth="1"/>
    <col min="7" max="7" width="20.7109375" style="4" customWidth="1"/>
    <col min="8" max="8" width="40.7109375" style="4" customWidth="1" outlineLevel="1"/>
    <col min="9" max="9" width="12.7109375" style="4" customWidth="1"/>
    <col min="10" max="10" width="3.7109375" style="4" customWidth="1"/>
    <col min="11" max="50" width="10.7109375" style="4" customWidth="1"/>
    <col min="51" max="16384" width="10.7109375" style="4" hidden="1"/>
  </cols>
  <sheetData>
    <row r="1" spans="1:50" s="275" customFormat="1" ht="15" customHeight="1">
      <c r="A1" s="299" t="e">
        <f ca="1" xml:space="preserve"> RIGHT( CELL("filename",$A$1), LEN( CELL("filename",$A$1)) - SEARCH("]", CELL("filename",$A$1)))</f>
        <v>#VALUE!</v>
      </c>
      <c r="B1" s="267"/>
      <c r="C1" s="267"/>
      <c r="D1" s="267"/>
      <c r="E1" s="267"/>
      <c r="F1" s="267"/>
      <c r="G1" s="267"/>
      <c r="H1" s="267"/>
      <c r="I1" s="267"/>
      <c r="J1" s="267"/>
      <c r="K1" s="267">
        <f xml:space="preserve"> ProjectCashflows!K$48</f>
        <v>2021</v>
      </c>
      <c r="L1" s="267">
        <f xml:space="preserve"> ProjectCashflows!L$48</f>
        <v>2022</v>
      </c>
      <c r="M1" s="267">
        <f xml:space="preserve"> ProjectCashflows!M$48</f>
        <v>2023</v>
      </c>
      <c r="N1" s="267">
        <f xml:space="preserve"> ProjectCashflows!N$48</f>
        <v>2024</v>
      </c>
      <c r="O1" s="267">
        <f xml:space="preserve"> ProjectCashflows!O$48</f>
        <v>2025</v>
      </c>
      <c r="P1" s="267">
        <f xml:space="preserve"> ProjectCashflows!P$48</f>
        <v>2026</v>
      </c>
      <c r="Q1" s="267">
        <f xml:space="preserve"> ProjectCashflows!Q$48</f>
        <v>2027</v>
      </c>
      <c r="R1" s="267">
        <f xml:space="preserve"> ProjectCashflows!R$48</f>
        <v>2028</v>
      </c>
      <c r="S1" s="267">
        <f xml:space="preserve"> ProjectCashflows!S$48</f>
        <v>2029</v>
      </c>
      <c r="T1" s="267">
        <f xml:space="preserve"> ProjectCashflows!T$48</f>
        <v>2030</v>
      </c>
      <c r="U1" s="267">
        <f xml:space="preserve"> ProjectCashflows!U$48</f>
        <v>2031</v>
      </c>
      <c r="V1" s="267">
        <f xml:space="preserve"> ProjectCashflows!V$48</f>
        <v>2032</v>
      </c>
      <c r="W1" s="267">
        <f xml:space="preserve"> ProjectCashflows!W$48</f>
        <v>2033</v>
      </c>
      <c r="X1" s="267">
        <f xml:space="preserve"> ProjectCashflows!X$48</f>
        <v>2034</v>
      </c>
      <c r="Y1" s="267">
        <f xml:space="preserve"> ProjectCashflows!Y$48</f>
        <v>2035</v>
      </c>
      <c r="Z1" s="267">
        <f xml:space="preserve"> ProjectCashflows!Z$48</f>
        <v>2036</v>
      </c>
      <c r="AA1" s="267">
        <f xml:space="preserve"> ProjectCashflows!AA$48</f>
        <v>2037</v>
      </c>
      <c r="AB1" s="267">
        <f xml:space="preserve"> ProjectCashflows!AB$48</f>
        <v>2038</v>
      </c>
      <c r="AC1" s="267">
        <f xml:space="preserve"> ProjectCashflows!AC$48</f>
        <v>2039</v>
      </c>
      <c r="AD1" s="267">
        <f xml:space="preserve"> ProjectCashflows!AD$48</f>
        <v>2040</v>
      </c>
      <c r="AE1" s="267">
        <f xml:space="preserve"> ProjectCashflows!AE$48</f>
        <v>2041</v>
      </c>
      <c r="AF1" s="267">
        <f xml:space="preserve"> ProjectCashflows!AF$48</f>
        <v>2042</v>
      </c>
      <c r="AG1" s="267">
        <f xml:space="preserve"> ProjectCashflows!AG$48</f>
        <v>2043</v>
      </c>
      <c r="AH1" s="267">
        <f xml:space="preserve"> ProjectCashflows!AH$48</f>
        <v>2044</v>
      </c>
      <c r="AI1" s="267">
        <f xml:space="preserve"> ProjectCashflows!AI$48</f>
        <v>2045</v>
      </c>
      <c r="AJ1" s="267">
        <f xml:space="preserve"> ProjectCashflows!AJ$48</f>
        <v>2046</v>
      </c>
      <c r="AK1" s="267">
        <f xml:space="preserve"> ProjectCashflows!AK$48</f>
        <v>2047</v>
      </c>
      <c r="AL1" s="267">
        <f xml:space="preserve"> ProjectCashflows!AL$48</f>
        <v>2048</v>
      </c>
      <c r="AM1" s="267">
        <f xml:space="preserve"> ProjectCashflows!AM$48</f>
        <v>2049</v>
      </c>
      <c r="AN1" s="267">
        <f xml:space="preserve"> ProjectCashflows!AN$48</f>
        <v>2050</v>
      </c>
      <c r="AO1" s="267">
        <f xml:space="preserve"> ProjectCashflows!AO$48</f>
        <v>2051</v>
      </c>
      <c r="AP1" s="267">
        <f xml:space="preserve"> ProjectCashflows!AP$48</f>
        <v>2052</v>
      </c>
      <c r="AQ1" s="267">
        <f xml:space="preserve"> ProjectCashflows!AQ$48</f>
        <v>2053</v>
      </c>
      <c r="AR1" s="267">
        <f xml:space="preserve"> ProjectCashflows!AR$48</f>
        <v>2054</v>
      </c>
      <c r="AS1" s="267">
        <f xml:space="preserve"> ProjectCashflows!AS$48</f>
        <v>2055</v>
      </c>
      <c r="AT1" s="267">
        <f xml:space="preserve"> ProjectCashflows!AT$48</f>
        <v>2056</v>
      </c>
      <c r="AU1" s="267">
        <f xml:space="preserve"> ProjectCashflows!AU$48</f>
        <v>2057</v>
      </c>
      <c r="AV1" s="267">
        <f xml:space="preserve"> ProjectCashflows!AV$48</f>
        <v>2058</v>
      </c>
      <c r="AW1" s="267">
        <f xml:space="preserve"> ProjectCashflows!AW$48</f>
        <v>2059</v>
      </c>
      <c r="AX1" s="267">
        <f xml:space="preserve"> ProjectCashflows!AX$48</f>
        <v>2060</v>
      </c>
    </row>
    <row r="2" spans="1:50" ht="15" customHeight="1">
      <c r="A2" s="80"/>
      <c r="B2" s="81"/>
      <c r="C2" s="82"/>
      <c r="D2" s="82"/>
      <c r="E2" s="76" t="str">
        <f>Translate!$E$391</f>
        <v>Row description</v>
      </c>
      <c r="F2" s="866" t="str">
        <f xml:space="preserve"> Translate!E$554</f>
        <v>Constant</v>
      </c>
      <c r="G2" s="857" t="str">
        <f xml:space="preserve"> Translate!E$445</f>
        <v>Units</v>
      </c>
      <c r="H2" s="1052" t="str">
        <f>Translate!$E$280</f>
        <v>Comments</v>
      </c>
      <c r="I2" s="857" t="str">
        <f xml:space="preserve"> Translate!E$19</f>
        <v>Total</v>
      </c>
      <c r="J2" s="41"/>
      <c r="K2" s="12"/>
      <c r="L2" s="12"/>
      <c r="M2" s="12"/>
      <c r="N2" s="84"/>
      <c r="O2" s="85"/>
      <c r="P2" s="85"/>
      <c r="Q2" s="85"/>
      <c r="R2" s="85"/>
      <c r="S2" s="85"/>
      <c r="T2" s="85"/>
      <c r="U2" s="85"/>
      <c r="V2" s="85"/>
      <c r="W2" s="85"/>
      <c r="X2" s="85"/>
      <c r="Y2" s="85"/>
      <c r="Z2" s="85"/>
      <c r="AA2" s="85"/>
      <c r="AB2" s="85"/>
      <c r="AC2" s="85"/>
      <c r="AD2" s="85"/>
      <c r="AE2" s="85"/>
      <c r="AF2" s="85"/>
      <c r="AG2" s="85"/>
      <c r="AH2" s="85"/>
      <c r="AI2" s="85"/>
      <c r="AJ2" s="85"/>
      <c r="AK2" s="85"/>
      <c r="AL2" s="85"/>
      <c r="AM2" s="85"/>
      <c r="AN2" s="85"/>
      <c r="AO2" s="85"/>
      <c r="AP2" s="85"/>
      <c r="AQ2" s="85"/>
      <c r="AR2" s="85"/>
      <c r="AS2" s="85"/>
      <c r="AT2" s="85"/>
      <c r="AU2" s="85"/>
      <c r="AV2" s="85"/>
      <c r="AW2" s="85"/>
      <c r="AX2" s="85"/>
    </row>
    <row r="3" spans="1:50" ht="15" customHeight="1">
      <c r="A3" s="76"/>
      <c r="B3" s="76"/>
      <c r="C3" s="76"/>
      <c r="D3" s="76"/>
      <c r="E3" s="76"/>
      <c r="F3" s="128">
        <f ca="1" xml:space="preserve"> ReadMe!$D$7</f>
        <v>0</v>
      </c>
      <c r="G3" s="77" t="str">
        <f xml:space="preserve"> ReadMe!$E$7</f>
        <v>Checks</v>
      </c>
      <c r="H3" s="76"/>
      <c r="I3" s="76"/>
      <c r="J3" s="76"/>
      <c r="K3" s="512">
        <f ca="1" xml:space="preserve"> Track!$F$1</f>
        <v>0</v>
      </c>
      <c r="L3" s="1041" t="str">
        <f xml:space="preserve"> Track!$G$1</f>
        <v>Track changes</v>
      </c>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row>
    <row r="4" spans="1:50" s="324" customFormat="1" ht="15" customHeight="1">
      <c r="A4" s="86" t="str">
        <f>Translate!$E$367</f>
        <v>Data for selected project</v>
      </c>
      <c r="B4" s="86"/>
      <c r="C4" s="86"/>
      <c r="D4" s="86"/>
      <c r="E4" s="88"/>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row>
    <row r="5" spans="1:50" s="324" customFormat="1" ht="15" customHeight="1">
      <c r="A5" s="19"/>
      <c r="B5" s="19"/>
      <c r="C5" s="202"/>
      <c r="D5" s="203"/>
      <c r="E5" s="1041"/>
      <c r="F5" s="1041"/>
      <c r="G5" s="1041"/>
      <c r="H5" s="1041"/>
      <c r="I5" s="1041"/>
      <c r="J5" s="1041"/>
      <c r="K5" s="1041"/>
      <c r="L5" s="1041"/>
      <c r="M5" s="1041"/>
      <c r="N5" s="1041"/>
      <c r="O5" s="1041"/>
      <c r="P5" s="1041"/>
      <c r="Q5" s="1041"/>
      <c r="R5" s="1041"/>
      <c r="S5" s="1041"/>
      <c r="T5" s="1041"/>
      <c r="U5" s="1041"/>
      <c r="V5" s="1041"/>
      <c r="W5" s="1041"/>
      <c r="X5" s="1041"/>
      <c r="Y5" s="1041"/>
      <c r="Z5" s="1041"/>
      <c r="AA5" s="1041"/>
      <c r="AB5" s="1041"/>
      <c r="AC5" s="1041"/>
      <c r="AD5" s="1041"/>
      <c r="AE5" s="1041"/>
      <c r="AF5" s="1041"/>
      <c r="AG5" s="1041"/>
      <c r="AH5" s="1041"/>
      <c r="AI5" s="1041"/>
      <c r="AJ5" s="1041"/>
      <c r="AK5" s="1041"/>
      <c r="AL5" s="1041"/>
      <c r="AM5" s="1041"/>
      <c r="AN5" s="1041"/>
      <c r="AO5" s="1041"/>
      <c r="AP5" s="1041"/>
      <c r="AQ5" s="1041"/>
      <c r="AR5" s="1041"/>
      <c r="AS5" s="1041"/>
      <c r="AT5" s="1041"/>
      <c r="AU5" s="1041"/>
      <c r="AV5" s="1041"/>
      <c r="AW5" s="1041"/>
      <c r="AX5" s="1041"/>
    </row>
    <row r="6" spans="1:50" s="324" customFormat="1" ht="15" customHeight="1">
      <c r="A6" s="19"/>
      <c r="B6" s="19"/>
      <c r="C6" s="202"/>
      <c r="D6" s="203"/>
      <c r="E6" s="221" t="str">
        <f xml:space="preserve"> Inputs!E$12</f>
        <v>Selected project</v>
      </c>
      <c r="F6" s="222" t="str">
        <f xml:space="preserve"> Inputs!F$12</f>
        <v>Gold(2MMoz)</v>
      </c>
      <c r="G6" s="221" t="str">
        <f xml:space="preserve"> Inputs!G$12</f>
        <v>Option</v>
      </c>
      <c r="H6" s="1041"/>
      <c r="I6" s="1041"/>
      <c r="J6" s="1041"/>
      <c r="K6" s="1041"/>
      <c r="L6" s="1041"/>
      <c r="M6" s="1041"/>
      <c r="N6" s="1041"/>
      <c r="O6" s="1041"/>
      <c r="P6" s="1041"/>
      <c r="Q6" s="1041"/>
      <c r="R6" s="1041"/>
      <c r="S6" s="1041"/>
      <c r="T6" s="1041"/>
      <c r="U6" s="1041"/>
      <c r="V6" s="1041"/>
      <c r="W6" s="1041"/>
      <c r="X6" s="1041"/>
      <c r="Y6" s="1041"/>
      <c r="Z6" s="1041"/>
      <c r="AA6" s="1041"/>
      <c r="AB6" s="1041"/>
      <c r="AC6" s="1041"/>
      <c r="AD6" s="1041"/>
      <c r="AE6" s="1041"/>
      <c r="AF6" s="1041"/>
      <c r="AG6" s="1041"/>
      <c r="AH6" s="1041"/>
      <c r="AI6" s="1041"/>
      <c r="AJ6" s="1041"/>
      <c r="AK6" s="1041"/>
      <c r="AL6" s="1041"/>
      <c r="AM6" s="1041"/>
      <c r="AN6" s="1041"/>
      <c r="AO6" s="1041"/>
      <c r="AP6" s="1041"/>
      <c r="AQ6" s="1041"/>
      <c r="AR6" s="1041"/>
      <c r="AS6" s="1041"/>
      <c r="AT6" s="1041"/>
      <c r="AU6" s="1041"/>
      <c r="AV6" s="1041"/>
      <c r="AW6" s="1041"/>
      <c r="AX6" s="1041"/>
    </row>
    <row r="7" spans="1:50" ht="15" customHeight="1">
      <c r="A7" s="76"/>
      <c r="B7" s="76"/>
      <c r="C7" s="76"/>
      <c r="D7" s="76"/>
      <c r="E7" s="76"/>
      <c r="F7" s="474"/>
      <c r="G7" s="77"/>
      <c r="H7" s="76"/>
      <c r="I7" s="76"/>
      <c r="J7" s="76"/>
      <c r="K7" s="310"/>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c r="AV7" s="76"/>
      <c r="AW7" s="76"/>
      <c r="AX7" s="76"/>
    </row>
    <row r="8" spans="1:50" ht="15" customHeight="1">
      <c r="A8" s="90"/>
      <c r="B8" s="74" t="str">
        <f>Translate!$E$374</f>
        <v>Raw project data</v>
      </c>
      <c r="C8" s="75"/>
      <c r="D8" s="131"/>
      <c r="E8" s="45"/>
      <c r="F8" s="43"/>
      <c r="G8" s="46"/>
      <c r="H8" s="46"/>
      <c r="I8" s="46"/>
      <c r="J8" s="46"/>
      <c r="L8" s="118"/>
      <c r="M8" s="118"/>
      <c r="N8" s="118"/>
      <c r="O8" s="118"/>
      <c r="P8" s="118"/>
      <c r="Q8" s="118"/>
      <c r="R8" s="118"/>
      <c r="S8" s="118"/>
      <c r="T8" s="118"/>
      <c r="U8" s="118"/>
      <c r="V8" s="118"/>
      <c r="W8" s="118"/>
      <c r="X8" s="118"/>
      <c r="Y8" s="118"/>
      <c r="Z8" s="118"/>
      <c r="AA8" s="118"/>
      <c r="AB8" s="118"/>
      <c r="AC8" s="118"/>
      <c r="AD8" s="118"/>
      <c r="AE8" s="118"/>
      <c r="AF8" s="118"/>
      <c r="AG8" s="118"/>
      <c r="AH8" s="118"/>
      <c r="AI8" s="118"/>
      <c r="AJ8" s="118"/>
      <c r="AK8" s="118"/>
      <c r="AL8" s="118"/>
      <c r="AM8" s="118"/>
      <c r="AN8" s="118"/>
      <c r="AO8" s="118"/>
      <c r="AP8" s="118"/>
      <c r="AQ8" s="118"/>
      <c r="AR8" s="118"/>
      <c r="AS8" s="118"/>
      <c r="AT8" s="118"/>
      <c r="AU8" s="118"/>
      <c r="AV8" s="118"/>
      <c r="AW8" s="118"/>
      <c r="AX8" s="118"/>
    </row>
    <row r="9" spans="1:50" ht="15" customHeight="1">
      <c r="A9" s="90"/>
      <c r="B9" s="74"/>
      <c r="C9" s="75"/>
      <c r="D9" s="131"/>
      <c r="E9" s="2" t="str">
        <f>Translate!$E$392</f>
        <v>Mineral</v>
      </c>
      <c r="F9" s="316" t="str">
        <f ca="1">INDIRECT( ADDRESS( ROW(), COLUMN(),,, ProjectCashflows!$F$6))</f>
        <v>Gold</v>
      </c>
      <c r="G9" s="2" t="str">
        <f xml:space="preserve"> Translate!E$585</f>
        <v>Label</v>
      </c>
      <c r="H9" s="46"/>
      <c r="I9" s="46"/>
      <c r="J9" s="46"/>
      <c r="K9" s="162" t="str">
        <f xml:space="preserve"> Translate!E$352</f>
        <v>Do not change start-row of this block, unless all project examples changed accordingly</v>
      </c>
      <c r="L9" s="118"/>
      <c r="M9" s="118"/>
      <c r="N9" s="118"/>
      <c r="O9" s="118"/>
      <c r="P9" s="118"/>
      <c r="Q9" s="118"/>
      <c r="R9" s="118"/>
      <c r="S9" s="118"/>
      <c r="T9" s="118"/>
      <c r="U9" s="118"/>
      <c r="V9" s="118"/>
      <c r="W9" s="118"/>
      <c r="X9" s="118"/>
      <c r="Y9" s="118"/>
      <c r="Z9" s="118"/>
      <c r="AA9" s="118"/>
      <c r="AB9" s="118"/>
      <c r="AC9" s="118"/>
      <c r="AD9" s="118"/>
      <c r="AE9" s="118"/>
      <c r="AF9" s="118"/>
      <c r="AG9" s="118"/>
      <c r="AH9" s="118"/>
      <c r="AI9" s="118"/>
      <c r="AJ9" s="118"/>
      <c r="AK9" s="118"/>
      <c r="AL9" s="118"/>
      <c r="AM9" s="118"/>
      <c r="AN9" s="118"/>
      <c r="AO9" s="118"/>
      <c r="AP9" s="118"/>
      <c r="AQ9" s="118"/>
      <c r="AR9" s="118"/>
      <c r="AS9" s="118"/>
      <c r="AT9" s="118"/>
      <c r="AU9" s="118"/>
      <c r="AV9" s="118"/>
      <c r="AW9" s="118"/>
      <c r="AX9" s="118"/>
    </row>
    <row r="10" spans="1:50" ht="15" customHeight="1">
      <c r="A10" s="90"/>
      <c r="B10" s="74"/>
      <c r="C10" s="75"/>
      <c r="D10" s="131"/>
      <c r="E10" s="2" t="str">
        <f>Translate!$E$393</f>
        <v>Mineral units</v>
      </c>
      <c r="F10" s="316" t="str">
        <f ca="1">INDIRECT( ADDRESS( ROW(), COLUMN(),,, ProjectCashflows!$F$6))</f>
        <v>ounce</v>
      </c>
      <c r="G10" s="927" t="str">
        <f xml:space="preserve"> Translate!E$445</f>
        <v>Units</v>
      </c>
      <c r="H10" s="46"/>
      <c r="I10" s="46"/>
      <c r="J10" s="46"/>
      <c r="K10" s="162"/>
      <c r="L10" s="118"/>
      <c r="M10" s="118"/>
      <c r="N10" s="118"/>
      <c r="O10" s="118"/>
      <c r="P10" s="118"/>
      <c r="Q10" s="118"/>
      <c r="R10" s="118"/>
      <c r="S10" s="118"/>
      <c r="T10" s="118"/>
      <c r="U10" s="118"/>
      <c r="V10" s="118"/>
      <c r="W10" s="118"/>
      <c r="X10" s="118"/>
      <c r="Y10" s="118"/>
      <c r="Z10" s="118"/>
      <c r="AA10" s="118"/>
      <c r="AB10" s="118"/>
      <c r="AC10" s="118"/>
      <c r="AD10" s="118"/>
      <c r="AE10" s="118"/>
      <c r="AF10" s="118"/>
      <c r="AG10" s="118"/>
      <c r="AH10" s="118"/>
      <c r="AI10" s="118"/>
      <c r="AJ10" s="118"/>
      <c r="AK10" s="118"/>
      <c r="AL10" s="118"/>
      <c r="AM10" s="118"/>
      <c r="AN10" s="118"/>
      <c r="AO10" s="118"/>
      <c r="AP10" s="118"/>
      <c r="AQ10" s="118"/>
      <c r="AR10" s="118"/>
      <c r="AS10" s="118"/>
      <c r="AT10" s="118"/>
      <c r="AU10" s="118"/>
      <c r="AV10" s="118"/>
      <c r="AW10" s="118"/>
      <c r="AX10" s="118"/>
    </row>
    <row r="11" spans="1:50" ht="15" customHeight="1">
      <c r="A11" s="90"/>
      <c r="B11" s="74"/>
      <c r="C11" s="75"/>
      <c r="D11" s="131"/>
      <c r="E11" s="45"/>
      <c r="F11" s="43"/>
      <c r="G11" s="46"/>
      <c r="H11" s="46"/>
      <c r="I11" s="46"/>
      <c r="J11" s="46"/>
      <c r="K11" s="162"/>
      <c r="L11" s="118"/>
      <c r="M11" s="118"/>
      <c r="N11" s="118"/>
      <c r="O11" s="118"/>
      <c r="P11" s="118"/>
      <c r="Q11" s="118"/>
      <c r="R11" s="118"/>
      <c r="S11" s="118"/>
      <c r="T11" s="118"/>
      <c r="U11" s="118"/>
      <c r="V11" s="118"/>
      <c r="W11" s="118"/>
      <c r="X11" s="118"/>
      <c r="Y11" s="118"/>
      <c r="Z11" s="118"/>
      <c r="AA11" s="118"/>
      <c r="AB11" s="118"/>
      <c r="AC11" s="118"/>
      <c r="AD11" s="118"/>
      <c r="AE11" s="118"/>
      <c r="AF11" s="118"/>
      <c r="AG11" s="118"/>
      <c r="AH11" s="118"/>
      <c r="AI11" s="118"/>
      <c r="AJ11" s="118"/>
      <c r="AK11" s="118"/>
      <c r="AL11" s="118"/>
      <c r="AM11" s="118"/>
      <c r="AN11" s="118"/>
      <c r="AO11" s="118"/>
      <c r="AP11" s="118"/>
      <c r="AQ11" s="118"/>
      <c r="AR11" s="118"/>
      <c r="AS11" s="118"/>
      <c r="AT11" s="118"/>
      <c r="AU11" s="118"/>
      <c r="AV11" s="118"/>
      <c r="AW11" s="118"/>
      <c r="AX11" s="118"/>
    </row>
    <row r="12" spans="1:50" ht="15" customHeight="1">
      <c r="A12" s="98"/>
      <c r="B12" s="132"/>
      <c r="C12" s="96"/>
      <c r="D12" s="133"/>
      <c r="E12" s="1041" t="str">
        <f ca="1">F$9 &amp; " " &amp; Translate!$E$437</f>
        <v>Gold sales</v>
      </c>
      <c r="F12" s="1041"/>
      <c r="G12" s="1041" t="str">
        <f ca="1" xml:space="preserve"> "000 " &amp; F10</f>
        <v>000 ounce</v>
      </c>
      <c r="H12" s="12"/>
      <c r="I12" s="45">
        <f ca="1" xml:space="preserve"> SUM(K12:AX12)</f>
        <v>2000</v>
      </c>
      <c r="J12" s="46"/>
      <c r="K12" s="316">
        <f ca="1">INDIRECT( ADDRESS( ROW(), COLUMN(),,, ProjectCashflows!$F$6))</f>
        <v>0</v>
      </c>
      <c r="L12" s="316">
        <f ca="1">INDIRECT( ADDRESS( ROW(), COLUMN(),,, ProjectCashflows!$F$6))</f>
        <v>0</v>
      </c>
      <c r="M12" s="316">
        <f ca="1">INDIRECT( ADDRESS( ROW(), COLUMN(),,, ProjectCashflows!$F$6))</f>
        <v>0</v>
      </c>
      <c r="N12" s="316">
        <f ca="1">INDIRECT( ADDRESS( ROW(), COLUMN(),,, ProjectCashflows!$F$6))</f>
        <v>0</v>
      </c>
      <c r="O12" s="316">
        <f ca="1">INDIRECT( ADDRESS( ROW(), COLUMN(),,, ProjectCashflows!$F$6))</f>
        <v>10</v>
      </c>
      <c r="P12" s="316">
        <f ca="1">INDIRECT( ADDRESS( ROW(), COLUMN(),,, ProjectCashflows!$F$6))</f>
        <v>75</v>
      </c>
      <c r="Q12" s="316">
        <f ca="1">INDIRECT( ADDRESS( ROW(), COLUMN(),,, ProjectCashflows!$F$6))</f>
        <v>150</v>
      </c>
      <c r="R12" s="316">
        <f ca="1">INDIRECT( ADDRESS( ROW(), COLUMN(),,, ProjectCashflows!$F$6))</f>
        <v>150</v>
      </c>
      <c r="S12" s="316">
        <f ca="1">INDIRECT( ADDRESS( ROW(), COLUMN(),,, ProjectCashflows!$F$6))</f>
        <v>150</v>
      </c>
      <c r="T12" s="316">
        <f ca="1">INDIRECT( ADDRESS( ROW(), COLUMN(),,, ProjectCashflows!$F$6))</f>
        <v>150</v>
      </c>
      <c r="U12" s="316">
        <f ca="1">INDIRECT( ADDRESS( ROW(), COLUMN(),,, ProjectCashflows!$F$6))</f>
        <v>150</v>
      </c>
      <c r="V12" s="316">
        <f ca="1">INDIRECT( ADDRESS( ROW(), COLUMN(),,, ProjectCashflows!$F$6))</f>
        <v>150</v>
      </c>
      <c r="W12" s="316">
        <f ca="1">INDIRECT( ADDRESS( ROW(), COLUMN(),,, ProjectCashflows!$F$6))</f>
        <v>150</v>
      </c>
      <c r="X12" s="316">
        <f ca="1">INDIRECT( ADDRESS( ROW(), COLUMN(),,, ProjectCashflows!$F$6))</f>
        <v>150</v>
      </c>
      <c r="Y12" s="316">
        <f ca="1">INDIRECT( ADDRESS( ROW(), COLUMN(),,, ProjectCashflows!$F$6))</f>
        <v>150</v>
      </c>
      <c r="Z12" s="316">
        <f ca="1">INDIRECT( ADDRESS( ROW(), COLUMN(),,, ProjectCashflows!$F$6))</f>
        <v>150</v>
      </c>
      <c r="AA12" s="316">
        <f ca="1">INDIRECT( ADDRESS( ROW(), COLUMN(),,, ProjectCashflows!$F$6))</f>
        <v>125</v>
      </c>
      <c r="AB12" s="316">
        <f ca="1">INDIRECT( ADDRESS( ROW(), COLUMN(),,, ProjectCashflows!$F$6))</f>
        <v>100</v>
      </c>
      <c r="AC12" s="316">
        <f ca="1">INDIRECT( ADDRESS( ROW(), COLUMN(),,, ProjectCashflows!$F$6))</f>
        <v>75</v>
      </c>
      <c r="AD12" s="316">
        <f ca="1">INDIRECT( ADDRESS( ROW(), COLUMN(),,, ProjectCashflows!$F$6))</f>
        <v>65</v>
      </c>
      <c r="AE12" s="316">
        <f ca="1">INDIRECT( ADDRESS( ROW(), COLUMN(),,, ProjectCashflows!$F$6))</f>
        <v>50</v>
      </c>
      <c r="AF12" s="316">
        <f ca="1">INDIRECT( ADDRESS( ROW(), COLUMN(),,, ProjectCashflows!$F$6))</f>
        <v>0</v>
      </c>
      <c r="AG12" s="316">
        <f ca="1">INDIRECT( ADDRESS( ROW(), COLUMN(),,, ProjectCashflows!$F$6))</f>
        <v>0</v>
      </c>
      <c r="AH12" s="316">
        <f ca="1">INDIRECT( ADDRESS( ROW(), COLUMN(),,, ProjectCashflows!$F$6))</f>
        <v>0</v>
      </c>
      <c r="AI12" s="316">
        <f ca="1">INDIRECT( ADDRESS( ROW(), COLUMN(),,, ProjectCashflows!$F$6))</f>
        <v>0</v>
      </c>
      <c r="AJ12" s="316">
        <f ca="1">INDIRECT( ADDRESS( ROW(), COLUMN(),,, ProjectCashflows!$F$6))</f>
        <v>0</v>
      </c>
      <c r="AK12" s="316">
        <f ca="1">INDIRECT( ADDRESS( ROW(), COLUMN(),,, ProjectCashflows!$F$6))</f>
        <v>0</v>
      </c>
      <c r="AL12" s="316">
        <f ca="1">INDIRECT( ADDRESS( ROW(), COLUMN(),,, ProjectCashflows!$F$6))</f>
        <v>0</v>
      </c>
      <c r="AM12" s="316">
        <f ca="1">INDIRECT( ADDRESS( ROW(), COLUMN(),,, ProjectCashflows!$F$6))</f>
        <v>0</v>
      </c>
      <c r="AN12" s="316">
        <f ca="1">INDIRECT( ADDRESS( ROW(), COLUMN(),,, ProjectCashflows!$F$6))</f>
        <v>0</v>
      </c>
      <c r="AO12" s="316">
        <f ca="1">INDIRECT( ADDRESS( ROW(), COLUMN(),,, ProjectCashflows!$F$6))</f>
        <v>0</v>
      </c>
      <c r="AP12" s="316">
        <f ca="1">INDIRECT( ADDRESS( ROW(), COLUMN(),,, ProjectCashflows!$F$6))</f>
        <v>0</v>
      </c>
      <c r="AQ12" s="316">
        <f ca="1">INDIRECT( ADDRESS( ROW(), COLUMN(),,, ProjectCashflows!$F$6))</f>
        <v>0</v>
      </c>
      <c r="AR12" s="316">
        <f ca="1">INDIRECT( ADDRESS( ROW(), COLUMN(),,, ProjectCashflows!$F$6))</f>
        <v>0</v>
      </c>
      <c r="AS12" s="316">
        <f ca="1">INDIRECT( ADDRESS( ROW(), COLUMN(),,, ProjectCashflows!$F$6))</f>
        <v>0</v>
      </c>
      <c r="AT12" s="316">
        <f ca="1">INDIRECT( ADDRESS( ROW(), COLUMN(),,, ProjectCashflows!$F$6))</f>
        <v>0</v>
      </c>
      <c r="AU12" s="316">
        <f ca="1">INDIRECT( ADDRESS( ROW(), COLUMN(),,, ProjectCashflows!$F$6))</f>
        <v>0</v>
      </c>
      <c r="AV12" s="316">
        <f ca="1">INDIRECT( ADDRESS( ROW(), COLUMN(),,, ProjectCashflows!$F$6))</f>
        <v>0</v>
      </c>
      <c r="AW12" s="316">
        <f ca="1">INDIRECT( ADDRESS( ROW(), COLUMN(),,, ProjectCashflows!$F$6))</f>
        <v>0</v>
      </c>
      <c r="AX12" s="316">
        <f ca="1">INDIRECT( ADDRESS( ROW(), COLUMN(),,, ProjectCashflows!$F$6))</f>
        <v>0</v>
      </c>
    </row>
    <row r="13" spans="1:50" ht="15" customHeight="1">
      <c r="A13" s="98"/>
      <c r="B13" s="132"/>
      <c r="C13" s="96"/>
      <c r="D13" s="133"/>
      <c r="E13" s="1041"/>
      <c r="F13" s="1041"/>
      <c r="G13" s="1041"/>
      <c r="H13" s="12"/>
      <c r="I13" s="312"/>
      <c r="J13" s="46"/>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row>
    <row r="14" spans="1:50" ht="15" customHeight="1">
      <c r="A14" s="136"/>
      <c r="C14" s="42"/>
      <c r="D14" s="45"/>
      <c r="E14" s="45" t="str">
        <f>Translate!$E$394</f>
        <v>Transport costs post-fiscal point</v>
      </c>
      <c r="F14" s="45"/>
      <c r="G14" s="303" t="str">
        <f xml:space="preserve"> Inputs!F$53</f>
        <v>US$ mn 2021</v>
      </c>
      <c r="H14" s="157"/>
      <c r="I14" s="45">
        <f t="shared" ref="I14:I19" ca="1" si="0" xml:space="preserve"> SUM(K14:AX14)</f>
        <v>50</v>
      </c>
      <c r="J14" s="45"/>
      <c r="K14" s="912">
        <f ca="1">INDIRECT( ADDRESS( ROW(), COLUMN(),,, ProjectCashflows!$F$6))</f>
        <v>0</v>
      </c>
      <c r="L14" s="912">
        <f ca="1">INDIRECT( ADDRESS( ROW(), COLUMN(),,, ProjectCashflows!$F$6))</f>
        <v>0</v>
      </c>
      <c r="M14" s="912">
        <f ca="1">INDIRECT( ADDRESS( ROW(), COLUMN(),,, ProjectCashflows!$F$6))</f>
        <v>0</v>
      </c>
      <c r="N14" s="912">
        <f ca="1">INDIRECT( ADDRESS( ROW(), COLUMN(),,, ProjectCashflows!$F$6))</f>
        <v>0</v>
      </c>
      <c r="O14" s="912">
        <f ca="1">INDIRECT( ADDRESS( ROW(), COLUMN(),,, ProjectCashflows!$F$6))</f>
        <v>0.25</v>
      </c>
      <c r="P14" s="912">
        <f ca="1">INDIRECT( ADDRESS( ROW(), COLUMN(),,, ProjectCashflows!$F$6))</f>
        <v>1.875</v>
      </c>
      <c r="Q14" s="912">
        <f ca="1">INDIRECT( ADDRESS( ROW(), COLUMN(),,, ProjectCashflows!$F$6))</f>
        <v>3.75</v>
      </c>
      <c r="R14" s="912">
        <f ca="1">INDIRECT( ADDRESS( ROW(), COLUMN(),,, ProjectCashflows!$F$6))</f>
        <v>3.75</v>
      </c>
      <c r="S14" s="912">
        <f ca="1">INDIRECT( ADDRESS( ROW(), COLUMN(),,, ProjectCashflows!$F$6))</f>
        <v>3.75</v>
      </c>
      <c r="T14" s="912">
        <f ca="1">INDIRECT( ADDRESS( ROW(), COLUMN(),,, ProjectCashflows!$F$6))</f>
        <v>3.75</v>
      </c>
      <c r="U14" s="912">
        <f ca="1">INDIRECT( ADDRESS( ROW(), COLUMN(),,, ProjectCashflows!$F$6))</f>
        <v>3.75</v>
      </c>
      <c r="V14" s="912">
        <f ca="1">INDIRECT( ADDRESS( ROW(), COLUMN(),,, ProjectCashflows!$F$6))</f>
        <v>3.75</v>
      </c>
      <c r="W14" s="912">
        <f ca="1">INDIRECT( ADDRESS( ROW(), COLUMN(),,, ProjectCashflows!$F$6))</f>
        <v>3.75</v>
      </c>
      <c r="X14" s="912">
        <f ca="1">INDIRECT( ADDRESS( ROW(), COLUMN(),,, ProjectCashflows!$F$6))</f>
        <v>3.75</v>
      </c>
      <c r="Y14" s="912">
        <f ca="1">INDIRECT( ADDRESS( ROW(), COLUMN(),,, ProjectCashflows!$F$6))</f>
        <v>3.75</v>
      </c>
      <c r="Z14" s="912">
        <f ca="1">INDIRECT( ADDRESS( ROW(), COLUMN(),,, ProjectCashflows!$F$6))</f>
        <v>3.75</v>
      </c>
      <c r="AA14" s="912">
        <f ca="1">INDIRECT( ADDRESS( ROW(), COLUMN(),,, ProjectCashflows!$F$6))</f>
        <v>3.125</v>
      </c>
      <c r="AB14" s="912">
        <f ca="1">INDIRECT( ADDRESS( ROW(), COLUMN(),,, ProjectCashflows!$F$6))</f>
        <v>2.5</v>
      </c>
      <c r="AC14" s="912">
        <f ca="1">INDIRECT( ADDRESS( ROW(), COLUMN(),,, ProjectCashflows!$F$6))</f>
        <v>1.875</v>
      </c>
      <c r="AD14" s="912">
        <f ca="1">INDIRECT( ADDRESS( ROW(), COLUMN(),,, ProjectCashflows!$F$6))</f>
        <v>1.625</v>
      </c>
      <c r="AE14" s="912">
        <f ca="1">INDIRECT( ADDRESS( ROW(), COLUMN(),,, ProjectCashflows!$F$6))</f>
        <v>1.25</v>
      </c>
      <c r="AF14" s="912">
        <f ca="1">INDIRECT( ADDRESS( ROW(), COLUMN(),,, ProjectCashflows!$F$6))</f>
        <v>0</v>
      </c>
      <c r="AG14" s="912">
        <f ca="1">INDIRECT( ADDRESS( ROW(), COLUMN(),,, ProjectCashflows!$F$6))</f>
        <v>0</v>
      </c>
      <c r="AH14" s="912">
        <f ca="1">INDIRECT( ADDRESS( ROW(), COLUMN(),,, ProjectCashflows!$F$6))</f>
        <v>0</v>
      </c>
      <c r="AI14" s="912">
        <f ca="1">INDIRECT( ADDRESS( ROW(), COLUMN(),,, ProjectCashflows!$F$6))</f>
        <v>0</v>
      </c>
      <c r="AJ14" s="912">
        <f ca="1">INDIRECT( ADDRESS( ROW(), COLUMN(),,, ProjectCashflows!$F$6))</f>
        <v>0</v>
      </c>
      <c r="AK14" s="912">
        <f ca="1">INDIRECT( ADDRESS( ROW(), COLUMN(),,, ProjectCashflows!$F$6))</f>
        <v>0</v>
      </c>
      <c r="AL14" s="912">
        <f ca="1">INDIRECT( ADDRESS( ROW(), COLUMN(),,, ProjectCashflows!$F$6))</f>
        <v>0</v>
      </c>
      <c r="AM14" s="912">
        <f ca="1">INDIRECT( ADDRESS( ROW(), COLUMN(),,, ProjectCashflows!$F$6))</f>
        <v>0</v>
      </c>
      <c r="AN14" s="912">
        <f ca="1">INDIRECT( ADDRESS( ROW(), COLUMN(),,, ProjectCashflows!$F$6))</f>
        <v>0</v>
      </c>
      <c r="AO14" s="912">
        <f ca="1">INDIRECT( ADDRESS( ROW(), COLUMN(),,, ProjectCashflows!$F$6))</f>
        <v>0</v>
      </c>
      <c r="AP14" s="912">
        <f ca="1">INDIRECT( ADDRESS( ROW(), COLUMN(),,, ProjectCashflows!$F$6))</f>
        <v>0</v>
      </c>
      <c r="AQ14" s="912">
        <f ca="1">INDIRECT( ADDRESS( ROW(), COLUMN(),,, ProjectCashflows!$F$6))</f>
        <v>0</v>
      </c>
      <c r="AR14" s="912">
        <f ca="1">INDIRECT( ADDRESS( ROW(), COLUMN(),,, ProjectCashflows!$F$6))</f>
        <v>0</v>
      </c>
      <c r="AS14" s="912">
        <f ca="1">INDIRECT( ADDRESS( ROW(), COLUMN(),,, ProjectCashflows!$F$6))</f>
        <v>0</v>
      </c>
      <c r="AT14" s="912">
        <f ca="1">INDIRECT( ADDRESS( ROW(), COLUMN(),,, ProjectCashflows!$F$6))</f>
        <v>0</v>
      </c>
      <c r="AU14" s="912">
        <f ca="1">INDIRECT( ADDRESS( ROW(), COLUMN(),,, ProjectCashflows!$F$6))</f>
        <v>0</v>
      </c>
      <c r="AV14" s="912">
        <f ca="1">INDIRECT( ADDRESS( ROW(), COLUMN(),,, ProjectCashflows!$F$6))</f>
        <v>0</v>
      </c>
      <c r="AW14" s="912">
        <f ca="1">INDIRECT( ADDRESS( ROW(), COLUMN(),,, ProjectCashflows!$F$6))</f>
        <v>0</v>
      </c>
      <c r="AX14" s="912">
        <f ca="1">INDIRECT( ADDRESS( ROW(), COLUMN(),,, ProjectCashflows!$F$6))</f>
        <v>0</v>
      </c>
    </row>
    <row r="15" spans="1:50" ht="15" customHeight="1">
      <c r="A15" s="136"/>
      <c r="C15" s="42"/>
      <c r="D15" s="45"/>
      <c r="E15" s="45" t="str">
        <f>Translate!$E$395</f>
        <v>Exploration costs</v>
      </c>
      <c r="F15" s="474"/>
      <c r="G15" s="303" t="str">
        <f xml:space="preserve"> Inputs!F$53</f>
        <v>US$ mn 2021</v>
      </c>
      <c r="H15" s="157"/>
      <c r="I15" s="45">
        <f t="shared" ca="1" si="0"/>
        <v>30</v>
      </c>
      <c r="J15" s="45"/>
      <c r="K15" s="912">
        <f ca="1">INDIRECT( ADDRESS( ROW(), COLUMN(),,, ProjectCashflows!$F$6))</f>
        <v>10</v>
      </c>
      <c r="L15" s="912">
        <f ca="1">INDIRECT( ADDRESS( ROW(), COLUMN(),,, ProjectCashflows!$F$6))</f>
        <v>10</v>
      </c>
      <c r="M15" s="912">
        <f ca="1">INDIRECT( ADDRESS( ROW(), COLUMN(),,, ProjectCashflows!$F$6))</f>
        <v>10</v>
      </c>
      <c r="N15" s="912">
        <f ca="1">INDIRECT( ADDRESS( ROW(), COLUMN(),,, ProjectCashflows!$F$6))</f>
        <v>0</v>
      </c>
      <c r="O15" s="912">
        <f ca="1">INDIRECT( ADDRESS( ROW(), COLUMN(),,, ProjectCashflows!$F$6))</f>
        <v>0</v>
      </c>
      <c r="P15" s="912">
        <f ca="1">INDIRECT( ADDRESS( ROW(), COLUMN(),,, ProjectCashflows!$F$6))</f>
        <v>0</v>
      </c>
      <c r="Q15" s="912">
        <f ca="1">INDIRECT( ADDRESS( ROW(), COLUMN(),,, ProjectCashflows!$F$6))</f>
        <v>0</v>
      </c>
      <c r="R15" s="912">
        <f ca="1">INDIRECT( ADDRESS( ROW(), COLUMN(),,, ProjectCashflows!$F$6))</f>
        <v>0</v>
      </c>
      <c r="S15" s="912">
        <f ca="1">INDIRECT( ADDRESS( ROW(), COLUMN(),,, ProjectCashflows!$F$6))</f>
        <v>0</v>
      </c>
      <c r="T15" s="912">
        <f ca="1">INDIRECT( ADDRESS( ROW(), COLUMN(),,, ProjectCashflows!$F$6))</f>
        <v>0</v>
      </c>
      <c r="U15" s="912">
        <f ca="1">INDIRECT( ADDRESS( ROW(), COLUMN(),,, ProjectCashflows!$F$6))</f>
        <v>0</v>
      </c>
      <c r="V15" s="912">
        <f ca="1">INDIRECT( ADDRESS( ROW(), COLUMN(),,, ProjectCashflows!$F$6))</f>
        <v>0</v>
      </c>
      <c r="W15" s="912">
        <f ca="1">INDIRECT( ADDRESS( ROW(), COLUMN(),,, ProjectCashflows!$F$6))</f>
        <v>0</v>
      </c>
      <c r="X15" s="912">
        <f ca="1">INDIRECT( ADDRESS( ROW(), COLUMN(),,, ProjectCashflows!$F$6))</f>
        <v>0</v>
      </c>
      <c r="Y15" s="912">
        <f ca="1">INDIRECT( ADDRESS( ROW(), COLUMN(),,, ProjectCashflows!$F$6))</f>
        <v>0</v>
      </c>
      <c r="Z15" s="912">
        <f ca="1">INDIRECT( ADDRESS( ROW(), COLUMN(),,, ProjectCashflows!$F$6))</f>
        <v>0</v>
      </c>
      <c r="AA15" s="912">
        <f ca="1">INDIRECT( ADDRESS( ROW(), COLUMN(),,, ProjectCashflows!$F$6))</f>
        <v>0</v>
      </c>
      <c r="AB15" s="912">
        <f ca="1">INDIRECT( ADDRESS( ROW(), COLUMN(),,, ProjectCashflows!$F$6))</f>
        <v>0</v>
      </c>
      <c r="AC15" s="912">
        <f ca="1">INDIRECT( ADDRESS( ROW(), COLUMN(),,, ProjectCashflows!$F$6))</f>
        <v>0</v>
      </c>
      <c r="AD15" s="912">
        <f ca="1">INDIRECT( ADDRESS( ROW(), COLUMN(),,, ProjectCashflows!$F$6))</f>
        <v>0</v>
      </c>
      <c r="AE15" s="912">
        <f ca="1">INDIRECT( ADDRESS( ROW(), COLUMN(),,, ProjectCashflows!$F$6))</f>
        <v>0</v>
      </c>
      <c r="AF15" s="912">
        <f ca="1">INDIRECT( ADDRESS( ROW(), COLUMN(),,, ProjectCashflows!$F$6))</f>
        <v>0</v>
      </c>
      <c r="AG15" s="912">
        <f ca="1">INDIRECT( ADDRESS( ROW(), COLUMN(),,, ProjectCashflows!$F$6))</f>
        <v>0</v>
      </c>
      <c r="AH15" s="912">
        <f ca="1">INDIRECT( ADDRESS( ROW(), COLUMN(),,, ProjectCashflows!$F$6))</f>
        <v>0</v>
      </c>
      <c r="AI15" s="912">
        <f ca="1">INDIRECT( ADDRESS( ROW(), COLUMN(),,, ProjectCashflows!$F$6))</f>
        <v>0</v>
      </c>
      <c r="AJ15" s="912">
        <f ca="1">INDIRECT( ADDRESS( ROW(), COLUMN(),,, ProjectCashflows!$F$6))</f>
        <v>0</v>
      </c>
      <c r="AK15" s="912">
        <f ca="1">INDIRECT( ADDRESS( ROW(), COLUMN(),,, ProjectCashflows!$F$6))</f>
        <v>0</v>
      </c>
      <c r="AL15" s="912">
        <f ca="1">INDIRECT( ADDRESS( ROW(), COLUMN(),,, ProjectCashflows!$F$6))</f>
        <v>0</v>
      </c>
      <c r="AM15" s="912">
        <f ca="1">INDIRECT( ADDRESS( ROW(), COLUMN(),,, ProjectCashflows!$F$6))</f>
        <v>0</v>
      </c>
      <c r="AN15" s="912">
        <f ca="1">INDIRECT( ADDRESS( ROW(), COLUMN(),,, ProjectCashflows!$F$6))</f>
        <v>0</v>
      </c>
      <c r="AO15" s="912">
        <f ca="1">INDIRECT( ADDRESS( ROW(), COLUMN(),,, ProjectCashflows!$F$6))</f>
        <v>0</v>
      </c>
      <c r="AP15" s="912">
        <f ca="1">INDIRECT( ADDRESS( ROW(), COLUMN(),,, ProjectCashflows!$F$6))</f>
        <v>0</v>
      </c>
      <c r="AQ15" s="912">
        <f ca="1">INDIRECT( ADDRESS( ROW(), COLUMN(),,, ProjectCashflows!$F$6))</f>
        <v>0</v>
      </c>
      <c r="AR15" s="912">
        <f ca="1">INDIRECT( ADDRESS( ROW(), COLUMN(),,, ProjectCashflows!$F$6))</f>
        <v>0</v>
      </c>
      <c r="AS15" s="912">
        <f ca="1">INDIRECT( ADDRESS( ROW(), COLUMN(),,, ProjectCashflows!$F$6))</f>
        <v>0</v>
      </c>
      <c r="AT15" s="912">
        <f ca="1">INDIRECT( ADDRESS( ROW(), COLUMN(),,, ProjectCashflows!$F$6))</f>
        <v>0</v>
      </c>
      <c r="AU15" s="912">
        <f ca="1">INDIRECT( ADDRESS( ROW(), COLUMN(),,, ProjectCashflows!$F$6))</f>
        <v>0</v>
      </c>
      <c r="AV15" s="912">
        <f ca="1">INDIRECT( ADDRESS( ROW(), COLUMN(),,, ProjectCashflows!$F$6))</f>
        <v>0</v>
      </c>
      <c r="AW15" s="912">
        <f ca="1">INDIRECT( ADDRESS( ROW(), COLUMN(),,, ProjectCashflows!$F$6))</f>
        <v>0</v>
      </c>
      <c r="AX15" s="912">
        <f ca="1">INDIRECT( ADDRESS( ROW(), COLUMN(),,, ProjectCashflows!$F$6))</f>
        <v>0</v>
      </c>
    </row>
    <row r="16" spans="1:50" ht="15" customHeight="1">
      <c r="A16" s="136"/>
      <c r="C16" s="42"/>
      <c r="D16" s="45"/>
      <c r="E16" s="45" t="str">
        <f>Translate!$E$396</f>
        <v>Development costs</v>
      </c>
      <c r="F16" s="474"/>
      <c r="G16" s="303" t="str">
        <f xml:space="preserve"> Inputs!F$53</f>
        <v>US$ mn 2021</v>
      </c>
      <c r="H16" s="157"/>
      <c r="I16" s="45">
        <f t="shared" ca="1" si="0"/>
        <v>400</v>
      </c>
      <c r="J16" s="45"/>
      <c r="K16" s="912">
        <f ca="1">INDIRECT( ADDRESS( ROW(), COLUMN(),,, ProjectCashflows!$F$6))</f>
        <v>0</v>
      </c>
      <c r="L16" s="912">
        <f ca="1">INDIRECT( ADDRESS( ROW(), COLUMN(),,, ProjectCashflows!$F$6))</f>
        <v>0</v>
      </c>
      <c r="M16" s="912">
        <f ca="1">INDIRECT( ADDRESS( ROW(), COLUMN(),,, ProjectCashflows!$F$6))</f>
        <v>0</v>
      </c>
      <c r="N16" s="912">
        <f ca="1">INDIRECT( ADDRESS( ROW(), COLUMN(),,, ProjectCashflows!$F$6))</f>
        <v>50</v>
      </c>
      <c r="O16" s="912">
        <f ca="1">INDIRECT( ADDRESS( ROW(), COLUMN(),,, ProjectCashflows!$F$6))</f>
        <v>250</v>
      </c>
      <c r="P16" s="912">
        <f ca="1">INDIRECT( ADDRESS( ROW(), COLUMN(),,, ProjectCashflows!$F$6))</f>
        <v>100</v>
      </c>
      <c r="Q16" s="912">
        <f ca="1">INDIRECT( ADDRESS( ROW(), COLUMN(),,, ProjectCashflows!$F$6))</f>
        <v>0</v>
      </c>
      <c r="R16" s="912">
        <f ca="1">INDIRECT( ADDRESS( ROW(), COLUMN(),,, ProjectCashflows!$F$6))</f>
        <v>0</v>
      </c>
      <c r="S16" s="912">
        <f ca="1">INDIRECT( ADDRESS( ROW(), COLUMN(),,, ProjectCashflows!$F$6))</f>
        <v>0</v>
      </c>
      <c r="T16" s="912">
        <f ca="1">INDIRECT( ADDRESS( ROW(), COLUMN(),,, ProjectCashflows!$F$6))</f>
        <v>0</v>
      </c>
      <c r="U16" s="912">
        <f ca="1">INDIRECT( ADDRESS( ROW(), COLUMN(),,, ProjectCashflows!$F$6))</f>
        <v>0</v>
      </c>
      <c r="V16" s="912">
        <f ca="1">INDIRECT( ADDRESS( ROW(), COLUMN(),,, ProjectCashflows!$F$6))</f>
        <v>0</v>
      </c>
      <c r="W16" s="912">
        <f ca="1">INDIRECT( ADDRESS( ROW(), COLUMN(),,, ProjectCashflows!$F$6))</f>
        <v>0</v>
      </c>
      <c r="X16" s="912">
        <f ca="1">INDIRECT( ADDRESS( ROW(), COLUMN(),,, ProjectCashflows!$F$6))</f>
        <v>0</v>
      </c>
      <c r="Y16" s="912">
        <f ca="1">INDIRECT( ADDRESS( ROW(), COLUMN(),,, ProjectCashflows!$F$6))</f>
        <v>0</v>
      </c>
      <c r="Z16" s="912">
        <f ca="1">INDIRECT( ADDRESS( ROW(), COLUMN(),,, ProjectCashflows!$F$6))</f>
        <v>0</v>
      </c>
      <c r="AA16" s="912">
        <f ca="1">INDIRECT( ADDRESS( ROW(), COLUMN(),,, ProjectCashflows!$F$6))</f>
        <v>0</v>
      </c>
      <c r="AB16" s="912">
        <f ca="1">INDIRECT( ADDRESS( ROW(), COLUMN(),,, ProjectCashflows!$F$6))</f>
        <v>0</v>
      </c>
      <c r="AC16" s="912">
        <f ca="1">INDIRECT( ADDRESS( ROW(), COLUMN(),,, ProjectCashflows!$F$6))</f>
        <v>0</v>
      </c>
      <c r="AD16" s="912">
        <f ca="1">INDIRECT( ADDRESS( ROW(), COLUMN(),,, ProjectCashflows!$F$6))</f>
        <v>0</v>
      </c>
      <c r="AE16" s="912">
        <f ca="1">INDIRECT( ADDRESS( ROW(), COLUMN(),,, ProjectCashflows!$F$6))</f>
        <v>0</v>
      </c>
      <c r="AF16" s="912">
        <f ca="1">INDIRECT( ADDRESS( ROW(), COLUMN(),,, ProjectCashflows!$F$6))</f>
        <v>0</v>
      </c>
      <c r="AG16" s="912">
        <f ca="1">INDIRECT( ADDRESS( ROW(), COLUMN(),,, ProjectCashflows!$F$6))</f>
        <v>0</v>
      </c>
      <c r="AH16" s="912">
        <f ca="1">INDIRECT( ADDRESS( ROW(), COLUMN(),,, ProjectCashflows!$F$6))</f>
        <v>0</v>
      </c>
      <c r="AI16" s="912">
        <f ca="1">INDIRECT( ADDRESS( ROW(), COLUMN(),,, ProjectCashflows!$F$6))</f>
        <v>0</v>
      </c>
      <c r="AJ16" s="912">
        <f ca="1">INDIRECT( ADDRESS( ROW(), COLUMN(),,, ProjectCashflows!$F$6))</f>
        <v>0</v>
      </c>
      <c r="AK16" s="912">
        <f ca="1">INDIRECT( ADDRESS( ROW(), COLUMN(),,, ProjectCashflows!$F$6))</f>
        <v>0</v>
      </c>
      <c r="AL16" s="912">
        <f ca="1">INDIRECT( ADDRESS( ROW(), COLUMN(),,, ProjectCashflows!$F$6))</f>
        <v>0</v>
      </c>
      <c r="AM16" s="912">
        <f ca="1">INDIRECT( ADDRESS( ROW(), COLUMN(),,, ProjectCashflows!$F$6))</f>
        <v>0</v>
      </c>
      <c r="AN16" s="912">
        <f ca="1">INDIRECT( ADDRESS( ROW(), COLUMN(),,, ProjectCashflows!$F$6))</f>
        <v>0</v>
      </c>
      <c r="AO16" s="912">
        <f ca="1">INDIRECT( ADDRESS( ROW(), COLUMN(),,, ProjectCashflows!$F$6))</f>
        <v>0</v>
      </c>
      <c r="AP16" s="912">
        <f ca="1">INDIRECT( ADDRESS( ROW(), COLUMN(),,, ProjectCashflows!$F$6))</f>
        <v>0</v>
      </c>
      <c r="AQ16" s="912">
        <f ca="1">INDIRECT( ADDRESS( ROW(), COLUMN(),,, ProjectCashflows!$F$6))</f>
        <v>0</v>
      </c>
      <c r="AR16" s="912">
        <f ca="1">INDIRECT( ADDRESS( ROW(), COLUMN(),,, ProjectCashflows!$F$6))</f>
        <v>0</v>
      </c>
      <c r="AS16" s="912">
        <f ca="1">INDIRECT( ADDRESS( ROW(), COLUMN(),,, ProjectCashflows!$F$6))</f>
        <v>0</v>
      </c>
      <c r="AT16" s="912">
        <f ca="1">INDIRECT( ADDRESS( ROW(), COLUMN(),,, ProjectCashflows!$F$6))</f>
        <v>0</v>
      </c>
      <c r="AU16" s="912">
        <f ca="1">INDIRECT( ADDRESS( ROW(), COLUMN(),,, ProjectCashflows!$F$6))</f>
        <v>0</v>
      </c>
      <c r="AV16" s="912">
        <f ca="1">INDIRECT( ADDRESS( ROW(), COLUMN(),,, ProjectCashflows!$F$6))</f>
        <v>0</v>
      </c>
      <c r="AW16" s="912">
        <f ca="1">INDIRECT( ADDRESS( ROW(), COLUMN(),,, ProjectCashflows!$F$6))</f>
        <v>0</v>
      </c>
      <c r="AX16" s="912">
        <f ca="1">INDIRECT( ADDRESS( ROW(), COLUMN(),,, ProjectCashflows!$F$6))</f>
        <v>0</v>
      </c>
    </row>
    <row r="17" spans="1:50" ht="15" customHeight="1">
      <c r="A17" s="136"/>
      <c r="C17" s="42"/>
      <c r="D17" s="45"/>
      <c r="E17" s="45" t="str">
        <f>Translate!$E$397</f>
        <v>Replacement capital costs</v>
      </c>
      <c r="F17" s="474"/>
      <c r="G17" s="303" t="str">
        <f xml:space="preserve"> Inputs!F$53</f>
        <v>US$ mn 2021</v>
      </c>
      <c r="H17" s="157"/>
      <c r="I17" s="45">
        <f t="shared" ca="1" si="0"/>
        <v>96</v>
      </c>
      <c r="J17" s="45"/>
      <c r="K17" s="912">
        <f ca="1">INDIRECT( ADDRESS( ROW(), COLUMN(),,, ProjectCashflows!$F$6))</f>
        <v>0</v>
      </c>
      <c r="L17" s="912">
        <f ca="1">INDIRECT( ADDRESS( ROW(), COLUMN(),,, ProjectCashflows!$F$6))</f>
        <v>0</v>
      </c>
      <c r="M17" s="912">
        <f ca="1">INDIRECT( ADDRESS( ROW(), COLUMN(),,, ProjectCashflows!$F$6))</f>
        <v>0</v>
      </c>
      <c r="N17" s="912">
        <f ca="1">INDIRECT( ADDRESS( ROW(), COLUMN(),,, ProjectCashflows!$F$6))</f>
        <v>0</v>
      </c>
      <c r="O17" s="912">
        <f ca="1">INDIRECT( ADDRESS( ROW(), COLUMN(),,, ProjectCashflows!$F$6))</f>
        <v>0</v>
      </c>
      <c r="P17" s="912">
        <f ca="1">INDIRECT( ADDRESS( ROW(), COLUMN(),,, ProjectCashflows!$F$6))</f>
        <v>8</v>
      </c>
      <c r="Q17" s="912">
        <f ca="1">INDIRECT( ADDRESS( ROW(), COLUMN(),,, ProjectCashflows!$F$6))</f>
        <v>8</v>
      </c>
      <c r="R17" s="912">
        <f ca="1">INDIRECT( ADDRESS( ROW(), COLUMN(),,, ProjectCashflows!$F$6))</f>
        <v>8</v>
      </c>
      <c r="S17" s="912">
        <f ca="1">INDIRECT( ADDRESS( ROW(), COLUMN(),,, ProjectCashflows!$F$6))</f>
        <v>8</v>
      </c>
      <c r="T17" s="912">
        <f ca="1">INDIRECT( ADDRESS( ROW(), COLUMN(),,, ProjectCashflows!$F$6))</f>
        <v>8</v>
      </c>
      <c r="U17" s="912">
        <f ca="1">INDIRECT( ADDRESS( ROW(), COLUMN(),,, ProjectCashflows!$F$6))</f>
        <v>8</v>
      </c>
      <c r="V17" s="912">
        <f ca="1">INDIRECT( ADDRESS( ROW(), COLUMN(),,, ProjectCashflows!$F$6))</f>
        <v>8</v>
      </c>
      <c r="W17" s="912">
        <f ca="1">INDIRECT( ADDRESS( ROW(), COLUMN(),,, ProjectCashflows!$F$6))</f>
        <v>8</v>
      </c>
      <c r="X17" s="912">
        <f ca="1">INDIRECT( ADDRESS( ROW(), COLUMN(),,, ProjectCashflows!$F$6))</f>
        <v>8</v>
      </c>
      <c r="Y17" s="912">
        <f ca="1">INDIRECT( ADDRESS( ROW(), COLUMN(),,, ProjectCashflows!$F$6))</f>
        <v>8</v>
      </c>
      <c r="Z17" s="912">
        <f ca="1">INDIRECT( ADDRESS( ROW(), COLUMN(),,, ProjectCashflows!$F$6))</f>
        <v>8</v>
      </c>
      <c r="AA17" s="912">
        <f ca="1">INDIRECT( ADDRESS( ROW(), COLUMN(),,, ProjectCashflows!$F$6))</f>
        <v>8</v>
      </c>
      <c r="AB17" s="912">
        <f ca="1">INDIRECT( ADDRESS( ROW(), COLUMN(),,, ProjectCashflows!$F$6))</f>
        <v>0</v>
      </c>
      <c r="AC17" s="912">
        <f ca="1">INDIRECT( ADDRESS( ROW(), COLUMN(),,, ProjectCashflows!$F$6))</f>
        <v>0</v>
      </c>
      <c r="AD17" s="912">
        <f ca="1">INDIRECT( ADDRESS( ROW(), COLUMN(),,, ProjectCashflows!$F$6))</f>
        <v>0</v>
      </c>
      <c r="AE17" s="912">
        <f ca="1">INDIRECT( ADDRESS( ROW(), COLUMN(),,, ProjectCashflows!$F$6))</f>
        <v>0</v>
      </c>
      <c r="AF17" s="912">
        <f ca="1">INDIRECT( ADDRESS( ROW(), COLUMN(),,, ProjectCashflows!$F$6))</f>
        <v>0</v>
      </c>
      <c r="AG17" s="912">
        <f ca="1">INDIRECT( ADDRESS( ROW(), COLUMN(),,, ProjectCashflows!$F$6))</f>
        <v>0</v>
      </c>
      <c r="AH17" s="912">
        <f ca="1">INDIRECT( ADDRESS( ROW(), COLUMN(),,, ProjectCashflows!$F$6))</f>
        <v>0</v>
      </c>
      <c r="AI17" s="912">
        <f ca="1">INDIRECT( ADDRESS( ROW(), COLUMN(),,, ProjectCashflows!$F$6))</f>
        <v>0</v>
      </c>
      <c r="AJ17" s="912">
        <f ca="1">INDIRECT( ADDRESS( ROW(), COLUMN(),,, ProjectCashflows!$F$6))</f>
        <v>0</v>
      </c>
      <c r="AK17" s="912">
        <f ca="1">INDIRECT( ADDRESS( ROW(), COLUMN(),,, ProjectCashflows!$F$6))</f>
        <v>0</v>
      </c>
      <c r="AL17" s="912">
        <f ca="1">INDIRECT( ADDRESS( ROW(), COLUMN(),,, ProjectCashflows!$F$6))</f>
        <v>0</v>
      </c>
      <c r="AM17" s="912">
        <f ca="1">INDIRECT( ADDRESS( ROW(), COLUMN(),,, ProjectCashflows!$F$6))</f>
        <v>0</v>
      </c>
      <c r="AN17" s="912">
        <f ca="1">INDIRECT( ADDRESS( ROW(), COLUMN(),,, ProjectCashflows!$F$6))</f>
        <v>0</v>
      </c>
      <c r="AO17" s="912">
        <f ca="1">INDIRECT( ADDRESS( ROW(), COLUMN(),,, ProjectCashflows!$F$6))</f>
        <v>0</v>
      </c>
      <c r="AP17" s="912">
        <f ca="1">INDIRECT( ADDRESS( ROW(), COLUMN(),,, ProjectCashflows!$F$6))</f>
        <v>0</v>
      </c>
      <c r="AQ17" s="912">
        <f ca="1">INDIRECT( ADDRESS( ROW(), COLUMN(),,, ProjectCashflows!$F$6))</f>
        <v>0</v>
      </c>
      <c r="AR17" s="912">
        <f ca="1">INDIRECT( ADDRESS( ROW(), COLUMN(),,, ProjectCashflows!$F$6))</f>
        <v>0</v>
      </c>
      <c r="AS17" s="912">
        <f ca="1">INDIRECT( ADDRESS( ROW(), COLUMN(),,, ProjectCashflows!$F$6))</f>
        <v>0</v>
      </c>
      <c r="AT17" s="912">
        <f ca="1">INDIRECT( ADDRESS( ROW(), COLUMN(),,, ProjectCashflows!$F$6))</f>
        <v>0</v>
      </c>
      <c r="AU17" s="912">
        <f ca="1">INDIRECT( ADDRESS( ROW(), COLUMN(),,, ProjectCashflows!$F$6))</f>
        <v>0</v>
      </c>
      <c r="AV17" s="912">
        <f ca="1">INDIRECT( ADDRESS( ROW(), COLUMN(),,, ProjectCashflows!$F$6))</f>
        <v>0</v>
      </c>
      <c r="AW17" s="912">
        <f ca="1">INDIRECT( ADDRESS( ROW(), COLUMN(),,, ProjectCashflows!$F$6))</f>
        <v>0</v>
      </c>
      <c r="AX17" s="912">
        <f ca="1">INDIRECT( ADDRESS( ROW(), COLUMN(),,, ProjectCashflows!$F$6))</f>
        <v>0</v>
      </c>
    </row>
    <row r="18" spans="1:50" ht="15" customHeight="1">
      <c r="A18" s="136"/>
      <c r="C18" s="42"/>
      <c r="D18" s="45"/>
      <c r="E18" s="45" t="str">
        <f>Translate!$E$398</f>
        <v>Operating costs</v>
      </c>
      <c r="F18" s="474"/>
      <c r="G18" s="303" t="str">
        <f xml:space="preserve"> Inputs!F$53</f>
        <v>US$ mn 2021</v>
      </c>
      <c r="H18" s="157"/>
      <c r="I18" s="45">
        <f t="shared" ca="1" si="0"/>
        <v>900</v>
      </c>
      <c r="J18" s="45"/>
      <c r="K18" s="912">
        <f ca="1">INDIRECT( ADDRESS( ROW(), COLUMN(),,, ProjectCashflows!$F$6))</f>
        <v>0</v>
      </c>
      <c r="L18" s="912">
        <f ca="1">INDIRECT( ADDRESS( ROW(), COLUMN(),,, ProjectCashflows!$F$6))</f>
        <v>0</v>
      </c>
      <c r="M18" s="912">
        <f ca="1">INDIRECT( ADDRESS( ROW(), COLUMN(),,, ProjectCashflows!$F$6))</f>
        <v>0</v>
      </c>
      <c r="N18" s="912">
        <f ca="1">INDIRECT( ADDRESS( ROW(), COLUMN(),,, ProjectCashflows!$F$6))</f>
        <v>0</v>
      </c>
      <c r="O18" s="912">
        <f ca="1">INDIRECT( ADDRESS( ROW(), COLUMN(),,, ProjectCashflows!$F$6))</f>
        <v>4.5</v>
      </c>
      <c r="P18" s="912">
        <f ca="1">INDIRECT( ADDRESS( ROW(), COLUMN(),,, ProjectCashflows!$F$6))</f>
        <v>33.75</v>
      </c>
      <c r="Q18" s="912">
        <f ca="1">INDIRECT( ADDRESS( ROW(), COLUMN(),,, ProjectCashflows!$F$6))</f>
        <v>67.5</v>
      </c>
      <c r="R18" s="912">
        <f ca="1">INDIRECT( ADDRESS( ROW(), COLUMN(),,, ProjectCashflows!$F$6))</f>
        <v>67.5</v>
      </c>
      <c r="S18" s="912">
        <f ca="1">INDIRECT( ADDRESS( ROW(), COLUMN(),,, ProjectCashflows!$F$6))</f>
        <v>67.5</v>
      </c>
      <c r="T18" s="912">
        <f ca="1">INDIRECT( ADDRESS( ROW(), COLUMN(),,, ProjectCashflows!$F$6))</f>
        <v>67.5</v>
      </c>
      <c r="U18" s="912">
        <f ca="1">INDIRECT( ADDRESS( ROW(), COLUMN(),,, ProjectCashflows!$F$6))</f>
        <v>67.5</v>
      </c>
      <c r="V18" s="912">
        <f ca="1">INDIRECT( ADDRESS( ROW(), COLUMN(),,, ProjectCashflows!$F$6))</f>
        <v>67.5</v>
      </c>
      <c r="W18" s="912">
        <f ca="1">INDIRECT( ADDRESS( ROW(), COLUMN(),,, ProjectCashflows!$F$6))</f>
        <v>67.5</v>
      </c>
      <c r="X18" s="912">
        <f ca="1">INDIRECT( ADDRESS( ROW(), COLUMN(),,, ProjectCashflows!$F$6))</f>
        <v>67.5</v>
      </c>
      <c r="Y18" s="912">
        <f ca="1">INDIRECT( ADDRESS( ROW(), COLUMN(),,, ProjectCashflows!$F$6))</f>
        <v>67.5</v>
      </c>
      <c r="Z18" s="912">
        <f ca="1">INDIRECT( ADDRESS( ROW(), COLUMN(),,, ProjectCashflows!$F$6))</f>
        <v>67.5</v>
      </c>
      <c r="AA18" s="912">
        <f ca="1">INDIRECT( ADDRESS( ROW(), COLUMN(),,, ProjectCashflows!$F$6))</f>
        <v>56.25</v>
      </c>
      <c r="AB18" s="912">
        <f ca="1">INDIRECT( ADDRESS( ROW(), COLUMN(),,, ProjectCashflows!$F$6))</f>
        <v>45</v>
      </c>
      <c r="AC18" s="912">
        <f ca="1">INDIRECT( ADDRESS( ROW(), COLUMN(),,, ProjectCashflows!$F$6))</f>
        <v>33.75</v>
      </c>
      <c r="AD18" s="912">
        <f ca="1">INDIRECT( ADDRESS( ROW(), COLUMN(),,, ProjectCashflows!$F$6))</f>
        <v>29.25</v>
      </c>
      <c r="AE18" s="912">
        <f ca="1">INDIRECT( ADDRESS( ROW(), COLUMN(),,, ProjectCashflows!$F$6))</f>
        <v>22.5</v>
      </c>
      <c r="AF18" s="912">
        <f ca="1">INDIRECT( ADDRESS( ROW(), COLUMN(),,, ProjectCashflows!$F$6))</f>
        <v>0</v>
      </c>
      <c r="AG18" s="912">
        <f ca="1">INDIRECT( ADDRESS( ROW(), COLUMN(),,, ProjectCashflows!$F$6))</f>
        <v>0</v>
      </c>
      <c r="AH18" s="912">
        <f ca="1">INDIRECT( ADDRESS( ROW(), COLUMN(),,, ProjectCashflows!$F$6))</f>
        <v>0</v>
      </c>
      <c r="AI18" s="912">
        <f ca="1">INDIRECT( ADDRESS( ROW(), COLUMN(),,, ProjectCashflows!$F$6))</f>
        <v>0</v>
      </c>
      <c r="AJ18" s="912">
        <f ca="1">INDIRECT( ADDRESS( ROW(), COLUMN(),,, ProjectCashflows!$F$6))</f>
        <v>0</v>
      </c>
      <c r="AK18" s="912">
        <f ca="1">INDIRECT( ADDRESS( ROW(), COLUMN(),,, ProjectCashflows!$F$6))</f>
        <v>0</v>
      </c>
      <c r="AL18" s="912">
        <f ca="1">INDIRECT( ADDRESS( ROW(), COLUMN(),,, ProjectCashflows!$F$6))</f>
        <v>0</v>
      </c>
      <c r="AM18" s="912">
        <f ca="1">INDIRECT( ADDRESS( ROW(), COLUMN(),,, ProjectCashflows!$F$6))</f>
        <v>0</v>
      </c>
      <c r="AN18" s="912">
        <f ca="1">INDIRECT( ADDRESS( ROW(), COLUMN(),,, ProjectCashflows!$F$6))</f>
        <v>0</v>
      </c>
      <c r="AO18" s="912">
        <f ca="1">INDIRECT( ADDRESS( ROW(), COLUMN(),,, ProjectCashflows!$F$6))</f>
        <v>0</v>
      </c>
      <c r="AP18" s="912">
        <f ca="1">INDIRECT( ADDRESS( ROW(), COLUMN(),,, ProjectCashflows!$F$6))</f>
        <v>0</v>
      </c>
      <c r="AQ18" s="912">
        <f ca="1">INDIRECT( ADDRESS( ROW(), COLUMN(),,, ProjectCashflows!$F$6))</f>
        <v>0</v>
      </c>
      <c r="AR18" s="912">
        <f ca="1">INDIRECT( ADDRESS( ROW(), COLUMN(),,, ProjectCashflows!$F$6))</f>
        <v>0</v>
      </c>
      <c r="AS18" s="912">
        <f ca="1">INDIRECT( ADDRESS( ROW(), COLUMN(),,, ProjectCashflows!$F$6))</f>
        <v>0</v>
      </c>
      <c r="AT18" s="912">
        <f ca="1">INDIRECT( ADDRESS( ROW(), COLUMN(),,, ProjectCashflows!$F$6))</f>
        <v>0</v>
      </c>
      <c r="AU18" s="912">
        <f ca="1">INDIRECT( ADDRESS( ROW(), COLUMN(),,, ProjectCashflows!$F$6))</f>
        <v>0</v>
      </c>
      <c r="AV18" s="912">
        <f ca="1">INDIRECT( ADDRESS( ROW(), COLUMN(),,, ProjectCashflows!$F$6))</f>
        <v>0</v>
      </c>
      <c r="AW18" s="912">
        <f ca="1">INDIRECT( ADDRESS( ROW(), COLUMN(),,, ProjectCashflows!$F$6))</f>
        <v>0</v>
      </c>
      <c r="AX18" s="912">
        <f ca="1">INDIRECT( ADDRESS( ROW(), COLUMN(),,, ProjectCashflows!$F$6))</f>
        <v>0</v>
      </c>
    </row>
    <row r="19" spans="1:50" ht="15" customHeight="1">
      <c r="A19" s="136"/>
      <c r="C19" s="42"/>
      <c r="D19" s="45"/>
      <c r="E19" s="45" t="str">
        <f>Translate!$E$399</f>
        <v>Decommissioning costs</v>
      </c>
      <c r="F19" s="474"/>
      <c r="G19" s="303" t="str">
        <f xml:space="preserve"> Inputs!F$53</f>
        <v>US$ mn 2021</v>
      </c>
      <c r="H19" s="157"/>
      <c r="I19" s="45">
        <f t="shared" ca="1" si="0"/>
        <v>20</v>
      </c>
      <c r="J19" s="45"/>
      <c r="K19" s="912">
        <f ca="1">INDIRECT( ADDRESS( ROW(), COLUMN(),,, ProjectCashflows!$F$6))</f>
        <v>0</v>
      </c>
      <c r="L19" s="912">
        <f ca="1">INDIRECT( ADDRESS( ROW(), COLUMN(),,, ProjectCashflows!$F$6))</f>
        <v>0</v>
      </c>
      <c r="M19" s="912">
        <f ca="1">INDIRECT( ADDRESS( ROW(), COLUMN(),,, ProjectCashflows!$F$6))</f>
        <v>0</v>
      </c>
      <c r="N19" s="912">
        <f ca="1">INDIRECT( ADDRESS( ROW(), COLUMN(),,, ProjectCashflows!$F$6))</f>
        <v>0</v>
      </c>
      <c r="O19" s="912">
        <f ca="1">INDIRECT( ADDRESS( ROW(), COLUMN(),,, ProjectCashflows!$F$6))</f>
        <v>0</v>
      </c>
      <c r="P19" s="912">
        <f ca="1">INDIRECT( ADDRESS( ROW(), COLUMN(),,, ProjectCashflows!$F$6))</f>
        <v>0</v>
      </c>
      <c r="Q19" s="912">
        <f ca="1">INDIRECT( ADDRESS( ROW(), COLUMN(),,, ProjectCashflows!$F$6))</f>
        <v>0</v>
      </c>
      <c r="R19" s="912">
        <f ca="1">INDIRECT( ADDRESS( ROW(), COLUMN(),,, ProjectCashflows!$F$6))</f>
        <v>0</v>
      </c>
      <c r="S19" s="912">
        <f ca="1">INDIRECT( ADDRESS( ROW(), COLUMN(),,, ProjectCashflows!$F$6))</f>
        <v>0</v>
      </c>
      <c r="T19" s="912">
        <f ca="1">INDIRECT( ADDRESS( ROW(), COLUMN(),,, ProjectCashflows!$F$6))</f>
        <v>0</v>
      </c>
      <c r="U19" s="912">
        <f ca="1">INDIRECT( ADDRESS( ROW(), COLUMN(),,, ProjectCashflows!$F$6))</f>
        <v>0</v>
      </c>
      <c r="V19" s="912">
        <f ca="1">INDIRECT( ADDRESS( ROW(), COLUMN(),,, ProjectCashflows!$F$6))</f>
        <v>0</v>
      </c>
      <c r="W19" s="912">
        <f ca="1">INDIRECT( ADDRESS( ROW(), COLUMN(),,, ProjectCashflows!$F$6))</f>
        <v>0</v>
      </c>
      <c r="X19" s="912">
        <f ca="1">INDIRECT( ADDRESS( ROW(), COLUMN(),,, ProjectCashflows!$F$6))</f>
        <v>0</v>
      </c>
      <c r="Y19" s="912">
        <f ca="1">INDIRECT( ADDRESS( ROW(), COLUMN(),,, ProjectCashflows!$F$6))</f>
        <v>0</v>
      </c>
      <c r="Z19" s="912">
        <f ca="1">INDIRECT( ADDRESS( ROW(), COLUMN(),,, ProjectCashflows!$F$6))</f>
        <v>0</v>
      </c>
      <c r="AA19" s="912">
        <f ca="1">INDIRECT( ADDRESS( ROW(), COLUMN(),,, ProjectCashflows!$F$6))</f>
        <v>0</v>
      </c>
      <c r="AB19" s="912">
        <f ca="1">INDIRECT( ADDRESS( ROW(), COLUMN(),,, ProjectCashflows!$F$6))</f>
        <v>0</v>
      </c>
      <c r="AC19" s="912">
        <f ca="1">INDIRECT( ADDRESS( ROW(), COLUMN(),,, ProjectCashflows!$F$6))</f>
        <v>0</v>
      </c>
      <c r="AD19" s="912">
        <f ca="1">INDIRECT( ADDRESS( ROW(), COLUMN(),,, ProjectCashflows!$F$6))</f>
        <v>0</v>
      </c>
      <c r="AE19" s="912">
        <f ca="1">INDIRECT( ADDRESS( ROW(), COLUMN(),,, ProjectCashflows!$F$6))</f>
        <v>0</v>
      </c>
      <c r="AF19" s="912">
        <f ca="1">INDIRECT( ADDRESS( ROW(), COLUMN(),,, ProjectCashflows!$F$6))</f>
        <v>20</v>
      </c>
      <c r="AG19" s="912">
        <f ca="1">INDIRECT( ADDRESS( ROW(), COLUMN(),,, ProjectCashflows!$F$6))</f>
        <v>0</v>
      </c>
      <c r="AH19" s="912">
        <f ca="1">INDIRECT( ADDRESS( ROW(), COLUMN(),,, ProjectCashflows!$F$6))</f>
        <v>0</v>
      </c>
      <c r="AI19" s="912">
        <f ca="1">INDIRECT( ADDRESS( ROW(), COLUMN(),,, ProjectCashflows!$F$6))</f>
        <v>0</v>
      </c>
      <c r="AJ19" s="912">
        <f ca="1">INDIRECT( ADDRESS( ROW(), COLUMN(),,, ProjectCashflows!$F$6))</f>
        <v>0</v>
      </c>
      <c r="AK19" s="912">
        <f ca="1">INDIRECT( ADDRESS( ROW(), COLUMN(),,, ProjectCashflows!$F$6))</f>
        <v>0</v>
      </c>
      <c r="AL19" s="912">
        <f ca="1">INDIRECT( ADDRESS( ROW(), COLUMN(),,, ProjectCashflows!$F$6))</f>
        <v>0</v>
      </c>
      <c r="AM19" s="912">
        <f ca="1">INDIRECT( ADDRESS( ROW(), COLUMN(),,, ProjectCashflows!$F$6))</f>
        <v>0</v>
      </c>
      <c r="AN19" s="912">
        <f ca="1">INDIRECT( ADDRESS( ROW(), COLUMN(),,, ProjectCashflows!$F$6))</f>
        <v>0</v>
      </c>
      <c r="AO19" s="912">
        <f ca="1">INDIRECT( ADDRESS( ROW(), COLUMN(),,, ProjectCashflows!$F$6))</f>
        <v>0</v>
      </c>
      <c r="AP19" s="912">
        <f ca="1">INDIRECT( ADDRESS( ROW(), COLUMN(),,, ProjectCashflows!$F$6))</f>
        <v>0</v>
      </c>
      <c r="AQ19" s="912">
        <f ca="1">INDIRECT( ADDRESS( ROW(), COLUMN(),,, ProjectCashflows!$F$6))</f>
        <v>0</v>
      </c>
      <c r="AR19" s="912">
        <f ca="1">INDIRECT( ADDRESS( ROW(), COLUMN(),,, ProjectCashflows!$F$6))</f>
        <v>0</v>
      </c>
      <c r="AS19" s="912">
        <f ca="1">INDIRECT( ADDRESS( ROW(), COLUMN(),,, ProjectCashflows!$F$6))</f>
        <v>0</v>
      </c>
      <c r="AT19" s="912">
        <f ca="1">INDIRECT( ADDRESS( ROW(), COLUMN(),,, ProjectCashflows!$F$6))</f>
        <v>0</v>
      </c>
      <c r="AU19" s="912">
        <f ca="1">INDIRECT( ADDRESS( ROW(), COLUMN(),,, ProjectCashflows!$F$6))</f>
        <v>0</v>
      </c>
      <c r="AV19" s="912">
        <f ca="1">INDIRECT( ADDRESS( ROW(), COLUMN(),,, ProjectCashflows!$F$6))</f>
        <v>0</v>
      </c>
      <c r="AW19" s="912">
        <f ca="1">INDIRECT( ADDRESS( ROW(), COLUMN(),,, ProjectCashflows!$F$6))</f>
        <v>0</v>
      </c>
      <c r="AX19" s="912">
        <f ca="1">INDIRECT( ADDRESS( ROW(), COLUMN(),,, ProjectCashflows!$F$6))</f>
        <v>0</v>
      </c>
    </row>
    <row r="20" spans="1:50" s="304" customFormat="1" ht="15" customHeight="1">
      <c r="C20" s="913"/>
      <c r="D20" s="303"/>
      <c r="E20" s="303" t="str">
        <f>Translate!$E$400</f>
        <v>Total costs</v>
      </c>
      <c r="F20" s="474"/>
      <c r="G20" s="303" t="str">
        <f xml:space="preserve"> Inputs!F$53</f>
        <v>US$ mn 2021</v>
      </c>
      <c r="H20" s="303"/>
      <c r="I20" s="303">
        <f ca="1" xml:space="preserve"> SUM(K20:AX20)</f>
        <v>1496</v>
      </c>
      <c r="J20" s="303"/>
      <c r="K20" s="303">
        <f t="shared" ref="K20:AX20" ca="1" si="1">SUM(K14:K19)</f>
        <v>10</v>
      </c>
      <c r="L20" s="303">
        <f t="shared" ca="1" si="1"/>
        <v>10</v>
      </c>
      <c r="M20" s="303">
        <f t="shared" ca="1" si="1"/>
        <v>10</v>
      </c>
      <c r="N20" s="303">
        <f t="shared" ca="1" si="1"/>
        <v>50</v>
      </c>
      <c r="O20" s="303">
        <f t="shared" ca="1" si="1"/>
        <v>254.75</v>
      </c>
      <c r="P20" s="303">
        <f t="shared" ca="1" si="1"/>
        <v>143.625</v>
      </c>
      <c r="Q20" s="303">
        <f t="shared" ca="1" si="1"/>
        <v>79.25</v>
      </c>
      <c r="R20" s="303">
        <f t="shared" ca="1" si="1"/>
        <v>79.25</v>
      </c>
      <c r="S20" s="303">
        <f t="shared" ca="1" si="1"/>
        <v>79.25</v>
      </c>
      <c r="T20" s="303">
        <f t="shared" ca="1" si="1"/>
        <v>79.25</v>
      </c>
      <c r="U20" s="303">
        <f t="shared" ca="1" si="1"/>
        <v>79.25</v>
      </c>
      <c r="V20" s="303">
        <f t="shared" ca="1" si="1"/>
        <v>79.25</v>
      </c>
      <c r="W20" s="303">
        <f t="shared" ca="1" si="1"/>
        <v>79.25</v>
      </c>
      <c r="X20" s="303">
        <f t="shared" ca="1" si="1"/>
        <v>79.25</v>
      </c>
      <c r="Y20" s="303">
        <f t="shared" ca="1" si="1"/>
        <v>79.25</v>
      </c>
      <c r="Z20" s="303">
        <f t="shared" ca="1" si="1"/>
        <v>79.25</v>
      </c>
      <c r="AA20" s="303">
        <f t="shared" ca="1" si="1"/>
        <v>67.375</v>
      </c>
      <c r="AB20" s="303">
        <f t="shared" ca="1" si="1"/>
        <v>47.5</v>
      </c>
      <c r="AC20" s="303">
        <f t="shared" ca="1" si="1"/>
        <v>35.625</v>
      </c>
      <c r="AD20" s="303">
        <f t="shared" ca="1" si="1"/>
        <v>30.875</v>
      </c>
      <c r="AE20" s="303">
        <f t="shared" ca="1" si="1"/>
        <v>23.75</v>
      </c>
      <c r="AF20" s="303">
        <f t="shared" ca="1" si="1"/>
        <v>20</v>
      </c>
      <c r="AG20" s="303">
        <f t="shared" ca="1" si="1"/>
        <v>0</v>
      </c>
      <c r="AH20" s="303">
        <f t="shared" ca="1" si="1"/>
        <v>0</v>
      </c>
      <c r="AI20" s="303">
        <f t="shared" ca="1" si="1"/>
        <v>0</v>
      </c>
      <c r="AJ20" s="303">
        <f t="shared" ca="1" si="1"/>
        <v>0</v>
      </c>
      <c r="AK20" s="303">
        <f t="shared" ca="1" si="1"/>
        <v>0</v>
      </c>
      <c r="AL20" s="303">
        <f t="shared" ca="1" si="1"/>
        <v>0</v>
      </c>
      <c r="AM20" s="303">
        <f t="shared" ca="1" si="1"/>
        <v>0</v>
      </c>
      <c r="AN20" s="303">
        <f t="shared" ca="1" si="1"/>
        <v>0</v>
      </c>
      <c r="AO20" s="303">
        <f t="shared" ca="1" si="1"/>
        <v>0</v>
      </c>
      <c r="AP20" s="303">
        <f t="shared" ca="1" si="1"/>
        <v>0</v>
      </c>
      <c r="AQ20" s="303">
        <f t="shared" ca="1" si="1"/>
        <v>0</v>
      </c>
      <c r="AR20" s="303">
        <f t="shared" ca="1" si="1"/>
        <v>0</v>
      </c>
      <c r="AS20" s="303">
        <f t="shared" ca="1" si="1"/>
        <v>0</v>
      </c>
      <c r="AT20" s="303">
        <f t="shared" ca="1" si="1"/>
        <v>0</v>
      </c>
      <c r="AU20" s="303">
        <f t="shared" ca="1" si="1"/>
        <v>0</v>
      </c>
      <c r="AV20" s="303">
        <f t="shared" ca="1" si="1"/>
        <v>0</v>
      </c>
      <c r="AW20" s="303">
        <f t="shared" ca="1" si="1"/>
        <v>0</v>
      </c>
      <c r="AX20" s="303">
        <f t="shared" ca="1" si="1"/>
        <v>0</v>
      </c>
    </row>
    <row r="21" spans="1:50" ht="15" customHeight="1">
      <c r="A21" s="90"/>
      <c r="B21" s="134"/>
      <c r="C21" s="92"/>
      <c r="D21" s="135"/>
      <c r="E21" s="45"/>
      <c r="F21" s="46"/>
      <c r="G21" s="12"/>
      <c r="H21" s="12"/>
      <c r="I21" s="85"/>
      <c r="J21" s="43"/>
    </row>
    <row r="22" spans="1:50" ht="15" customHeight="1">
      <c r="A22" s="98"/>
      <c r="B22" s="132"/>
      <c r="C22" s="96"/>
      <c r="D22" s="133"/>
      <c r="E22" s="45" t="str">
        <f ca="1" xml:space="preserve"> E$12</f>
        <v>Gold sales</v>
      </c>
      <c r="F22" s="46"/>
      <c r="G22" s="12" t="str">
        <f ca="1" xml:space="preserve"> G12</f>
        <v>000 ounce</v>
      </c>
      <c r="H22" s="12"/>
      <c r="I22" s="85">
        <f ca="1" xml:space="preserve"> SUM(K22:AX22)</f>
        <v>2000</v>
      </c>
      <c r="J22" s="46"/>
      <c r="K22" s="11">
        <f t="shared" ref="K22:AX22" ca="1" si="2" xml:space="preserve"> K12</f>
        <v>0</v>
      </c>
      <c r="L22" s="11">
        <f t="shared" ca="1" si="2"/>
        <v>0</v>
      </c>
      <c r="M22" s="11">
        <f t="shared" ca="1" si="2"/>
        <v>0</v>
      </c>
      <c r="N22" s="11">
        <f t="shared" ca="1" si="2"/>
        <v>0</v>
      </c>
      <c r="O22" s="11">
        <f t="shared" ca="1" si="2"/>
        <v>10</v>
      </c>
      <c r="P22" s="11">
        <f t="shared" ca="1" si="2"/>
        <v>75</v>
      </c>
      <c r="Q22" s="11">
        <f t="shared" ca="1" si="2"/>
        <v>150</v>
      </c>
      <c r="R22" s="11">
        <f t="shared" ca="1" si="2"/>
        <v>150</v>
      </c>
      <c r="S22" s="11">
        <f t="shared" ca="1" si="2"/>
        <v>150</v>
      </c>
      <c r="T22" s="11">
        <f t="shared" ca="1" si="2"/>
        <v>150</v>
      </c>
      <c r="U22" s="11">
        <f t="shared" ca="1" si="2"/>
        <v>150</v>
      </c>
      <c r="V22" s="11">
        <f t="shared" ca="1" si="2"/>
        <v>150</v>
      </c>
      <c r="W22" s="11">
        <f t="shared" ca="1" si="2"/>
        <v>150</v>
      </c>
      <c r="X22" s="11">
        <f t="shared" ca="1" si="2"/>
        <v>150</v>
      </c>
      <c r="Y22" s="11">
        <f t="shared" ca="1" si="2"/>
        <v>150</v>
      </c>
      <c r="Z22" s="11">
        <f t="shared" ca="1" si="2"/>
        <v>150</v>
      </c>
      <c r="AA22" s="11">
        <f t="shared" ca="1" si="2"/>
        <v>125</v>
      </c>
      <c r="AB22" s="11">
        <f t="shared" ca="1" si="2"/>
        <v>100</v>
      </c>
      <c r="AC22" s="11">
        <f t="shared" ca="1" si="2"/>
        <v>75</v>
      </c>
      <c r="AD22" s="11">
        <f t="shared" ca="1" si="2"/>
        <v>65</v>
      </c>
      <c r="AE22" s="11">
        <f t="shared" ca="1" si="2"/>
        <v>50</v>
      </c>
      <c r="AF22" s="11">
        <f t="shared" ca="1" si="2"/>
        <v>0</v>
      </c>
      <c r="AG22" s="11">
        <f t="shared" ca="1" si="2"/>
        <v>0</v>
      </c>
      <c r="AH22" s="11">
        <f t="shared" ca="1" si="2"/>
        <v>0</v>
      </c>
      <c r="AI22" s="11">
        <f t="shared" ca="1" si="2"/>
        <v>0</v>
      </c>
      <c r="AJ22" s="11">
        <f t="shared" ca="1" si="2"/>
        <v>0</v>
      </c>
      <c r="AK22" s="11">
        <f t="shared" ca="1" si="2"/>
        <v>0</v>
      </c>
      <c r="AL22" s="11">
        <f t="shared" ca="1" si="2"/>
        <v>0</v>
      </c>
      <c r="AM22" s="11">
        <f t="shared" ca="1" si="2"/>
        <v>0</v>
      </c>
      <c r="AN22" s="11">
        <f t="shared" ca="1" si="2"/>
        <v>0</v>
      </c>
      <c r="AO22" s="11">
        <f t="shared" ca="1" si="2"/>
        <v>0</v>
      </c>
      <c r="AP22" s="11">
        <f t="shared" ca="1" si="2"/>
        <v>0</v>
      </c>
      <c r="AQ22" s="11">
        <f t="shared" ca="1" si="2"/>
        <v>0</v>
      </c>
      <c r="AR22" s="11">
        <f t="shared" ca="1" si="2"/>
        <v>0</v>
      </c>
      <c r="AS22" s="11">
        <f t="shared" ca="1" si="2"/>
        <v>0</v>
      </c>
      <c r="AT22" s="11">
        <f t="shared" ca="1" si="2"/>
        <v>0</v>
      </c>
      <c r="AU22" s="11">
        <f t="shared" ca="1" si="2"/>
        <v>0</v>
      </c>
      <c r="AV22" s="11">
        <f t="shared" ca="1" si="2"/>
        <v>0</v>
      </c>
      <c r="AW22" s="11">
        <f t="shared" ca="1" si="2"/>
        <v>0</v>
      </c>
      <c r="AX22" s="11">
        <f t="shared" ca="1" si="2"/>
        <v>0</v>
      </c>
    </row>
    <row r="23" spans="1:50" ht="15" customHeight="1">
      <c r="A23" s="98"/>
      <c r="B23" s="132"/>
      <c r="C23" s="96"/>
      <c r="D23" s="133"/>
      <c r="E23" s="45" t="str">
        <f ca="1" xml:space="preserve"> E22 &amp; ": " &amp; Translate!$E$19</f>
        <v>Gold sales: Total</v>
      </c>
      <c r="F23" s="46">
        <f ca="1" xml:space="preserve"> SUM(K12:AX12)</f>
        <v>2000</v>
      </c>
      <c r="G23" s="12" t="str">
        <f ca="1" xml:space="preserve"> G22</f>
        <v>000 ounce</v>
      </c>
      <c r="H23" s="12"/>
      <c r="I23" s="85"/>
      <c r="J23" s="46"/>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row>
    <row r="24" spans="1:50" ht="15" customHeight="1">
      <c r="A24" s="76"/>
      <c r="B24" s="76"/>
      <c r="C24" s="76"/>
      <c r="D24" s="76"/>
      <c r="E24" s="76"/>
      <c r="F24" s="474"/>
      <c r="G24" s="77"/>
      <c r="H24" s="76"/>
      <c r="I24" s="76"/>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row>
    <row r="25" spans="1:50" s="324" customFormat="1" ht="15" customHeight="1">
      <c r="A25" s="19"/>
      <c r="B25" s="19" t="str">
        <f xml:space="preserve"> Translate!E$602</f>
        <v>Unit costs</v>
      </c>
      <c r="C25" s="202"/>
      <c r="D25" s="203"/>
      <c r="E25" s="1041"/>
      <c r="F25" s="1041"/>
      <c r="G25" s="1041"/>
      <c r="H25" s="1041"/>
      <c r="I25" s="1041"/>
      <c r="J25" s="1036"/>
      <c r="K25" s="1036"/>
      <c r="L25" s="1036"/>
      <c r="M25" s="1036"/>
      <c r="N25" s="1036"/>
      <c r="O25" s="1036"/>
      <c r="P25" s="1036"/>
      <c r="Q25" s="1036"/>
      <c r="R25" s="1036"/>
      <c r="S25" s="1036"/>
      <c r="T25" s="1036"/>
      <c r="U25" s="1036"/>
      <c r="V25" s="1036"/>
      <c r="W25" s="1036"/>
      <c r="X25" s="1036"/>
      <c r="Y25" s="1036"/>
      <c r="Z25" s="1036"/>
      <c r="AA25" s="1036"/>
      <c r="AB25" s="1036"/>
      <c r="AC25" s="1036"/>
      <c r="AD25" s="1036"/>
      <c r="AE25" s="1036"/>
      <c r="AF25" s="1036"/>
      <c r="AG25" s="1036"/>
      <c r="AH25" s="1036"/>
      <c r="AI25" s="1036"/>
      <c r="AJ25" s="1036"/>
      <c r="AK25" s="1036"/>
      <c r="AL25" s="1036"/>
      <c r="AM25" s="1036"/>
      <c r="AN25" s="1036"/>
      <c r="AO25" s="1036"/>
      <c r="AP25" s="1036"/>
      <c r="AQ25" s="1036"/>
      <c r="AR25" s="1036"/>
      <c r="AS25" s="1036"/>
      <c r="AT25" s="1036"/>
      <c r="AU25" s="1036"/>
      <c r="AV25" s="1036"/>
      <c r="AW25" s="1036"/>
      <c r="AX25" s="1036"/>
    </row>
    <row r="26" spans="1:50" s="324" customFormat="1" ht="15" customHeight="1">
      <c r="A26" s="19"/>
      <c r="B26" s="19"/>
      <c r="C26" s="202"/>
      <c r="D26" s="203"/>
      <c r="E26" s="1041" t="str">
        <f>Translate!$E$401</f>
        <v>Total sales</v>
      </c>
      <c r="F26" s="1041">
        <f ca="1" xml:space="preserve"> SUM(K12:AX12)</f>
        <v>2000</v>
      </c>
      <c r="G26" s="1041" t="str">
        <f ca="1" xml:space="preserve"> G12</f>
        <v>000 ounce</v>
      </c>
      <c r="H26" s="1041"/>
      <c r="I26" s="1041"/>
      <c r="J26" s="1036"/>
      <c r="K26" s="1036"/>
      <c r="L26" s="1036"/>
      <c r="M26" s="1036"/>
      <c r="N26" s="1036"/>
      <c r="O26" s="1036"/>
      <c r="P26" s="1036"/>
      <c r="Q26" s="1036"/>
      <c r="R26" s="1036"/>
      <c r="S26" s="1036"/>
      <c r="T26" s="1036"/>
      <c r="U26" s="1036"/>
      <c r="V26" s="1036"/>
      <c r="W26" s="1036"/>
      <c r="X26" s="1036"/>
      <c r="Y26" s="1036"/>
      <c r="Z26" s="1036"/>
      <c r="AA26" s="1036"/>
      <c r="AB26" s="1036"/>
      <c r="AC26" s="1036"/>
      <c r="AD26" s="1036"/>
      <c r="AE26" s="1036"/>
      <c r="AF26" s="1036"/>
      <c r="AG26" s="1036"/>
      <c r="AH26" s="1036"/>
      <c r="AI26" s="1036"/>
      <c r="AJ26" s="1036"/>
      <c r="AK26" s="1036"/>
      <c r="AL26" s="1036"/>
      <c r="AM26" s="1036"/>
      <c r="AN26" s="1036"/>
      <c r="AO26" s="1036"/>
      <c r="AP26" s="1036"/>
      <c r="AQ26" s="1036"/>
      <c r="AR26" s="1036"/>
      <c r="AS26" s="1036"/>
      <c r="AT26" s="1036"/>
      <c r="AU26" s="1036"/>
      <c r="AV26" s="1036"/>
      <c r="AW26" s="1036"/>
      <c r="AX26" s="1036"/>
    </row>
    <row r="27" spans="1:50" s="324" customFormat="1" ht="15" customHeight="1">
      <c r="A27" s="19"/>
      <c r="B27" s="19"/>
      <c r="C27" s="202"/>
      <c r="D27" s="203"/>
      <c r="E27" s="219" t="str">
        <f xml:space="preserve"> Inputs!E$76</f>
        <v>one thousand</v>
      </c>
      <c r="F27" s="219">
        <f xml:space="preserve"> Inputs!F$76</f>
        <v>1000</v>
      </c>
      <c r="G27" s="219" t="str">
        <f xml:space="preserve"> Inputs!G$76</f>
        <v>Constant</v>
      </c>
      <c r="H27" s="1041"/>
      <c r="I27" s="1041"/>
      <c r="J27" s="1036"/>
      <c r="K27" s="1036"/>
      <c r="L27" s="1036"/>
      <c r="M27" s="1036"/>
      <c r="N27" s="1036"/>
      <c r="O27" s="1036"/>
      <c r="P27" s="1036"/>
      <c r="Q27" s="1036"/>
      <c r="R27" s="1036"/>
      <c r="S27" s="1036"/>
      <c r="T27" s="1036"/>
      <c r="U27" s="1036"/>
      <c r="V27" s="1036"/>
      <c r="W27" s="1036"/>
      <c r="X27" s="1036"/>
      <c r="Y27" s="1036"/>
      <c r="Z27" s="1036"/>
      <c r="AA27" s="1036"/>
      <c r="AB27" s="1036"/>
      <c r="AC27" s="1036"/>
      <c r="AD27" s="1036"/>
      <c r="AE27" s="1036"/>
      <c r="AF27" s="1036"/>
      <c r="AG27" s="1036"/>
      <c r="AH27" s="1036"/>
      <c r="AI27" s="1036"/>
      <c r="AJ27" s="1036"/>
      <c r="AK27" s="1036"/>
      <c r="AL27" s="1036"/>
      <c r="AM27" s="1036"/>
      <c r="AN27" s="1036"/>
      <c r="AO27" s="1036"/>
      <c r="AP27" s="1036"/>
      <c r="AQ27" s="1036"/>
      <c r="AR27" s="1036"/>
      <c r="AS27" s="1036"/>
      <c r="AT27" s="1036"/>
      <c r="AU27" s="1036"/>
      <c r="AV27" s="1036"/>
      <c r="AW27" s="1036"/>
      <c r="AX27" s="1036"/>
    </row>
    <row r="28" spans="1:50" s="324" customFormat="1" ht="15" customHeight="1">
      <c r="A28" s="19"/>
      <c r="B28" s="19"/>
      <c r="C28" s="202"/>
      <c r="D28" s="203"/>
      <c r="E28" s="219"/>
      <c r="F28" s="219"/>
      <c r="G28" s="219"/>
      <c r="H28" s="1041"/>
      <c r="I28" s="1041"/>
      <c r="J28" s="1036"/>
      <c r="K28" s="1036"/>
      <c r="L28" s="1036"/>
      <c r="M28" s="1036"/>
      <c r="N28" s="1036"/>
      <c r="O28" s="1036"/>
      <c r="P28" s="1036"/>
      <c r="Q28" s="1036"/>
      <c r="R28" s="1036"/>
      <c r="S28" s="1036"/>
      <c r="T28" s="1036"/>
      <c r="U28" s="1036"/>
      <c r="V28" s="1036"/>
      <c r="W28" s="1036"/>
      <c r="X28" s="1036"/>
      <c r="Y28" s="1036"/>
      <c r="Z28" s="1036"/>
      <c r="AA28" s="1036"/>
      <c r="AB28" s="1036"/>
      <c r="AC28" s="1036"/>
      <c r="AD28" s="1036"/>
      <c r="AE28" s="1036"/>
      <c r="AF28" s="1036"/>
      <c r="AG28" s="1036"/>
      <c r="AH28" s="1036"/>
      <c r="AI28" s="1036"/>
      <c r="AJ28" s="1036"/>
      <c r="AK28" s="1036"/>
      <c r="AL28" s="1036"/>
      <c r="AM28" s="1036"/>
      <c r="AN28" s="1036"/>
      <c r="AO28" s="1036"/>
      <c r="AP28" s="1036"/>
      <c r="AQ28" s="1036"/>
      <c r="AR28" s="1036"/>
      <c r="AS28" s="1036"/>
      <c r="AT28" s="1036"/>
      <c r="AU28" s="1036"/>
      <c r="AV28" s="1036"/>
      <c r="AW28" s="1036"/>
      <c r="AX28" s="1036"/>
    </row>
    <row r="29" spans="1:50" s="324" customFormat="1" ht="15" customHeight="1">
      <c r="A29" s="19"/>
      <c r="B29" s="19"/>
      <c r="C29" s="202"/>
      <c r="D29" s="203"/>
      <c r="E29" s="1041" t="str">
        <f t="shared" ref="E29:E34" si="3" xml:space="preserve"> E14</f>
        <v>Transport costs post-fiscal point</v>
      </c>
      <c r="F29" s="1133">
        <f t="shared" ref="F29:F34" ca="1" si="4" xml:space="preserve"> SUM(K14:AX14) / F$26 * F$27</f>
        <v>25</v>
      </c>
      <c r="G29" s="1041" t="str">
        <f ca="1" xml:space="preserve"> Inputs!F$52 &amp; " / " &amp; F$10</f>
        <v>US$ 2021 / ounce</v>
      </c>
      <c r="H29" s="1041"/>
      <c r="I29" s="1041"/>
      <c r="J29" s="1036"/>
      <c r="K29" s="1036"/>
      <c r="L29" s="1036"/>
      <c r="M29" s="1036"/>
      <c r="N29" s="1036"/>
      <c r="O29" s="1036"/>
      <c r="P29" s="1036"/>
      <c r="Q29" s="1036"/>
      <c r="R29" s="1036"/>
      <c r="S29" s="1036"/>
      <c r="T29" s="1036"/>
      <c r="U29" s="1036"/>
      <c r="V29" s="1036"/>
      <c r="W29" s="1036"/>
      <c r="X29" s="1036"/>
      <c r="Y29" s="1036"/>
      <c r="Z29" s="1036"/>
      <c r="AA29" s="1036"/>
      <c r="AB29" s="1036"/>
      <c r="AC29" s="1036"/>
      <c r="AD29" s="1036"/>
      <c r="AE29" s="1036"/>
      <c r="AF29" s="1036"/>
      <c r="AG29" s="1036"/>
      <c r="AH29" s="1036"/>
      <c r="AI29" s="1036"/>
      <c r="AJ29" s="1036"/>
      <c r="AK29" s="1036"/>
      <c r="AL29" s="1036"/>
      <c r="AM29" s="1036"/>
      <c r="AN29" s="1036"/>
      <c r="AO29" s="1036"/>
      <c r="AP29" s="1036"/>
      <c r="AQ29" s="1036"/>
      <c r="AR29" s="1036"/>
      <c r="AS29" s="1036"/>
      <c r="AT29" s="1036"/>
      <c r="AU29" s="1036"/>
      <c r="AV29" s="1036"/>
      <c r="AW29" s="1036"/>
      <c r="AX29" s="1036"/>
    </row>
    <row r="30" spans="1:50" s="324" customFormat="1" ht="15" customHeight="1">
      <c r="A30" s="19"/>
      <c r="B30" s="19"/>
      <c r="C30" s="202"/>
      <c r="D30" s="203"/>
      <c r="E30" s="1041" t="str">
        <f t="shared" si="3"/>
        <v>Exploration costs</v>
      </c>
      <c r="F30" s="1133">
        <f t="shared" ca="1" si="4"/>
        <v>15</v>
      </c>
      <c r="G30" s="1041" t="str">
        <f ca="1" xml:space="preserve"> Inputs!F$52 &amp; " / " &amp; F$10</f>
        <v>US$ 2021 / ounce</v>
      </c>
      <c r="H30" s="1041"/>
      <c r="I30" s="1041"/>
      <c r="J30" s="1036"/>
      <c r="K30" s="1036"/>
      <c r="L30" s="1036"/>
      <c r="M30" s="1036"/>
      <c r="N30" s="1036"/>
      <c r="O30" s="1036"/>
      <c r="P30" s="1036"/>
      <c r="Q30" s="1036"/>
      <c r="R30" s="1036"/>
      <c r="S30" s="1036"/>
      <c r="T30" s="1036"/>
      <c r="U30" s="1036"/>
      <c r="V30" s="1036"/>
      <c r="W30" s="1036"/>
      <c r="X30" s="1036"/>
      <c r="Y30" s="1036"/>
      <c r="Z30" s="1036"/>
      <c r="AA30" s="1036"/>
      <c r="AB30" s="1036"/>
      <c r="AC30" s="1036"/>
      <c r="AD30" s="1036"/>
      <c r="AE30" s="1036"/>
      <c r="AF30" s="1036"/>
      <c r="AG30" s="1036"/>
      <c r="AH30" s="1036"/>
      <c r="AI30" s="1036"/>
      <c r="AJ30" s="1036"/>
      <c r="AK30" s="1036"/>
      <c r="AL30" s="1036"/>
      <c r="AM30" s="1036"/>
      <c r="AN30" s="1036"/>
      <c r="AO30" s="1036"/>
      <c r="AP30" s="1036"/>
      <c r="AQ30" s="1036"/>
      <c r="AR30" s="1036"/>
      <c r="AS30" s="1036"/>
      <c r="AT30" s="1036"/>
      <c r="AU30" s="1036"/>
      <c r="AV30" s="1036"/>
      <c r="AW30" s="1036"/>
      <c r="AX30" s="1036"/>
    </row>
    <row r="31" spans="1:50" s="324" customFormat="1" ht="15" customHeight="1">
      <c r="A31" s="19"/>
      <c r="B31" s="19"/>
      <c r="C31" s="202"/>
      <c r="D31" s="203"/>
      <c r="E31" s="1041" t="str">
        <f t="shared" si="3"/>
        <v>Development costs</v>
      </c>
      <c r="F31" s="1133">
        <f t="shared" ca="1" si="4"/>
        <v>200</v>
      </c>
      <c r="G31" s="1041" t="str">
        <f ca="1" xml:space="preserve"> Inputs!F$52 &amp; " / " &amp; F$10</f>
        <v>US$ 2021 / ounce</v>
      </c>
      <c r="H31" s="1041"/>
      <c r="I31" s="1041"/>
      <c r="J31" s="1036"/>
      <c r="K31" s="1036"/>
      <c r="L31" s="1036"/>
      <c r="M31" s="1036"/>
      <c r="N31" s="1036"/>
      <c r="O31" s="1036"/>
      <c r="P31" s="1036"/>
      <c r="Q31" s="1036"/>
      <c r="R31" s="1036"/>
      <c r="S31" s="1036"/>
      <c r="T31" s="1036"/>
      <c r="U31" s="1036"/>
      <c r="V31" s="1036"/>
      <c r="W31" s="1036"/>
      <c r="X31" s="1036"/>
      <c r="Y31" s="1036"/>
      <c r="Z31" s="1036"/>
      <c r="AA31" s="1036"/>
      <c r="AB31" s="1036"/>
      <c r="AC31" s="1036"/>
      <c r="AD31" s="1036"/>
      <c r="AE31" s="1036"/>
      <c r="AF31" s="1036"/>
      <c r="AG31" s="1036"/>
      <c r="AH31" s="1036"/>
      <c r="AI31" s="1036"/>
      <c r="AJ31" s="1036"/>
      <c r="AK31" s="1036"/>
      <c r="AL31" s="1036"/>
      <c r="AM31" s="1036"/>
      <c r="AN31" s="1036"/>
      <c r="AO31" s="1036"/>
      <c r="AP31" s="1036"/>
      <c r="AQ31" s="1036"/>
      <c r="AR31" s="1036"/>
      <c r="AS31" s="1036"/>
      <c r="AT31" s="1036"/>
      <c r="AU31" s="1036"/>
      <c r="AV31" s="1036"/>
      <c r="AW31" s="1036"/>
      <c r="AX31" s="1036"/>
    </row>
    <row r="32" spans="1:50" s="324" customFormat="1" ht="15" customHeight="1">
      <c r="A32" s="19"/>
      <c r="B32" s="19"/>
      <c r="C32" s="202"/>
      <c r="D32" s="203"/>
      <c r="E32" s="1041" t="str">
        <f t="shared" si="3"/>
        <v>Replacement capital costs</v>
      </c>
      <c r="F32" s="1133">
        <f t="shared" ca="1" si="4"/>
        <v>48</v>
      </c>
      <c r="G32" s="1041" t="str">
        <f ca="1" xml:space="preserve"> Inputs!F$52 &amp; " / " &amp; F$10</f>
        <v>US$ 2021 / ounce</v>
      </c>
      <c r="H32" s="1041"/>
      <c r="I32" s="1041"/>
      <c r="J32" s="1036"/>
      <c r="K32" s="1036"/>
      <c r="L32" s="1036"/>
      <c r="M32" s="1036"/>
      <c r="N32" s="1036"/>
      <c r="O32" s="1036"/>
      <c r="P32" s="1036"/>
      <c r="Q32" s="1036"/>
      <c r="R32" s="1036"/>
      <c r="S32" s="1036"/>
      <c r="T32" s="1036"/>
      <c r="U32" s="1036"/>
      <c r="V32" s="1036"/>
      <c r="W32" s="1036"/>
      <c r="X32" s="1036"/>
      <c r="Y32" s="1036"/>
      <c r="Z32" s="1036"/>
      <c r="AA32" s="1036"/>
      <c r="AB32" s="1036"/>
      <c r="AC32" s="1036"/>
      <c r="AD32" s="1036"/>
      <c r="AE32" s="1036"/>
      <c r="AF32" s="1036"/>
      <c r="AG32" s="1036"/>
      <c r="AH32" s="1036"/>
      <c r="AI32" s="1036"/>
      <c r="AJ32" s="1036"/>
      <c r="AK32" s="1036"/>
      <c r="AL32" s="1036"/>
      <c r="AM32" s="1036"/>
      <c r="AN32" s="1036"/>
      <c r="AO32" s="1036"/>
      <c r="AP32" s="1036"/>
      <c r="AQ32" s="1036"/>
      <c r="AR32" s="1036"/>
      <c r="AS32" s="1036"/>
      <c r="AT32" s="1036"/>
      <c r="AU32" s="1036"/>
      <c r="AV32" s="1036"/>
      <c r="AW32" s="1036"/>
      <c r="AX32" s="1036"/>
    </row>
    <row r="33" spans="1:50" s="324" customFormat="1" ht="15" customHeight="1">
      <c r="A33" s="19"/>
      <c r="B33" s="19"/>
      <c r="C33" s="202"/>
      <c r="D33" s="203"/>
      <c r="E33" s="1041" t="str">
        <f t="shared" si="3"/>
        <v>Operating costs</v>
      </c>
      <c r="F33" s="1133">
        <f t="shared" ca="1" si="4"/>
        <v>450</v>
      </c>
      <c r="G33" s="1041" t="str">
        <f ca="1" xml:space="preserve"> Inputs!F$52 &amp; " / " &amp; F$10</f>
        <v>US$ 2021 / ounce</v>
      </c>
      <c r="H33" s="1041"/>
      <c r="I33" s="1041"/>
      <c r="J33" s="1036"/>
      <c r="K33" s="1036"/>
      <c r="L33" s="1036"/>
      <c r="M33" s="1036"/>
      <c r="N33" s="1036"/>
      <c r="O33" s="1036"/>
      <c r="P33" s="1036"/>
      <c r="Q33" s="1036"/>
      <c r="R33" s="1036"/>
      <c r="S33" s="1036"/>
      <c r="T33" s="1036"/>
      <c r="U33" s="1036"/>
      <c r="V33" s="1036"/>
      <c r="W33" s="1036"/>
      <c r="X33" s="1036"/>
      <c r="Y33" s="1036"/>
      <c r="Z33" s="1036"/>
      <c r="AA33" s="1036"/>
      <c r="AB33" s="1036"/>
      <c r="AC33" s="1036"/>
      <c r="AD33" s="1036"/>
      <c r="AE33" s="1036"/>
      <c r="AF33" s="1036"/>
      <c r="AG33" s="1036"/>
      <c r="AH33" s="1036"/>
      <c r="AI33" s="1036"/>
      <c r="AJ33" s="1036"/>
      <c r="AK33" s="1036"/>
      <c r="AL33" s="1036"/>
      <c r="AM33" s="1036"/>
      <c r="AN33" s="1036"/>
      <c r="AO33" s="1036"/>
      <c r="AP33" s="1036"/>
      <c r="AQ33" s="1036"/>
      <c r="AR33" s="1036"/>
      <c r="AS33" s="1036"/>
      <c r="AT33" s="1036"/>
      <c r="AU33" s="1036"/>
      <c r="AV33" s="1036"/>
      <c r="AW33" s="1036"/>
      <c r="AX33" s="1036"/>
    </row>
    <row r="34" spans="1:50" s="324" customFormat="1" ht="15" customHeight="1">
      <c r="A34" s="19"/>
      <c r="B34" s="19"/>
      <c r="C34" s="202"/>
      <c r="D34" s="203"/>
      <c r="E34" s="1041" t="str">
        <f t="shared" si="3"/>
        <v>Decommissioning costs</v>
      </c>
      <c r="F34" s="1133">
        <f t="shared" ca="1" si="4"/>
        <v>10</v>
      </c>
      <c r="G34" s="1041" t="str">
        <f ca="1" xml:space="preserve"> Inputs!F$52 &amp; " / " &amp; F$10</f>
        <v>US$ 2021 / ounce</v>
      </c>
      <c r="H34" s="1041"/>
      <c r="I34" s="1041"/>
      <c r="J34" s="1036"/>
      <c r="K34" s="1036"/>
      <c r="L34" s="1036"/>
      <c r="M34" s="1036"/>
      <c r="N34" s="1036"/>
      <c r="O34" s="1036"/>
      <c r="P34" s="1036"/>
      <c r="Q34" s="1036"/>
      <c r="R34" s="1036"/>
      <c r="S34" s="1036"/>
      <c r="T34" s="1036"/>
      <c r="U34" s="1036"/>
      <c r="V34" s="1036"/>
      <c r="W34" s="1036"/>
      <c r="X34" s="1036"/>
      <c r="Y34" s="1036"/>
      <c r="Z34" s="1036"/>
      <c r="AA34" s="1036"/>
      <c r="AB34" s="1036"/>
      <c r="AC34" s="1036"/>
      <c r="AD34" s="1036"/>
      <c r="AE34" s="1036"/>
      <c r="AF34" s="1036"/>
      <c r="AG34" s="1036"/>
      <c r="AH34" s="1036"/>
      <c r="AI34" s="1036"/>
      <c r="AJ34" s="1036"/>
      <c r="AK34" s="1036"/>
      <c r="AL34" s="1036"/>
      <c r="AM34" s="1036"/>
      <c r="AN34" s="1036"/>
      <c r="AO34" s="1036"/>
      <c r="AP34" s="1036"/>
      <c r="AQ34" s="1036"/>
      <c r="AR34" s="1036"/>
      <c r="AS34" s="1036"/>
      <c r="AT34" s="1036"/>
      <c r="AU34" s="1036"/>
      <c r="AV34" s="1036"/>
      <c r="AW34" s="1036"/>
      <c r="AX34" s="1036"/>
    </row>
    <row r="35" spans="1:50" s="324" customFormat="1" ht="15" customHeight="1">
      <c r="A35" s="19"/>
      <c r="B35" s="19"/>
      <c r="C35" s="202"/>
      <c r="D35" s="203"/>
      <c r="E35" s="1041" t="str">
        <f ca="1" xml:space="preserve"> E23</f>
        <v>Gold sales: Total</v>
      </c>
      <c r="F35" s="1133">
        <f ca="1">SUM(F29:F34)</f>
        <v>748</v>
      </c>
      <c r="G35" s="1041" t="str">
        <f ca="1" xml:space="preserve"> Inputs!F$52 &amp; " / " &amp; F$10</f>
        <v>US$ 2021 / ounce</v>
      </c>
      <c r="H35" s="1041"/>
      <c r="I35" s="1041"/>
      <c r="J35" s="1036"/>
      <c r="K35" s="1036"/>
      <c r="L35" s="1036"/>
      <c r="M35" s="1036"/>
      <c r="N35" s="1036"/>
      <c r="O35" s="1036"/>
      <c r="P35" s="1036"/>
      <c r="Q35" s="1036"/>
      <c r="R35" s="1036"/>
      <c r="S35" s="1036"/>
      <c r="T35" s="1036"/>
      <c r="U35" s="1036"/>
      <c r="V35" s="1036"/>
      <c r="W35" s="1036"/>
      <c r="X35" s="1036"/>
      <c r="Y35" s="1036"/>
      <c r="Z35" s="1036"/>
      <c r="AA35" s="1036"/>
      <c r="AB35" s="1036"/>
      <c r="AC35" s="1036"/>
      <c r="AD35" s="1036"/>
      <c r="AE35" s="1036"/>
      <c r="AF35" s="1036"/>
      <c r="AG35" s="1036"/>
      <c r="AH35" s="1036"/>
      <c r="AI35" s="1036"/>
      <c r="AJ35" s="1036"/>
      <c r="AK35" s="1036"/>
      <c r="AL35" s="1036"/>
      <c r="AM35" s="1036"/>
      <c r="AN35" s="1036"/>
      <c r="AO35" s="1036"/>
      <c r="AP35" s="1036"/>
      <c r="AQ35" s="1036"/>
      <c r="AR35" s="1036"/>
      <c r="AS35" s="1036"/>
      <c r="AT35" s="1036"/>
      <c r="AU35" s="1036"/>
      <c r="AV35" s="1036"/>
      <c r="AW35" s="1036"/>
      <c r="AX35" s="1036"/>
    </row>
    <row r="36" spans="1:50" ht="15" customHeight="1">
      <c r="A36" s="76"/>
      <c r="B36" s="76"/>
      <c r="C36" s="76"/>
      <c r="D36" s="76"/>
      <c r="E36" s="76"/>
      <c r="F36" s="474"/>
      <c r="G36" s="77"/>
      <c r="H36" s="76"/>
      <c r="I36" s="76"/>
      <c r="J36" s="76"/>
      <c r="K36" s="76"/>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row>
    <row r="37" spans="1:50" ht="15" customHeight="1">
      <c r="A37" s="76"/>
      <c r="B37" s="74" t="str">
        <f xml:space="preserve"> Translate!$E$444 &amp; ": " &amp; Translate!$E$603</f>
        <v>Check: Check project data in correct row</v>
      </c>
      <c r="C37" s="76"/>
      <c r="D37" s="76"/>
      <c r="E37" s="76"/>
      <c r="F37" s="474"/>
      <c r="G37" s="77"/>
      <c r="H37" s="76"/>
      <c r="I37" s="76"/>
      <c r="J37" s="76"/>
      <c r="K37" s="76"/>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row>
    <row r="38" spans="1:50" ht="15" customHeight="1">
      <c r="A38" s="76"/>
      <c r="B38" s="76"/>
      <c r="C38" s="76"/>
      <c r="D38" s="76"/>
      <c r="E38" s="106" t="str">
        <f xml:space="preserve"> Inputs!E$15</f>
        <v>First row of project data</v>
      </c>
      <c r="F38" s="106">
        <f xml:space="preserve"> Inputs!F$15</f>
        <v>12</v>
      </c>
      <c r="G38" s="106" t="str">
        <f xml:space="preserve"> Inputs!G$15</f>
        <v>row</v>
      </c>
      <c r="H38" s="76"/>
      <c r="I38" s="76"/>
      <c r="J38" s="76"/>
      <c r="K38" s="7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row>
    <row r="39" spans="1:50" ht="15" customHeight="1">
      <c r="A39" s="76"/>
      <c r="B39" s="76"/>
      <c r="C39" s="76"/>
      <c r="D39" s="76"/>
      <c r="E39" s="76" t="str">
        <f>Translate!$E$402</f>
        <v>First row of project data</v>
      </c>
      <c r="F39" s="76">
        <f xml:space="preserve"> ROW(F12)</f>
        <v>12</v>
      </c>
      <c r="G39" s="307" t="str">
        <f xml:space="preserve"> Translate!E$587</f>
        <v>row</v>
      </c>
      <c r="H39" s="76"/>
      <c r="I39" s="76"/>
      <c r="J39" s="76"/>
      <c r="K39" s="7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row>
    <row r="40" spans="1:50" ht="15" customHeight="1">
      <c r="A40" s="76"/>
      <c r="B40" s="76"/>
      <c r="C40" s="76"/>
      <c r="D40" s="76"/>
      <c r="E40" s="76" t="str">
        <f xml:space="preserve"> Translate!$E$444 &amp; ": " &amp; Translate!$E$402</f>
        <v>Check: First row of project data</v>
      </c>
      <c r="F40" s="128">
        <f xml:space="preserve"> IF( ABS(F38 - F39) &lt;&gt; 0, 1, 0)</f>
        <v>0</v>
      </c>
      <c r="G40" s="1041" t="str">
        <f xml:space="preserve"> Translate!E$444</f>
        <v>Check</v>
      </c>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row>
    <row r="41" spans="1:50" ht="15" customHeight="1">
      <c r="A41" s="76"/>
      <c r="B41" s="76"/>
      <c r="C41" s="76"/>
      <c r="D41" s="76"/>
      <c r="E41" s="76"/>
      <c r="F41" s="474"/>
      <c r="G41" s="77"/>
      <c r="H41" s="76"/>
      <c r="I41" s="76"/>
      <c r="J41" s="76"/>
      <c r="K41" s="7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row>
    <row r="42" spans="1:50" ht="15" customHeight="1">
      <c r="A42" s="76"/>
      <c r="B42" s="76"/>
      <c r="C42" s="76"/>
      <c r="D42" s="76"/>
      <c r="E42" s="76"/>
      <c r="F42" s="474"/>
      <c r="G42" s="77"/>
      <c r="H42" s="76"/>
      <c r="I42" s="76"/>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row>
    <row r="43" spans="1:50" ht="15" customHeight="1">
      <c r="A43" s="86" t="str">
        <f>Translate!$E$368</f>
        <v>Model timeline</v>
      </c>
      <c r="B43" s="86"/>
      <c r="C43" s="129"/>
      <c r="D43" s="130"/>
      <c r="E43" s="88"/>
      <c r="F43" s="86"/>
      <c r="G43" s="86"/>
      <c r="H43" s="86"/>
      <c r="I43" s="86"/>
      <c r="J43" s="86"/>
      <c r="K43" s="86"/>
      <c r="L43" s="86"/>
      <c r="M43" s="86"/>
      <c r="N43" s="86"/>
      <c r="O43" s="86"/>
      <c r="P43" s="86"/>
      <c r="Q43" s="86"/>
      <c r="R43" s="86"/>
      <c r="S43" s="86"/>
      <c r="T43" s="86"/>
      <c r="U43" s="86"/>
      <c r="V43" s="86"/>
      <c r="W43" s="86"/>
      <c r="X43" s="86"/>
      <c r="Y43" s="86"/>
      <c r="Z43" s="86"/>
      <c r="AA43" s="86"/>
      <c r="AB43" s="86"/>
      <c r="AC43" s="86"/>
      <c r="AD43" s="86"/>
      <c r="AE43" s="86"/>
      <c r="AF43" s="86"/>
      <c r="AG43" s="86"/>
      <c r="AH43" s="86"/>
      <c r="AI43" s="86"/>
      <c r="AJ43" s="86"/>
      <c r="AK43" s="86"/>
      <c r="AL43" s="86"/>
      <c r="AM43" s="86"/>
      <c r="AN43" s="86"/>
      <c r="AO43" s="86"/>
      <c r="AP43" s="86"/>
      <c r="AQ43" s="86"/>
      <c r="AR43" s="86"/>
      <c r="AS43" s="86"/>
      <c r="AT43" s="86"/>
      <c r="AU43" s="86"/>
      <c r="AV43" s="86"/>
      <c r="AW43" s="86"/>
      <c r="AX43" s="86"/>
    </row>
    <row r="44" spans="1:50" s="41" customFormat="1" ht="15" customHeight="1">
      <c r="A44" s="232"/>
      <c r="B44" s="232"/>
      <c r="C44" s="233"/>
      <c r="D44" s="234"/>
      <c r="E44" s="235"/>
      <c r="F44" s="232"/>
      <c r="G44" s="232"/>
      <c r="H44" s="232"/>
      <c r="I44" s="232"/>
      <c r="J44" s="232"/>
      <c r="K44" s="232"/>
      <c r="L44" s="232"/>
      <c r="M44" s="232"/>
      <c r="N44" s="232"/>
      <c r="O44" s="232"/>
      <c r="P44" s="232"/>
      <c r="Q44" s="232"/>
      <c r="R44" s="232"/>
      <c r="S44" s="232"/>
      <c r="T44" s="232"/>
      <c r="U44" s="232"/>
      <c r="V44" s="232"/>
      <c r="W44" s="232"/>
      <c r="X44" s="232"/>
      <c r="Y44" s="232"/>
      <c r="Z44" s="232"/>
      <c r="AA44" s="232"/>
      <c r="AB44" s="232"/>
      <c r="AC44" s="232"/>
      <c r="AD44" s="232"/>
      <c r="AE44" s="232"/>
      <c r="AF44" s="232"/>
      <c r="AG44" s="232"/>
      <c r="AH44" s="232"/>
      <c r="AI44" s="232"/>
      <c r="AJ44" s="232"/>
      <c r="AK44" s="232"/>
      <c r="AL44" s="232"/>
      <c r="AM44" s="232"/>
      <c r="AN44" s="232"/>
      <c r="AO44" s="232"/>
      <c r="AP44" s="232"/>
      <c r="AQ44" s="232"/>
      <c r="AR44" s="232"/>
      <c r="AS44" s="232"/>
      <c r="AT44" s="232"/>
      <c r="AU44" s="232"/>
      <c r="AV44" s="232"/>
      <c r="AW44" s="232"/>
      <c r="AX44" s="232"/>
    </row>
    <row r="45" spans="1:50" s="173" customFormat="1" ht="15" customHeight="1">
      <c r="A45" s="168"/>
      <c r="B45" s="168"/>
      <c r="C45" s="166"/>
      <c r="D45" s="167"/>
      <c r="E45" s="173" t="str">
        <f>Translate!$E$403</f>
        <v>Model years</v>
      </c>
      <c r="F45" s="168"/>
      <c r="G45" s="168" t="str">
        <f xml:space="preserve"> Translate!E$622</f>
        <v>Columns</v>
      </c>
      <c r="H45" s="168"/>
      <c r="I45" s="168"/>
      <c r="J45" s="163"/>
      <c r="K45" s="195">
        <f t="shared" ref="K45:AX45" si="5" xml:space="preserve"> J45 + 1</f>
        <v>1</v>
      </c>
      <c r="L45" s="195">
        <f t="shared" si="5"/>
        <v>2</v>
      </c>
      <c r="M45" s="195">
        <f t="shared" si="5"/>
        <v>3</v>
      </c>
      <c r="N45" s="195">
        <f t="shared" si="5"/>
        <v>4</v>
      </c>
      <c r="O45" s="195">
        <f t="shared" si="5"/>
        <v>5</v>
      </c>
      <c r="P45" s="195">
        <f t="shared" si="5"/>
        <v>6</v>
      </c>
      <c r="Q45" s="195">
        <f t="shared" si="5"/>
        <v>7</v>
      </c>
      <c r="R45" s="195">
        <f t="shared" si="5"/>
        <v>8</v>
      </c>
      <c r="S45" s="195">
        <f t="shared" si="5"/>
        <v>9</v>
      </c>
      <c r="T45" s="195">
        <f t="shared" si="5"/>
        <v>10</v>
      </c>
      <c r="U45" s="195">
        <f t="shared" si="5"/>
        <v>11</v>
      </c>
      <c r="V45" s="195">
        <f t="shared" si="5"/>
        <v>12</v>
      </c>
      <c r="W45" s="195">
        <f t="shared" si="5"/>
        <v>13</v>
      </c>
      <c r="X45" s="195">
        <f t="shared" si="5"/>
        <v>14</v>
      </c>
      <c r="Y45" s="195">
        <f t="shared" si="5"/>
        <v>15</v>
      </c>
      <c r="Z45" s="195">
        <f t="shared" si="5"/>
        <v>16</v>
      </c>
      <c r="AA45" s="195">
        <f t="shared" si="5"/>
        <v>17</v>
      </c>
      <c r="AB45" s="195">
        <f t="shared" si="5"/>
        <v>18</v>
      </c>
      <c r="AC45" s="195">
        <f t="shared" si="5"/>
        <v>19</v>
      </c>
      <c r="AD45" s="195">
        <f t="shared" si="5"/>
        <v>20</v>
      </c>
      <c r="AE45" s="195">
        <f t="shared" si="5"/>
        <v>21</v>
      </c>
      <c r="AF45" s="195">
        <f t="shared" si="5"/>
        <v>22</v>
      </c>
      <c r="AG45" s="195">
        <f t="shared" si="5"/>
        <v>23</v>
      </c>
      <c r="AH45" s="195">
        <f t="shared" si="5"/>
        <v>24</v>
      </c>
      <c r="AI45" s="195">
        <f t="shared" si="5"/>
        <v>25</v>
      </c>
      <c r="AJ45" s="195">
        <f t="shared" si="5"/>
        <v>26</v>
      </c>
      <c r="AK45" s="195">
        <f t="shared" si="5"/>
        <v>27</v>
      </c>
      <c r="AL45" s="195">
        <f t="shared" si="5"/>
        <v>28</v>
      </c>
      <c r="AM45" s="195">
        <f t="shared" si="5"/>
        <v>29</v>
      </c>
      <c r="AN45" s="195">
        <f t="shared" si="5"/>
        <v>30</v>
      </c>
      <c r="AO45" s="195">
        <f t="shared" si="5"/>
        <v>31</v>
      </c>
      <c r="AP45" s="195">
        <f t="shared" si="5"/>
        <v>32</v>
      </c>
      <c r="AQ45" s="195">
        <f t="shared" si="5"/>
        <v>33</v>
      </c>
      <c r="AR45" s="195">
        <f t="shared" si="5"/>
        <v>34</v>
      </c>
      <c r="AS45" s="195">
        <f t="shared" si="5"/>
        <v>35</v>
      </c>
      <c r="AT45" s="195">
        <f t="shared" si="5"/>
        <v>36</v>
      </c>
      <c r="AU45" s="195">
        <f t="shared" si="5"/>
        <v>37</v>
      </c>
      <c r="AV45" s="195">
        <f t="shared" si="5"/>
        <v>38</v>
      </c>
      <c r="AW45" s="195">
        <f t="shared" si="5"/>
        <v>39</v>
      </c>
      <c r="AX45" s="195">
        <f t="shared" si="5"/>
        <v>40</v>
      </c>
    </row>
    <row r="46" spans="1:50" s="39" customFormat="1" ht="15" customHeight="1">
      <c r="A46" s="72"/>
      <c r="B46" s="72"/>
      <c r="C46" s="71"/>
      <c r="D46" s="179"/>
      <c r="F46" s="72"/>
      <c r="G46" s="72"/>
      <c r="H46" s="72"/>
      <c r="I46" s="72"/>
      <c r="J46" s="474"/>
      <c r="K46" s="118"/>
      <c r="L46" s="118"/>
      <c r="M46" s="118"/>
      <c r="N46" s="118"/>
      <c r="O46" s="118"/>
      <c r="P46" s="118"/>
      <c r="Q46" s="118"/>
      <c r="R46" s="118"/>
      <c r="S46" s="118"/>
      <c r="T46" s="118"/>
      <c r="U46" s="118"/>
      <c r="V46" s="118"/>
      <c r="W46" s="118"/>
      <c r="X46" s="118"/>
      <c r="Y46" s="118"/>
      <c r="Z46" s="118"/>
      <c r="AA46" s="118"/>
      <c r="AB46" s="118"/>
      <c r="AC46" s="118"/>
      <c r="AD46" s="118"/>
      <c r="AE46" s="118"/>
      <c r="AF46" s="118"/>
      <c r="AG46" s="118"/>
      <c r="AH46" s="118"/>
      <c r="AI46" s="118"/>
      <c r="AJ46" s="118"/>
      <c r="AK46" s="118"/>
      <c r="AL46" s="118"/>
      <c r="AM46" s="118"/>
      <c r="AN46" s="118"/>
      <c r="AO46" s="118"/>
      <c r="AP46" s="118"/>
      <c r="AQ46" s="118"/>
      <c r="AR46" s="118"/>
      <c r="AS46" s="118"/>
      <c r="AT46" s="118"/>
      <c r="AU46" s="118"/>
      <c r="AV46" s="118"/>
      <c r="AW46" s="118"/>
      <c r="AX46" s="118"/>
    </row>
    <row r="47" spans="1:50" ht="15" customHeight="1">
      <c r="A47" s="90"/>
      <c r="B47" s="93"/>
      <c r="C47" s="92"/>
      <c r="D47" s="95"/>
      <c r="E47" s="107" t="str">
        <f xml:space="preserve"> Inputs!E$7</f>
        <v>Model first calendar year</v>
      </c>
      <c r="F47" s="231">
        <f xml:space="preserve"> Inputs!F$7</f>
        <v>2021</v>
      </c>
      <c r="G47" s="105" t="str">
        <f xml:space="preserve"> Inputs!G$7</f>
        <v>Calendar year</v>
      </c>
      <c r="H47" s="44"/>
      <c r="I47" s="44"/>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row>
    <row r="48" spans="1:50" s="66" customFormat="1" ht="15" customHeight="1">
      <c r="A48" s="158"/>
      <c r="B48" s="168"/>
      <c r="C48" s="166"/>
      <c r="D48" s="167"/>
      <c r="E48" s="142" t="str">
        <f>Translate!$E$404</f>
        <v>Model calendar years</v>
      </c>
      <c r="F48" s="162"/>
      <c r="G48" s="143" t="str">
        <f xml:space="preserve"> Translate!E$358</f>
        <v>Years</v>
      </c>
      <c r="H48" s="143"/>
      <c r="I48" s="143"/>
      <c r="J48" s="163"/>
      <c r="K48" s="263">
        <f t="shared" ref="K48:AX48" si="6" xml:space="preserve"> IF(K45 = 1, $F47, J48 + 1)</f>
        <v>2021</v>
      </c>
      <c r="L48" s="263">
        <f t="shared" si="6"/>
        <v>2022</v>
      </c>
      <c r="M48" s="263">
        <f t="shared" si="6"/>
        <v>2023</v>
      </c>
      <c r="N48" s="263">
        <f t="shared" si="6"/>
        <v>2024</v>
      </c>
      <c r="O48" s="263">
        <f t="shared" si="6"/>
        <v>2025</v>
      </c>
      <c r="P48" s="263">
        <f t="shared" si="6"/>
        <v>2026</v>
      </c>
      <c r="Q48" s="263">
        <f t="shared" si="6"/>
        <v>2027</v>
      </c>
      <c r="R48" s="263">
        <f t="shared" si="6"/>
        <v>2028</v>
      </c>
      <c r="S48" s="263">
        <f t="shared" si="6"/>
        <v>2029</v>
      </c>
      <c r="T48" s="263">
        <f t="shared" si="6"/>
        <v>2030</v>
      </c>
      <c r="U48" s="263">
        <f t="shared" si="6"/>
        <v>2031</v>
      </c>
      <c r="V48" s="263">
        <f t="shared" si="6"/>
        <v>2032</v>
      </c>
      <c r="W48" s="263">
        <f t="shared" si="6"/>
        <v>2033</v>
      </c>
      <c r="X48" s="263">
        <f t="shared" si="6"/>
        <v>2034</v>
      </c>
      <c r="Y48" s="263">
        <f t="shared" si="6"/>
        <v>2035</v>
      </c>
      <c r="Z48" s="263">
        <f t="shared" si="6"/>
        <v>2036</v>
      </c>
      <c r="AA48" s="263">
        <f t="shared" si="6"/>
        <v>2037</v>
      </c>
      <c r="AB48" s="263">
        <f t="shared" si="6"/>
        <v>2038</v>
      </c>
      <c r="AC48" s="263">
        <f t="shared" si="6"/>
        <v>2039</v>
      </c>
      <c r="AD48" s="263">
        <f t="shared" si="6"/>
        <v>2040</v>
      </c>
      <c r="AE48" s="263">
        <f t="shared" si="6"/>
        <v>2041</v>
      </c>
      <c r="AF48" s="263">
        <f t="shared" si="6"/>
        <v>2042</v>
      </c>
      <c r="AG48" s="263">
        <f t="shared" si="6"/>
        <v>2043</v>
      </c>
      <c r="AH48" s="263">
        <f t="shared" si="6"/>
        <v>2044</v>
      </c>
      <c r="AI48" s="263">
        <f t="shared" si="6"/>
        <v>2045</v>
      </c>
      <c r="AJ48" s="263">
        <f t="shared" si="6"/>
        <v>2046</v>
      </c>
      <c r="AK48" s="263">
        <f t="shared" si="6"/>
        <v>2047</v>
      </c>
      <c r="AL48" s="263">
        <f t="shared" si="6"/>
        <v>2048</v>
      </c>
      <c r="AM48" s="263">
        <f t="shared" si="6"/>
        <v>2049</v>
      </c>
      <c r="AN48" s="263">
        <f t="shared" si="6"/>
        <v>2050</v>
      </c>
      <c r="AO48" s="263">
        <f t="shared" si="6"/>
        <v>2051</v>
      </c>
      <c r="AP48" s="263">
        <f t="shared" si="6"/>
        <v>2052</v>
      </c>
      <c r="AQ48" s="263">
        <f t="shared" si="6"/>
        <v>2053</v>
      </c>
      <c r="AR48" s="263">
        <f t="shared" si="6"/>
        <v>2054</v>
      </c>
      <c r="AS48" s="263">
        <f t="shared" si="6"/>
        <v>2055</v>
      </c>
      <c r="AT48" s="263">
        <f t="shared" si="6"/>
        <v>2056</v>
      </c>
      <c r="AU48" s="263">
        <f t="shared" si="6"/>
        <v>2057</v>
      </c>
      <c r="AV48" s="263">
        <f t="shared" si="6"/>
        <v>2058</v>
      </c>
      <c r="AW48" s="263">
        <f t="shared" si="6"/>
        <v>2059</v>
      </c>
      <c r="AX48" s="263">
        <f t="shared" si="6"/>
        <v>2060</v>
      </c>
    </row>
    <row r="49" spans="1:50" ht="15" customHeight="1">
      <c r="A49" s="90"/>
      <c r="B49" s="76"/>
      <c r="C49" s="75"/>
      <c r="D49" s="131"/>
      <c r="E49" s="45"/>
      <c r="F49" s="43"/>
      <c r="G49" s="46"/>
      <c r="H49" s="46"/>
      <c r="I49" s="46"/>
      <c r="J49" s="474"/>
      <c r="K49" s="236"/>
      <c r="L49" s="236"/>
      <c r="M49" s="236"/>
      <c r="N49" s="236"/>
      <c r="O49" s="236"/>
      <c r="P49" s="236"/>
      <c r="Q49" s="236"/>
      <c r="R49" s="236"/>
      <c r="S49" s="236"/>
      <c r="T49" s="236"/>
      <c r="U49" s="236"/>
      <c r="V49" s="236"/>
      <c r="W49" s="236"/>
      <c r="X49" s="236"/>
      <c r="Y49" s="236"/>
      <c r="Z49" s="236"/>
      <c r="AA49" s="236"/>
      <c r="AB49" s="236"/>
      <c r="AC49" s="236"/>
      <c r="AD49" s="236"/>
      <c r="AE49" s="236"/>
      <c r="AF49" s="236"/>
      <c r="AG49" s="236"/>
      <c r="AH49" s="236"/>
      <c r="AI49" s="236"/>
      <c r="AJ49" s="236"/>
      <c r="AK49" s="236"/>
      <c r="AL49" s="236"/>
      <c r="AM49" s="236"/>
      <c r="AN49" s="236"/>
      <c r="AO49" s="236"/>
      <c r="AP49" s="236"/>
      <c r="AQ49" s="236"/>
      <c r="AR49" s="236"/>
      <c r="AS49" s="236"/>
      <c r="AT49" s="236"/>
      <c r="AU49" s="236"/>
      <c r="AV49" s="236"/>
      <c r="AW49" s="236"/>
      <c r="AX49" s="236"/>
    </row>
    <row r="50" spans="1:50" ht="15" customHeight="1">
      <c r="A50" s="90"/>
      <c r="B50" s="93"/>
      <c r="C50" s="92"/>
      <c r="D50" s="95"/>
      <c r="E50" s="45"/>
      <c r="G50" s="44"/>
      <c r="H50" s="44"/>
      <c r="I50" s="44"/>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row>
    <row r="51" spans="1:50" ht="15" customHeight="1">
      <c r="A51" s="86" t="str">
        <f>Translate!$E$369</f>
        <v>Project data with sensitivity factors applied</v>
      </c>
      <c r="B51" s="86"/>
      <c r="C51" s="129"/>
      <c r="D51" s="130"/>
      <c r="E51" s="88"/>
      <c r="F51" s="86"/>
      <c r="G51" s="86"/>
      <c r="H51" s="86"/>
      <c r="I51" s="86"/>
      <c r="J51" s="86"/>
      <c r="K51" s="86"/>
      <c r="L51" s="86"/>
      <c r="M51" s="86"/>
      <c r="N51" s="86"/>
      <c r="O51" s="86"/>
      <c r="P51" s="86"/>
      <c r="Q51" s="86"/>
      <c r="R51" s="86"/>
      <c r="S51" s="86"/>
      <c r="T51" s="86"/>
      <c r="U51" s="86"/>
      <c r="V51" s="86"/>
      <c r="W51" s="86"/>
      <c r="X51" s="86"/>
      <c r="Y51" s="86"/>
      <c r="Z51" s="86"/>
      <c r="AA51" s="86"/>
      <c r="AB51" s="86"/>
      <c r="AC51" s="86"/>
      <c r="AD51" s="86"/>
      <c r="AE51" s="86"/>
      <c r="AF51" s="86"/>
      <c r="AG51" s="86"/>
      <c r="AH51" s="86"/>
      <c r="AI51" s="86"/>
      <c r="AJ51" s="86"/>
      <c r="AK51" s="86"/>
      <c r="AL51" s="86"/>
      <c r="AM51" s="86"/>
      <c r="AN51" s="86"/>
      <c r="AO51" s="86"/>
      <c r="AP51" s="86"/>
      <c r="AQ51" s="86"/>
      <c r="AR51" s="86"/>
      <c r="AS51" s="86"/>
      <c r="AT51" s="86"/>
      <c r="AU51" s="86"/>
      <c r="AV51" s="86"/>
      <c r="AW51" s="86"/>
      <c r="AX51" s="86"/>
    </row>
    <row r="52" spans="1:50" ht="15" customHeight="1">
      <c r="A52" s="137"/>
      <c r="B52" s="138"/>
      <c r="C52" s="139"/>
      <c r="D52" s="131"/>
      <c r="E52" s="112"/>
      <c r="F52" s="74"/>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c r="AF52" s="93"/>
      <c r="AG52" s="93"/>
      <c r="AH52" s="93"/>
      <c r="AI52" s="93"/>
      <c r="AJ52" s="93"/>
      <c r="AK52" s="93"/>
      <c r="AL52" s="93"/>
      <c r="AM52" s="93"/>
      <c r="AN52" s="93"/>
      <c r="AO52" s="93"/>
      <c r="AP52" s="93"/>
      <c r="AQ52" s="93"/>
      <c r="AR52" s="93"/>
      <c r="AS52" s="93"/>
      <c r="AT52" s="93"/>
      <c r="AU52" s="93"/>
      <c r="AV52" s="93"/>
      <c r="AW52" s="93"/>
      <c r="AX52" s="93"/>
    </row>
    <row r="53" spans="1:50" ht="15" customHeight="1">
      <c r="A53" s="90"/>
      <c r="B53" s="74" t="str">
        <f>Translate!$E$375</f>
        <v>Sensitivity factors</v>
      </c>
      <c r="C53" s="75"/>
      <c r="D53" s="131"/>
      <c r="E53" s="45"/>
      <c r="F53" s="43"/>
      <c r="G53" s="46"/>
      <c r="H53" s="46"/>
      <c r="I53" s="46"/>
      <c r="J53" s="46"/>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row>
    <row r="54" spans="1:50" ht="15" customHeight="1">
      <c r="A54" s="90"/>
      <c r="B54" s="76"/>
      <c r="C54" s="75"/>
      <c r="D54" s="131"/>
      <c r="E54" s="108" t="str">
        <f xml:space="preserve"> Inputs!E$34</f>
        <v>Production sensitivity</v>
      </c>
      <c r="F54" s="108">
        <f xml:space="preserve"> Inputs!F$34</f>
        <v>1</v>
      </c>
      <c r="G54" s="108" t="str">
        <f xml:space="preserve"> Inputs!G$34</f>
        <v>factor</v>
      </c>
      <c r="H54" s="46"/>
      <c r="I54" s="46"/>
      <c r="J54" s="46"/>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row>
    <row r="55" spans="1:50" ht="15" customHeight="1">
      <c r="A55" s="90"/>
      <c r="B55" s="76"/>
      <c r="C55" s="75"/>
      <c r="D55" s="131"/>
      <c r="E55" s="108" t="str">
        <f xml:space="preserve"> Inputs!E$35</f>
        <v>Exploration cost sensitivity</v>
      </c>
      <c r="F55" s="108">
        <f xml:space="preserve"> Inputs!F$35</f>
        <v>1</v>
      </c>
      <c r="G55" s="108" t="str">
        <f xml:space="preserve"> Inputs!G$35</f>
        <v>factor</v>
      </c>
      <c r="H55" s="46"/>
      <c r="I55" s="46"/>
      <c r="J55" s="46"/>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row>
    <row r="56" spans="1:50" ht="15" customHeight="1">
      <c r="A56" s="90"/>
      <c r="B56" s="76"/>
      <c r="C56" s="75"/>
      <c r="D56" s="131"/>
      <c r="E56" s="108" t="str">
        <f xml:space="preserve"> Inputs!E$36</f>
        <v xml:space="preserve">Capex sensitivity (Development; Replacement; Decommissioning) </v>
      </c>
      <c r="F56" s="108">
        <f xml:space="preserve"> Inputs!F$36</f>
        <v>1</v>
      </c>
      <c r="G56" s="108" t="str">
        <f xml:space="preserve"> Inputs!G$36</f>
        <v>factor</v>
      </c>
      <c r="H56" s="46"/>
      <c r="I56" s="46"/>
      <c r="J56" s="46"/>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row>
    <row r="57" spans="1:50" ht="15" customHeight="1">
      <c r="A57" s="90"/>
      <c r="B57" s="76"/>
      <c r="C57" s="75"/>
      <c r="D57" s="131"/>
      <c r="E57" s="108" t="str">
        <f xml:space="preserve"> Inputs!E$37</f>
        <v>Operating cost sensitivity</v>
      </c>
      <c r="F57" s="108">
        <f xml:space="preserve"> Inputs!F$37</f>
        <v>1</v>
      </c>
      <c r="G57" s="108" t="str">
        <f xml:space="preserve"> Inputs!G$37</f>
        <v>factor</v>
      </c>
      <c r="H57" s="46"/>
      <c r="I57" s="46"/>
      <c r="J57" s="46"/>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row>
    <row r="58" spans="1:50" ht="15" customHeight="1">
      <c r="A58" s="137"/>
      <c r="B58" s="138"/>
      <c r="C58" s="139"/>
      <c r="D58" s="131"/>
      <c r="E58" s="112"/>
      <c r="F58" s="74"/>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c r="AF58" s="93"/>
      <c r="AG58" s="93"/>
      <c r="AH58" s="93"/>
      <c r="AI58" s="93"/>
      <c r="AJ58" s="93"/>
      <c r="AK58" s="93"/>
      <c r="AL58" s="93"/>
      <c r="AM58" s="93"/>
      <c r="AN58" s="93"/>
      <c r="AO58" s="93"/>
      <c r="AP58" s="93"/>
      <c r="AQ58" s="93"/>
      <c r="AR58" s="93"/>
      <c r="AS58" s="93"/>
      <c r="AT58" s="93"/>
      <c r="AU58" s="93"/>
      <c r="AV58" s="93"/>
      <c r="AW58" s="93"/>
      <c r="AX58" s="93"/>
    </row>
    <row r="59" spans="1:50" ht="15" customHeight="1">
      <c r="A59" s="137"/>
      <c r="B59" s="140" t="str">
        <f>Translate!$E$376</f>
        <v>Project data with sensitivies applied</v>
      </c>
      <c r="C59" s="139"/>
      <c r="D59" s="131"/>
      <c r="E59" s="112"/>
      <c r="F59" s="74"/>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c r="AF59" s="93"/>
      <c r="AG59" s="93"/>
      <c r="AH59" s="93"/>
      <c r="AI59" s="93"/>
      <c r="AJ59" s="93"/>
      <c r="AK59" s="93"/>
      <c r="AL59" s="93"/>
      <c r="AM59" s="93"/>
      <c r="AN59" s="93"/>
      <c r="AO59" s="93"/>
      <c r="AP59" s="93"/>
      <c r="AQ59" s="93"/>
      <c r="AR59" s="93"/>
      <c r="AS59" s="93"/>
      <c r="AT59" s="93"/>
      <c r="AU59" s="93"/>
      <c r="AV59" s="93"/>
      <c r="AW59" s="93"/>
      <c r="AX59" s="93"/>
    </row>
    <row r="60" spans="1:50" s="121" customFormat="1" ht="15" customHeight="1">
      <c r="A60" s="796"/>
      <c r="B60" s="797"/>
      <c r="C60" s="798"/>
      <c r="D60" s="799"/>
      <c r="E60" s="157" t="str">
        <f ca="1" xml:space="preserve"> E12</f>
        <v>Gold sales</v>
      </c>
      <c r="F60" s="60"/>
      <c r="G60" s="157" t="str">
        <f ca="1" xml:space="preserve"> G12</f>
        <v>000 ounce</v>
      </c>
      <c r="H60" s="12"/>
      <c r="I60" s="11">
        <f t="shared" ref="I60:I70" ca="1" si="7" xml:space="preserve"> SUM(K60:AX60)</f>
        <v>2000</v>
      </c>
      <c r="J60" s="63"/>
      <c r="K60" s="11">
        <f t="shared" ref="K60:AX60" ca="1" si="8" xml:space="preserve"> K12 * $F54</f>
        <v>0</v>
      </c>
      <c r="L60" s="11">
        <f t="shared" ca="1" si="8"/>
        <v>0</v>
      </c>
      <c r="M60" s="11">
        <f t="shared" ca="1" si="8"/>
        <v>0</v>
      </c>
      <c r="N60" s="11">
        <f t="shared" ca="1" si="8"/>
        <v>0</v>
      </c>
      <c r="O60" s="11">
        <f t="shared" ca="1" si="8"/>
        <v>10</v>
      </c>
      <c r="P60" s="11">
        <f t="shared" ca="1" si="8"/>
        <v>75</v>
      </c>
      <c r="Q60" s="11">
        <f t="shared" ca="1" si="8"/>
        <v>150</v>
      </c>
      <c r="R60" s="11">
        <f t="shared" ca="1" si="8"/>
        <v>150</v>
      </c>
      <c r="S60" s="11">
        <f t="shared" ca="1" si="8"/>
        <v>150</v>
      </c>
      <c r="T60" s="11">
        <f t="shared" ca="1" si="8"/>
        <v>150</v>
      </c>
      <c r="U60" s="11">
        <f t="shared" ca="1" si="8"/>
        <v>150</v>
      </c>
      <c r="V60" s="11">
        <f t="shared" ca="1" si="8"/>
        <v>150</v>
      </c>
      <c r="W60" s="11">
        <f t="shared" ca="1" si="8"/>
        <v>150</v>
      </c>
      <c r="X60" s="11">
        <f t="shared" ca="1" si="8"/>
        <v>150</v>
      </c>
      <c r="Y60" s="11">
        <f t="shared" ca="1" si="8"/>
        <v>150</v>
      </c>
      <c r="Z60" s="11">
        <f t="shared" ca="1" si="8"/>
        <v>150</v>
      </c>
      <c r="AA60" s="11">
        <f t="shared" ca="1" si="8"/>
        <v>125</v>
      </c>
      <c r="AB60" s="11">
        <f t="shared" ca="1" si="8"/>
        <v>100</v>
      </c>
      <c r="AC60" s="11">
        <f t="shared" ca="1" si="8"/>
        <v>75</v>
      </c>
      <c r="AD60" s="11">
        <f t="shared" ca="1" si="8"/>
        <v>65</v>
      </c>
      <c r="AE60" s="11">
        <f t="shared" ca="1" si="8"/>
        <v>50</v>
      </c>
      <c r="AF60" s="11">
        <f t="shared" ca="1" si="8"/>
        <v>0</v>
      </c>
      <c r="AG60" s="11">
        <f t="shared" ca="1" si="8"/>
        <v>0</v>
      </c>
      <c r="AH60" s="11">
        <f t="shared" ca="1" si="8"/>
        <v>0</v>
      </c>
      <c r="AI60" s="11">
        <f t="shared" ca="1" si="8"/>
        <v>0</v>
      </c>
      <c r="AJ60" s="11">
        <f t="shared" ca="1" si="8"/>
        <v>0</v>
      </c>
      <c r="AK60" s="11">
        <f t="shared" ca="1" si="8"/>
        <v>0</v>
      </c>
      <c r="AL60" s="11">
        <f t="shared" ca="1" si="8"/>
        <v>0</v>
      </c>
      <c r="AM60" s="11">
        <f t="shared" ca="1" si="8"/>
        <v>0</v>
      </c>
      <c r="AN60" s="11">
        <f t="shared" ca="1" si="8"/>
        <v>0</v>
      </c>
      <c r="AO60" s="11">
        <f t="shared" ca="1" si="8"/>
        <v>0</v>
      </c>
      <c r="AP60" s="11">
        <f t="shared" ca="1" si="8"/>
        <v>0</v>
      </c>
      <c r="AQ60" s="11">
        <f t="shared" ca="1" si="8"/>
        <v>0</v>
      </c>
      <c r="AR60" s="11">
        <f t="shared" ca="1" si="8"/>
        <v>0</v>
      </c>
      <c r="AS60" s="11">
        <f t="shared" ca="1" si="8"/>
        <v>0</v>
      </c>
      <c r="AT60" s="11">
        <f t="shared" ca="1" si="8"/>
        <v>0</v>
      </c>
      <c r="AU60" s="11">
        <f t="shared" ca="1" si="8"/>
        <v>0</v>
      </c>
      <c r="AV60" s="11">
        <f t="shared" ca="1" si="8"/>
        <v>0</v>
      </c>
      <c r="AW60" s="11">
        <f t="shared" ca="1" si="8"/>
        <v>0</v>
      </c>
      <c r="AX60" s="11">
        <f t="shared" ca="1" si="8"/>
        <v>0</v>
      </c>
    </row>
    <row r="61" spans="1:50" s="315" customFormat="1" ht="15" customHeight="1">
      <c r="A61" s="534"/>
      <c r="C61" s="536"/>
      <c r="D61" s="312"/>
      <c r="E61" s="312" t="str">
        <f>E$48</f>
        <v>Model calendar years</v>
      </c>
      <c r="F61" s="312">
        <f t="shared" ref="F61:AX61" si="9">F$48</f>
        <v>0</v>
      </c>
      <c r="G61" s="312" t="str">
        <f t="shared" si="9"/>
        <v>Years</v>
      </c>
      <c r="H61" s="312">
        <f t="shared" si="9"/>
        <v>0</v>
      </c>
      <c r="I61" s="312">
        <f t="shared" si="9"/>
        <v>0</v>
      </c>
      <c r="J61" s="312">
        <f t="shared" si="9"/>
        <v>0</v>
      </c>
      <c r="K61" s="312">
        <f t="shared" si="9"/>
        <v>2021</v>
      </c>
      <c r="L61" s="312">
        <f t="shared" si="9"/>
        <v>2022</v>
      </c>
      <c r="M61" s="312">
        <f t="shared" si="9"/>
        <v>2023</v>
      </c>
      <c r="N61" s="312">
        <f t="shared" si="9"/>
        <v>2024</v>
      </c>
      <c r="O61" s="312">
        <f t="shared" si="9"/>
        <v>2025</v>
      </c>
      <c r="P61" s="312">
        <f t="shared" si="9"/>
        <v>2026</v>
      </c>
      <c r="Q61" s="312">
        <f t="shared" si="9"/>
        <v>2027</v>
      </c>
      <c r="R61" s="312">
        <f t="shared" si="9"/>
        <v>2028</v>
      </c>
      <c r="S61" s="312">
        <f t="shared" si="9"/>
        <v>2029</v>
      </c>
      <c r="T61" s="312">
        <f t="shared" si="9"/>
        <v>2030</v>
      </c>
      <c r="U61" s="312">
        <f t="shared" si="9"/>
        <v>2031</v>
      </c>
      <c r="V61" s="312">
        <f t="shared" si="9"/>
        <v>2032</v>
      </c>
      <c r="W61" s="312">
        <f t="shared" si="9"/>
        <v>2033</v>
      </c>
      <c r="X61" s="312">
        <f t="shared" si="9"/>
        <v>2034</v>
      </c>
      <c r="Y61" s="312">
        <f t="shared" si="9"/>
        <v>2035</v>
      </c>
      <c r="Z61" s="312">
        <f t="shared" si="9"/>
        <v>2036</v>
      </c>
      <c r="AA61" s="312">
        <f t="shared" si="9"/>
        <v>2037</v>
      </c>
      <c r="AB61" s="312">
        <f t="shared" si="9"/>
        <v>2038</v>
      </c>
      <c r="AC61" s="312">
        <f t="shared" si="9"/>
        <v>2039</v>
      </c>
      <c r="AD61" s="312">
        <f t="shared" si="9"/>
        <v>2040</v>
      </c>
      <c r="AE61" s="312">
        <f t="shared" si="9"/>
        <v>2041</v>
      </c>
      <c r="AF61" s="312">
        <f t="shared" si="9"/>
        <v>2042</v>
      </c>
      <c r="AG61" s="312">
        <f t="shared" si="9"/>
        <v>2043</v>
      </c>
      <c r="AH61" s="312">
        <f t="shared" si="9"/>
        <v>2044</v>
      </c>
      <c r="AI61" s="312">
        <f t="shared" si="9"/>
        <v>2045</v>
      </c>
      <c r="AJ61" s="312">
        <f t="shared" si="9"/>
        <v>2046</v>
      </c>
      <c r="AK61" s="312">
        <f t="shared" si="9"/>
        <v>2047</v>
      </c>
      <c r="AL61" s="312">
        <f t="shared" si="9"/>
        <v>2048</v>
      </c>
      <c r="AM61" s="312">
        <f t="shared" si="9"/>
        <v>2049</v>
      </c>
      <c r="AN61" s="312">
        <f t="shared" si="9"/>
        <v>2050</v>
      </c>
      <c r="AO61" s="312">
        <f t="shared" si="9"/>
        <v>2051</v>
      </c>
      <c r="AP61" s="312">
        <f t="shared" si="9"/>
        <v>2052</v>
      </c>
      <c r="AQ61" s="312">
        <f t="shared" si="9"/>
        <v>2053</v>
      </c>
      <c r="AR61" s="312">
        <f t="shared" si="9"/>
        <v>2054</v>
      </c>
      <c r="AS61" s="312">
        <f t="shared" si="9"/>
        <v>2055</v>
      </c>
      <c r="AT61" s="312">
        <f t="shared" si="9"/>
        <v>2056</v>
      </c>
      <c r="AU61" s="312">
        <f t="shared" si="9"/>
        <v>2057</v>
      </c>
      <c r="AV61" s="312">
        <f t="shared" si="9"/>
        <v>2058</v>
      </c>
      <c r="AW61" s="312">
        <f t="shared" si="9"/>
        <v>2059</v>
      </c>
      <c r="AX61" s="312">
        <f t="shared" si="9"/>
        <v>2060</v>
      </c>
    </row>
    <row r="62" spans="1:50" ht="15" customHeight="1">
      <c r="A62" s="90"/>
      <c r="B62" s="134"/>
      <c r="C62" s="92"/>
      <c r="D62" s="135"/>
      <c r="E62" s="45" t="str">
        <f>Translate!$E$405</f>
        <v>Peak production year</v>
      </c>
      <c r="F62" s="118">
        <f ca="1" xml:space="preserve"> MAX(K60:AX60)</f>
        <v>150</v>
      </c>
      <c r="G62" s="45" t="str">
        <f ca="1">G60</f>
        <v>000 ounce</v>
      </c>
      <c r="H62" s="12"/>
      <c r="I62" s="85"/>
      <c r="J62" s="43"/>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row>
    <row r="63" spans="1:50" s="315" customFormat="1" ht="15" customHeight="1">
      <c r="A63" s="534"/>
      <c r="C63" s="536"/>
      <c r="D63" s="312"/>
      <c r="E63" s="312" t="str">
        <f>Translate!$E$405</f>
        <v>Peak production year</v>
      </c>
      <c r="F63" s="312">
        <f ca="1">INDEX(K61:AX61,,MATCH(F62,K60:AX60,0))</f>
        <v>2027</v>
      </c>
      <c r="G63" s="856" t="str">
        <f xml:space="preserve"> Translate!E$365</f>
        <v>Year</v>
      </c>
      <c r="H63" s="322"/>
      <c r="I63" s="312"/>
      <c r="J63" s="312"/>
      <c r="K63" s="322"/>
      <c r="L63" s="322"/>
      <c r="M63" s="322"/>
      <c r="N63" s="322"/>
      <c r="O63" s="322"/>
      <c r="P63" s="322"/>
      <c r="Q63" s="322"/>
      <c r="R63" s="322"/>
      <c r="S63" s="322"/>
      <c r="T63" s="322"/>
      <c r="U63" s="322"/>
      <c r="V63" s="322"/>
      <c r="W63" s="322"/>
      <c r="X63" s="322"/>
      <c r="Y63" s="322"/>
      <c r="Z63" s="322"/>
      <c r="AA63" s="322"/>
      <c r="AB63" s="322"/>
      <c r="AC63" s="322"/>
      <c r="AD63" s="322"/>
      <c r="AE63" s="322"/>
      <c r="AF63" s="322"/>
      <c r="AG63" s="322"/>
      <c r="AH63" s="322"/>
      <c r="AI63" s="322"/>
      <c r="AJ63" s="322"/>
      <c r="AK63" s="322"/>
      <c r="AL63" s="322"/>
      <c r="AM63" s="322"/>
      <c r="AN63" s="322"/>
      <c r="AO63" s="322"/>
      <c r="AP63" s="322"/>
      <c r="AQ63" s="322"/>
      <c r="AR63" s="322"/>
      <c r="AS63" s="322"/>
      <c r="AT63" s="322"/>
      <c r="AU63" s="322"/>
      <c r="AV63" s="322"/>
      <c r="AW63" s="322"/>
      <c r="AX63" s="322"/>
    </row>
    <row r="64" spans="1:50" s="66" customFormat="1" ht="15" customHeight="1">
      <c r="A64" s="247"/>
      <c r="B64" s="248"/>
      <c r="C64" s="249"/>
      <c r="D64" s="250"/>
      <c r="E64" s="142"/>
      <c r="F64" s="143"/>
      <c r="G64" s="142"/>
      <c r="H64" s="183"/>
      <c r="I64" s="184"/>
      <c r="J64" s="162"/>
      <c r="K64" s="184"/>
      <c r="L64" s="184"/>
      <c r="M64" s="184"/>
      <c r="N64" s="184"/>
      <c r="O64" s="184"/>
      <c r="P64" s="184"/>
      <c r="Q64" s="184"/>
      <c r="R64" s="184"/>
      <c r="S64" s="184"/>
      <c r="T64" s="184"/>
      <c r="U64" s="184"/>
      <c r="V64" s="184"/>
      <c r="W64" s="184"/>
      <c r="X64" s="184"/>
      <c r="Y64" s="184"/>
      <c r="Z64" s="184"/>
      <c r="AA64" s="184"/>
      <c r="AB64" s="184"/>
      <c r="AC64" s="184"/>
      <c r="AD64" s="184"/>
      <c r="AE64" s="184"/>
      <c r="AF64" s="184"/>
      <c r="AG64" s="184"/>
      <c r="AH64" s="184"/>
      <c r="AI64" s="184"/>
      <c r="AJ64" s="184"/>
      <c r="AK64" s="184"/>
      <c r="AL64" s="184"/>
      <c r="AM64" s="184"/>
      <c r="AN64" s="184"/>
      <c r="AO64" s="184"/>
      <c r="AP64" s="184"/>
      <c r="AQ64" s="184"/>
      <c r="AR64" s="184"/>
      <c r="AS64" s="184"/>
      <c r="AT64" s="184"/>
      <c r="AU64" s="184"/>
      <c r="AV64" s="184"/>
      <c r="AW64" s="184"/>
      <c r="AX64" s="184"/>
    </row>
    <row r="65" spans="1:50" ht="15" customHeight="1">
      <c r="A65" s="90"/>
      <c r="B65" s="134"/>
      <c r="C65" s="92"/>
      <c r="D65" s="135"/>
      <c r="E65" s="45" t="str">
        <f t="shared" ref="E65:E70" si="10" xml:space="preserve"> E14</f>
        <v>Transport costs post-fiscal point</v>
      </c>
      <c r="F65" s="43"/>
      <c r="G65" s="45" t="str">
        <f t="shared" ref="G65:G70" si="11" xml:space="preserve"> G14</f>
        <v>US$ mn 2021</v>
      </c>
      <c r="H65" s="12"/>
      <c r="I65" s="85">
        <f t="shared" ca="1" si="7"/>
        <v>50</v>
      </c>
      <c r="J65" s="43"/>
      <c r="K65" s="11">
        <f t="shared" ref="K65:AX65" ca="1" si="12" xml:space="preserve"> K14 * $F54</f>
        <v>0</v>
      </c>
      <c r="L65" s="11">
        <f t="shared" ca="1" si="12"/>
        <v>0</v>
      </c>
      <c r="M65" s="11">
        <f t="shared" ca="1" si="12"/>
        <v>0</v>
      </c>
      <c r="N65" s="11">
        <f t="shared" ca="1" si="12"/>
        <v>0</v>
      </c>
      <c r="O65" s="11">
        <f t="shared" ca="1" si="12"/>
        <v>0.25</v>
      </c>
      <c r="P65" s="11">
        <f t="shared" ca="1" si="12"/>
        <v>1.875</v>
      </c>
      <c r="Q65" s="11">
        <f t="shared" ca="1" si="12"/>
        <v>3.75</v>
      </c>
      <c r="R65" s="11">
        <f t="shared" ca="1" si="12"/>
        <v>3.75</v>
      </c>
      <c r="S65" s="11">
        <f t="shared" ca="1" si="12"/>
        <v>3.75</v>
      </c>
      <c r="T65" s="11">
        <f t="shared" ca="1" si="12"/>
        <v>3.75</v>
      </c>
      <c r="U65" s="11">
        <f t="shared" ca="1" si="12"/>
        <v>3.75</v>
      </c>
      <c r="V65" s="11">
        <f t="shared" ca="1" si="12"/>
        <v>3.75</v>
      </c>
      <c r="W65" s="11">
        <f t="shared" ca="1" si="12"/>
        <v>3.75</v>
      </c>
      <c r="X65" s="11">
        <f t="shared" ca="1" si="12"/>
        <v>3.75</v>
      </c>
      <c r="Y65" s="11">
        <f t="shared" ca="1" si="12"/>
        <v>3.75</v>
      </c>
      <c r="Z65" s="11">
        <f t="shared" ca="1" si="12"/>
        <v>3.75</v>
      </c>
      <c r="AA65" s="11">
        <f t="shared" ca="1" si="12"/>
        <v>3.125</v>
      </c>
      <c r="AB65" s="11">
        <f t="shared" ca="1" si="12"/>
        <v>2.5</v>
      </c>
      <c r="AC65" s="11">
        <f t="shared" ca="1" si="12"/>
        <v>1.875</v>
      </c>
      <c r="AD65" s="11">
        <f t="shared" ca="1" si="12"/>
        <v>1.625</v>
      </c>
      <c r="AE65" s="11">
        <f t="shared" ca="1" si="12"/>
        <v>1.25</v>
      </c>
      <c r="AF65" s="11">
        <f t="shared" ca="1" si="12"/>
        <v>0</v>
      </c>
      <c r="AG65" s="11">
        <f t="shared" ca="1" si="12"/>
        <v>0</v>
      </c>
      <c r="AH65" s="11">
        <f t="shared" ca="1" si="12"/>
        <v>0</v>
      </c>
      <c r="AI65" s="11">
        <f t="shared" ca="1" si="12"/>
        <v>0</v>
      </c>
      <c r="AJ65" s="11">
        <f t="shared" ca="1" si="12"/>
        <v>0</v>
      </c>
      <c r="AK65" s="11">
        <f t="shared" ca="1" si="12"/>
        <v>0</v>
      </c>
      <c r="AL65" s="11">
        <f t="shared" ca="1" si="12"/>
        <v>0</v>
      </c>
      <c r="AM65" s="11">
        <f t="shared" ca="1" si="12"/>
        <v>0</v>
      </c>
      <c r="AN65" s="11">
        <f t="shared" ca="1" si="12"/>
        <v>0</v>
      </c>
      <c r="AO65" s="11">
        <f t="shared" ca="1" si="12"/>
        <v>0</v>
      </c>
      <c r="AP65" s="11">
        <f t="shared" ca="1" si="12"/>
        <v>0</v>
      </c>
      <c r="AQ65" s="11">
        <f t="shared" ca="1" si="12"/>
        <v>0</v>
      </c>
      <c r="AR65" s="11">
        <f t="shared" ca="1" si="12"/>
        <v>0</v>
      </c>
      <c r="AS65" s="11">
        <f t="shared" ca="1" si="12"/>
        <v>0</v>
      </c>
      <c r="AT65" s="11">
        <f t="shared" ca="1" si="12"/>
        <v>0</v>
      </c>
      <c r="AU65" s="11">
        <f t="shared" ca="1" si="12"/>
        <v>0</v>
      </c>
      <c r="AV65" s="11">
        <f t="shared" ca="1" si="12"/>
        <v>0</v>
      </c>
      <c r="AW65" s="11">
        <f t="shared" ca="1" si="12"/>
        <v>0</v>
      </c>
      <c r="AX65" s="11">
        <f t="shared" ca="1" si="12"/>
        <v>0</v>
      </c>
    </row>
    <row r="66" spans="1:50" ht="15" customHeight="1">
      <c r="A66" s="90"/>
      <c r="B66" s="134"/>
      <c r="C66" s="92"/>
      <c r="D66" s="135"/>
      <c r="E66" s="45" t="str">
        <f t="shared" si="10"/>
        <v>Exploration costs</v>
      </c>
      <c r="F66" s="46"/>
      <c r="G66" s="45" t="str">
        <f t="shared" si="11"/>
        <v>US$ mn 2021</v>
      </c>
      <c r="H66" s="12"/>
      <c r="I66" s="85">
        <f t="shared" ca="1" si="7"/>
        <v>30</v>
      </c>
      <c r="J66" s="43"/>
      <c r="K66" s="11">
        <f t="shared" ref="K66:AX66" ca="1" si="13" xml:space="preserve"> K15 * $F55</f>
        <v>10</v>
      </c>
      <c r="L66" s="11">
        <f t="shared" ca="1" si="13"/>
        <v>10</v>
      </c>
      <c r="M66" s="11">
        <f t="shared" ca="1" si="13"/>
        <v>10</v>
      </c>
      <c r="N66" s="11">
        <f t="shared" ca="1" si="13"/>
        <v>0</v>
      </c>
      <c r="O66" s="11">
        <f t="shared" ca="1" si="13"/>
        <v>0</v>
      </c>
      <c r="P66" s="11">
        <f t="shared" ca="1" si="13"/>
        <v>0</v>
      </c>
      <c r="Q66" s="11">
        <f t="shared" ca="1" si="13"/>
        <v>0</v>
      </c>
      <c r="R66" s="11">
        <f t="shared" ca="1" si="13"/>
        <v>0</v>
      </c>
      <c r="S66" s="11">
        <f t="shared" ca="1" si="13"/>
        <v>0</v>
      </c>
      <c r="T66" s="11">
        <f t="shared" ca="1" si="13"/>
        <v>0</v>
      </c>
      <c r="U66" s="11">
        <f t="shared" ca="1" si="13"/>
        <v>0</v>
      </c>
      <c r="V66" s="11">
        <f t="shared" ca="1" si="13"/>
        <v>0</v>
      </c>
      <c r="W66" s="11">
        <f t="shared" ca="1" si="13"/>
        <v>0</v>
      </c>
      <c r="X66" s="11">
        <f t="shared" ca="1" si="13"/>
        <v>0</v>
      </c>
      <c r="Y66" s="11">
        <f t="shared" ca="1" si="13"/>
        <v>0</v>
      </c>
      <c r="Z66" s="11">
        <f t="shared" ca="1" si="13"/>
        <v>0</v>
      </c>
      <c r="AA66" s="11">
        <f t="shared" ca="1" si="13"/>
        <v>0</v>
      </c>
      <c r="AB66" s="11">
        <f t="shared" ca="1" si="13"/>
        <v>0</v>
      </c>
      <c r="AC66" s="11">
        <f t="shared" ca="1" si="13"/>
        <v>0</v>
      </c>
      <c r="AD66" s="11">
        <f t="shared" ca="1" si="13"/>
        <v>0</v>
      </c>
      <c r="AE66" s="11">
        <f t="shared" ca="1" si="13"/>
        <v>0</v>
      </c>
      <c r="AF66" s="11">
        <f t="shared" ca="1" si="13"/>
        <v>0</v>
      </c>
      <c r="AG66" s="11">
        <f t="shared" ca="1" si="13"/>
        <v>0</v>
      </c>
      <c r="AH66" s="11">
        <f t="shared" ca="1" si="13"/>
        <v>0</v>
      </c>
      <c r="AI66" s="11">
        <f t="shared" ca="1" si="13"/>
        <v>0</v>
      </c>
      <c r="AJ66" s="11">
        <f t="shared" ca="1" si="13"/>
        <v>0</v>
      </c>
      <c r="AK66" s="11">
        <f t="shared" ca="1" si="13"/>
        <v>0</v>
      </c>
      <c r="AL66" s="11">
        <f t="shared" ca="1" si="13"/>
        <v>0</v>
      </c>
      <c r="AM66" s="11">
        <f t="shared" ca="1" si="13"/>
        <v>0</v>
      </c>
      <c r="AN66" s="11">
        <f t="shared" ca="1" si="13"/>
        <v>0</v>
      </c>
      <c r="AO66" s="11">
        <f t="shared" ca="1" si="13"/>
        <v>0</v>
      </c>
      <c r="AP66" s="11">
        <f t="shared" ca="1" si="13"/>
        <v>0</v>
      </c>
      <c r="AQ66" s="11">
        <f t="shared" ca="1" si="13"/>
        <v>0</v>
      </c>
      <c r="AR66" s="11">
        <f t="shared" ca="1" si="13"/>
        <v>0</v>
      </c>
      <c r="AS66" s="11">
        <f t="shared" ca="1" si="13"/>
        <v>0</v>
      </c>
      <c r="AT66" s="11">
        <f t="shared" ca="1" si="13"/>
        <v>0</v>
      </c>
      <c r="AU66" s="11">
        <f t="shared" ca="1" si="13"/>
        <v>0</v>
      </c>
      <c r="AV66" s="11">
        <f t="shared" ca="1" si="13"/>
        <v>0</v>
      </c>
      <c r="AW66" s="11">
        <f t="shared" ca="1" si="13"/>
        <v>0</v>
      </c>
      <c r="AX66" s="11">
        <f t="shared" ca="1" si="13"/>
        <v>0</v>
      </c>
    </row>
    <row r="67" spans="1:50" ht="15" customHeight="1">
      <c r="A67" s="90"/>
      <c r="B67" s="134"/>
      <c r="C67" s="92"/>
      <c r="D67" s="135"/>
      <c r="E67" s="45" t="str">
        <f t="shared" si="10"/>
        <v>Development costs</v>
      </c>
      <c r="F67" s="46"/>
      <c r="G67" s="45" t="str">
        <f t="shared" si="11"/>
        <v>US$ mn 2021</v>
      </c>
      <c r="H67" s="12"/>
      <c r="I67" s="85">
        <f t="shared" ca="1" si="7"/>
        <v>400</v>
      </c>
      <c r="J67" s="43"/>
      <c r="K67" s="11">
        <f t="shared" ref="K67:AX67" ca="1" si="14" xml:space="preserve"> K16 * $F56</f>
        <v>0</v>
      </c>
      <c r="L67" s="11">
        <f t="shared" ca="1" si="14"/>
        <v>0</v>
      </c>
      <c r="M67" s="11">
        <f t="shared" ca="1" si="14"/>
        <v>0</v>
      </c>
      <c r="N67" s="11">
        <f t="shared" ca="1" si="14"/>
        <v>50</v>
      </c>
      <c r="O67" s="11">
        <f t="shared" ca="1" si="14"/>
        <v>250</v>
      </c>
      <c r="P67" s="11">
        <f t="shared" ca="1" si="14"/>
        <v>100</v>
      </c>
      <c r="Q67" s="11">
        <f t="shared" ca="1" si="14"/>
        <v>0</v>
      </c>
      <c r="R67" s="11">
        <f t="shared" ca="1" si="14"/>
        <v>0</v>
      </c>
      <c r="S67" s="11">
        <f t="shared" ca="1" si="14"/>
        <v>0</v>
      </c>
      <c r="T67" s="11">
        <f t="shared" ca="1" si="14"/>
        <v>0</v>
      </c>
      <c r="U67" s="11">
        <f t="shared" ca="1" si="14"/>
        <v>0</v>
      </c>
      <c r="V67" s="11">
        <f t="shared" ca="1" si="14"/>
        <v>0</v>
      </c>
      <c r="W67" s="11">
        <f t="shared" ca="1" si="14"/>
        <v>0</v>
      </c>
      <c r="X67" s="11">
        <f t="shared" ca="1" si="14"/>
        <v>0</v>
      </c>
      <c r="Y67" s="11">
        <f t="shared" ca="1" si="14"/>
        <v>0</v>
      </c>
      <c r="Z67" s="11">
        <f t="shared" ca="1" si="14"/>
        <v>0</v>
      </c>
      <c r="AA67" s="11">
        <f t="shared" ca="1" si="14"/>
        <v>0</v>
      </c>
      <c r="AB67" s="11">
        <f t="shared" ca="1" si="14"/>
        <v>0</v>
      </c>
      <c r="AC67" s="11">
        <f t="shared" ca="1" si="14"/>
        <v>0</v>
      </c>
      <c r="AD67" s="11">
        <f t="shared" ca="1" si="14"/>
        <v>0</v>
      </c>
      <c r="AE67" s="11">
        <f t="shared" ca="1" si="14"/>
        <v>0</v>
      </c>
      <c r="AF67" s="11">
        <f t="shared" ca="1" si="14"/>
        <v>0</v>
      </c>
      <c r="AG67" s="11">
        <f t="shared" ca="1" si="14"/>
        <v>0</v>
      </c>
      <c r="AH67" s="11">
        <f t="shared" ca="1" si="14"/>
        <v>0</v>
      </c>
      <c r="AI67" s="11">
        <f t="shared" ca="1" si="14"/>
        <v>0</v>
      </c>
      <c r="AJ67" s="11">
        <f t="shared" ca="1" si="14"/>
        <v>0</v>
      </c>
      <c r="AK67" s="11">
        <f t="shared" ca="1" si="14"/>
        <v>0</v>
      </c>
      <c r="AL67" s="11">
        <f t="shared" ca="1" si="14"/>
        <v>0</v>
      </c>
      <c r="AM67" s="11">
        <f t="shared" ca="1" si="14"/>
        <v>0</v>
      </c>
      <c r="AN67" s="11">
        <f t="shared" ca="1" si="14"/>
        <v>0</v>
      </c>
      <c r="AO67" s="11">
        <f t="shared" ca="1" si="14"/>
        <v>0</v>
      </c>
      <c r="AP67" s="11">
        <f t="shared" ca="1" si="14"/>
        <v>0</v>
      </c>
      <c r="AQ67" s="11">
        <f t="shared" ca="1" si="14"/>
        <v>0</v>
      </c>
      <c r="AR67" s="11">
        <f t="shared" ca="1" si="14"/>
        <v>0</v>
      </c>
      <c r="AS67" s="11">
        <f t="shared" ca="1" si="14"/>
        <v>0</v>
      </c>
      <c r="AT67" s="11">
        <f t="shared" ca="1" si="14"/>
        <v>0</v>
      </c>
      <c r="AU67" s="11">
        <f t="shared" ca="1" si="14"/>
        <v>0</v>
      </c>
      <c r="AV67" s="11">
        <f t="shared" ca="1" si="14"/>
        <v>0</v>
      </c>
      <c r="AW67" s="11">
        <f t="shared" ca="1" si="14"/>
        <v>0</v>
      </c>
      <c r="AX67" s="11">
        <f t="shared" ca="1" si="14"/>
        <v>0</v>
      </c>
    </row>
    <row r="68" spans="1:50" ht="15" customHeight="1">
      <c r="A68" s="90"/>
      <c r="B68" s="134"/>
      <c r="C68" s="92"/>
      <c r="D68" s="135"/>
      <c r="E68" s="45" t="str">
        <f t="shared" si="10"/>
        <v>Replacement capital costs</v>
      </c>
      <c r="F68" s="46"/>
      <c r="G68" s="45" t="str">
        <f t="shared" si="11"/>
        <v>US$ mn 2021</v>
      </c>
      <c r="H68" s="12"/>
      <c r="I68" s="85">
        <f t="shared" ca="1" si="7"/>
        <v>96</v>
      </c>
      <c r="J68" s="43"/>
      <c r="K68" s="11">
        <f t="shared" ref="K68:AX68" ca="1" si="15" xml:space="preserve"> K17 * $F56</f>
        <v>0</v>
      </c>
      <c r="L68" s="11">
        <f t="shared" ca="1" si="15"/>
        <v>0</v>
      </c>
      <c r="M68" s="11">
        <f t="shared" ca="1" si="15"/>
        <v>0</v>
      </c>
      <c r="N68" s="11">
        <f t="shared" ca="1" si="15"/>
        <v>0</v>
      </c>
      <c r="O68" s="11">
        <f t="shared" ca="1" si="15"/>
        <v>0</v>
      </c>
      <c r="P68" s="11">
        <f t="shared" ca="1" si="15"/>
        <v>8</v>
      </c>
      <c r="Q68" s="11">
        <f t="shared" ca="1" si="15"/>
        <v>8</v>
      </c>
      <c r="R68" s="11">
        <f t="shared" ca="1" si="15"/>
        <v>8</v>
      </c>
      <c r="S68" s="11">
        <f t="shared" ca="1" si="15"/>
        <v>8</v>
      </c>
      <c r="T68" s="11">
        <f t="shared" ca="1" si="15"/>
        <v>8</v>
      </c>
      <c r="U68" s="11">
        <f t="shared" ca="1" si="15"/>
        <v>8</v>
      </c>
      <c r="V68" s="11">
        <f t="shared" ca="1" si="15"/>
        <v>8</v>
      </c>
      <c r="W68" s="11">
        <f t="shared" ca="1" si="15"/>
        <v>8</v>
      </c>
      <c r="X68" s="11">
        <f t="shared" ca="1" si="15"/>
        <v>8</v>
      </c>
      <c r="Y68" s="11">
        <f t="shared" ca="1" si="15"/>
        <v>8</v>
      </c>
      <c r="Z68" s="11">
        <f t="shared" ca="1" si="15"/>
        <v>8</v>
      </c>
      <c r="AA68" s="11">
        <f t="shared" ca="1" si="15"/>
        <v>8</v>
      </c>
      <c r="AB68" s="11">
        <f t="shared" ca="1" si="15"/>
        <v>0</v>
      </c>
      <c r="AC68" s="11">
        <f t="shared" ca="1" si="15"/>
        <v>0</v>
      </c>
      <c r="AD68" s="11">
        <f t="shared" ca="1" si="15"/>
        <v>0</v>
      </c>
      <c r="AE68" s="11">
        <f t="shared" ca="1" si="15"/>
        <v>0</v>
      </c>
      <c r="AF68" s="11">
        <f t="shared" ca="1" si="15"/>
        <v>0</v>
      </c>
      <c r="AG68" s="11">
        <f t="shared" ca="1" si="15"/>
        <v>0</v>
      </c>
      <c r="AH68" s="11">
        <f t="shared" ca="1" si="15"/>
        <v>0</v>
      </c>
      <c r="AI68" s="11">
        <f t="shared" ca="1" si="15"/>
        <v>0</v>
      </c>
      <c r="AJ68" s="11">
        <f t="shared" ca="1" si="15"/>
        <v>0</v>
      </c>
      <c r="AK68" s="11">
        <f t="shared" ca="1" si="15"/>
        <v>0</v>
      </c>
      <c r="AL68" s="11">
        <f t="shared" ca="1" si="15"/>
        <v>0</v>
      </c>
      <c r="AM68" s="11">
        <f t="shared" ca="1" si="15"/>
        <v>0</v>
      </c>
      <c r="AN68" s="11">
        <f t="shared" ca="1" si="15"/>
        <v>0</v>
      </c>
      <c r="AO68" s="11">
        <f t="shared" ca="1" si="15"/>
        <v>0</v>
      </c>
      <c r="AP68" s="11">
        <f t="shared" ca="1" si="15"/>
        <v>0</v>
      </c>
      <c r="AQ68" s="11">
        <f t="shared" ca="1" si="15"/>
        <v>0</v>
      </c>
      <c r="AR68" s="11">
        <f t="shared" ca="1" si="15"/>
        <v>0</v>
      </c>
      <c r="AS68" s="11">
        <f t="shared" ca="1" si="15"/>
        <v>0</v>
      </c>
      <c r="AT68" s="11">
        <f t="shared" ca="1" si="15"/>
        <v>0</v>
      </c>
      <c r="AU68" s="11">
        <f t="shared" ca="1" si="15"/>
        <v>0</v>
      </c>
      <c r="AV68" s="11">
        <f t="shared" ca="1" si="15"/>
        <v>0</v>
      </c>
      <c r="AW68" s="11">
        <f t="shared" ca="1" si="15"/>
        <v>0</v>
      </c>
      <c r="AX68" s="11">
        <f t="shared" ca="1" si="15"/>
        <v>0</v>
      </c>
    </row>
    <row r="69" spans="1:50" ht="15" customHeight="1">
      <c r="A69" s="90"/>
      <c r="B69" s="134"/>
      <c r="C69" s="92"/>
      <c r="D69" s="135"/>
      <c r="E69" s="45" t="str">
        <f t="shared" si="10"/>
        <v>Operating costs</v>
      </c>
      <c r="F69" s="46"/>
      <c r="G69" s="45" t="str">
        <f t="shared" si="11"/>
        <v>US$ mn 2021</v>
      </c>
      <c r="H69" s="12"/>
      <c r="I69" s="85">
        <f t="shared" ca="1" si="7"/>
        <v>900</v>
      </c>
      <c r="J69" s="43"/>
      <c r="K69" s="11">
        <f t="shared" ref="K69:AX69" ca="1" si="16" xml:space="preserve"> K18 * $F57</f>
        <v>0</v>
      </c>
      <c r="L69" s="11">
        <f t="shared" ca="1" si="16"/>
        <v>0</v>
      </c>
      <c r="M69" s="11">
        <f t="shared" ca="1" si="16"/>
        <v>0</v>
      </c>
      <c r="N69" s="11">
        <f t="shared" ca="1" si="16"/>
        <v>0</v>
      </c>
      <c r="O69" s="11">
        <f t="shared" ca="1" si="16"/>
        <v>4.5</v>
      </c>
      <c r="P69" s="11">
        <f t="shared" ca="1" si="16"/>
        <v>33.75</v>
      </c>
      <c r="Q69" s="11">
        <f t="shared" ca="1" si="16"/>
        <v>67.5</v>
      </c>
      <c r="R69" s="11">
        <f t="shared" ca="1" si="16"/>
        <v>67.5</v>
      </c>
      <c r="S69" s="11">
        <f t="shared" ca="1" si="16"/>
        <v>67.5</v>
      </c>
      <c r="T69" s="11">
        <f t="shared" ca="1" si="16"/>
        <v>67.5</v>
      </c>
      <c r="U69" s="11">
        <f t="shared" ca="1" si="16"/>
        <v>67.5</v>
      </c>
      <c r="V69" s="11">
        <f t="shared" ca="1" si="16"/>
        <v>67.5</v>
      </c>
      <c r="W69" s="11">
        <f t="shared" ca="1" si="16"/>
        <v>67.5</v>
      </c>
      <c r="X69" s="11">
        <f t="shared" ca="1" si="16"/>
        <v>67.5</v>
      </c>
      <c r="Y69" s="11">
        <f t="shared" ca="1" si="16"/>
        <v>67.5</v>
      </c>
      <c r="Z69" s="11">
        <f t="shared" ca="1" si="16"/>
        <v>67.5</v>
      </c>
      <c r="AA69" s="11">
        <f t="shared" ca="1" si="16"/>
        <v>56.25</v>
      </c>
      <c r="AB69" s="11">
        <f t="shared" ca="1" si="16"/>
        <v>45</v>
      </c>
      <c r="AC69" s="11">
        <f t="shared" ca="1" si="16"/>
        <v>33.75</v>
      </c>
      <c r="AD69" s="11">
        <f t="shared" ca="1" si="16"/>
        <v>29.25</v>
      </c>
      <c r="AE69" s="11">
        <f t="shared" ca="1" si="16"/>
        <v>22.5</v>
      </c>
      <c r="AF69" s="11">
        <f t="shared" ca="1" si="16"/>
        <v>0</v>
      </c>
      <c r="AG69" s="11">
        <f t="shared" ca="1" si="16"/>
        <v>0</v>
      </c>
      <c r="AH69" s="11">
        <f t="shared" ca="1" si="16"/>
        <v>0</v>
      </c>
      <c r="AI69" s="11">
        <f t="shared" ca="1" si="16"/>
        <v>0</v>
      </c>
      <c r="AJ69" s="11">
        <f t="shared" ca="1" si="16"/>
        <v>0</v>
      </c>
      <c r="AK69" s="11">
        <f t="shared" ca="1" si="16"/>
        <v>0</v>
      </c>
      <c r="AL69" s="11">
        <f t="shared" ca="1" si="16"/>
        <v>0</v>
      </c>
      <c r="AM69" s="11">
        <f t="shared" ca="1" si="16"/>
        <v>0</v>
      </c>
      <c r="AN69" s="11">
        <f t="shared" ca="1" si="16"/>
        <v>0</v>
      </c>
      <c r="AO69" s="11">
        <f t="shared" ca="1" si="16"/>
        <v>0</v>
      </c>
      <c r="AP69" s="11">
        <f t="shared" ca="1" si="16"/>
        <v>0</v>
      </c>
      <c r="AQ69" s="11">
        <f t="shared" ca="1" si="16"/>
        <v>0</v>
      </c>
      <c r="AR69" s="11">
        <f t="shared" ca="1" si="16"/>
        <v>0</v>
      </c>
      <c r="AS69" s="11">
        <f t="shared" ca="1" si="16"/>
        <v>0</v>
      </c>
      <c r="AT69" s="11">
        <f t="shared" ca="1" si="16"/>
        <v>0</v>
      </c>
      <c r="AU69" s="11">
        <f t="shared" ca="1" si="16"/>
        <v>0</v>
      </c>
      <c r="AV69" s="11">
        <f t="shared" ca="1" si="16"/>
        <v>0</v>
      </c>
      <c r="AW69" s="11">
        <f t="shared" ca="1" si="16"/>
        <v>0</v>
      </c>
      <c r="AX69" s="11">
        <f t="shared" ca="1" si="16"/>
        <v>0</v>
      </c>
    </row>
    <row r="70" spans="1:50" ht="15" customHeight="1">
      <c r="A70" s="90"/>
      <c r="B70" s="134"/>
      <c r="C70" s="92"/>
      <c r="D70" s="135"/>
      <c r="E70" s="45" t="str">
        <f t="shared" si="10"/>
        <v>Decommissioning costs</v>
      </c>
      <c r="F70" s="46"/>
      <c r="G70" s="45" t="str">
        <f t="shared" si="11"/>
        <v>US$ mn 2021</v>
      </c>
      <c r="H70" s="12"/>
      <c r="I70" s="85">
        <f t="shared" ca="1" si="7"/>
        <v>20</v>
      </c>
      <c r="J70" s="43"/>
      <c r="K70" s="11">
        <f t="shared" ref="K70:AX70" ca="1" si="17" xml:space="preserve"> K19 * $F56</f>
        <v>0</v>
      </c>
      <c r="L70" s="11">
        <f t="shared" ca="1" si="17"/>
        <v>0</v>
      </c>
      <c r="M70" s="11">
        <f t="shared" ca="1" si="17"/>
        <v>0</v>
      </c>
      <c r="N70" s="11">
        <f t="shared" ca="1" si="17"/>
        <v>0</v>
      </c>
      <c r="O70" s="11">
        <f t="shared" ca="1" si="17"/>
        <v>0</v>
      </c>
      <c r="P70" s="11">
        <f t="shared" ca="1" si="17"/>
        <v>0</v>
      </c>
      <c r="Q70" s="11">
        <f t="shared" ca="1" si="17"/>
        <v>0</v>
      </c>
      <c r="R70" s="11">
        <f t="shared" ca="1" si="17"/>
        <v>0</v>
      </c>
      <c r="S70" s="11">
        <f t="shared" ca="1" si="17"/>
        <v>0</v>
      </c>
      <c r="T70" s="11">
        <f t="shared" ca="1" si="17"/>
        <v>0</v>
      </c>
      <c r="U70" s="11">
        <f t="shared" ca="1" si="17"/>
        <v>0</v>
      </c>
      <c r="V70" s="11">
        <f t="shared" ca="1" si="17"/>
        <v>0</v>
      </c>
      <c r="W70" s="11">
        <f t="shared" ca="1" si="17"/>
        <v>0</v>
      </c>
      <c r="X70" s="11">
        <f t="shared" ca="1" si="17"/>
        <v>0</v>
      </c>
      <c r="Y70" s="11">
        <f t="shared" ca="1" si="17"/>
        <v>0</v>
      </c>
      <c r="Z70" s="11">
        <f t="shared" ca="1" si="17"/>
        <v>0</v>
      </c>
      <c r="AA70" s="11">
        <f t="shared" ca="1" si="17"/>
        <v>0</v>
      </c>
      <c r="AB70" s="11">
        <f t="shared" ca="1" si="17"/>
        <v>0</v>
      </c>
      <c r="AC70" s="11">
        <f t="shared" ca="1" si="17"/>
        <v>0</v>
      </c>
      <c r="AD70" s="11">
        <f t="shared" ca="1" si="17"/>
        <v>0</v>
      </c>
      <c r="AE70" s="11">
        <f t="shared" ca="1" si="17"/>
        <v>0</v>
      </c>
      <c r="AF70" s="11">
        <f t="shared" ca="1" si="17"/>
        <v>20</v>
      </c>
      <c r="AG70" s="11">
        <f t="shared" ca="1" si="17"/>
        <v>0</v>
      </c>
      <c r="AH70" s="11">
        <f t="shared" ca="1" si="17"/>
        <v>0</v>
      </c>
      <c r="AI70" s="11">
        <f t="shared" ca="1" si="17"/>
        <v>0</v>
      </c>
      <c r="AJ70" s="11">
        <f t="shared" ca="1" si="17"/>
        <v>0</v>
      </c>
      <c r="AK70" s="11">
        <f t="shared" ca="1" si="17"/>
        <v>0</v>
      </c>
      <c r="AL70" s="11">
        <f t="shared" ca="1" si="17"/>
        <v>0</v>
      </c>
      <c r="AM70" s="11">
        <f t="shared" ca="1" si="17"/>
        <v>0</v>
      </c>
      <c r="AN70" s="11">
        <f t="shared" ca="1" si="17"/>
        <v>0</v>
      </c>
      <c r="AO70" s="11">
        <f t="shared" ca="1" si="17"/>
        <v>0</v>
      </c>
      <c r="AP70" s="11">
        <f t="shared" ca="1" si="17"/>
        <v>0</v>
      </c>
      <c r="AQ70" s="11">
        <f t="shared" ca="1" si="17"/>
        <v>0</v>
      </c>
      <c r="AR70" s="11">
        <f t="shared" ca="1" si="17"/>
        <v>0</v>
      </c>
      <c r="AS70" s="11">
        <f t="shared" ca="1" si="17"/>
        <v>0</v>
      </c>
      <c r="AT70" s="11">
        <f t="shared" ca="1" si="17"/>
        <v>0</v>
      </c>
      <c r="AU70" s="11">
        <f t="shared" ca="1" si="17"/>
        <v>0</v>
      </c>
      <c r="AV70" s="11">
        <f t="shared" ca="1" si="17"/>
        <v>0</v>
      </c>
      <c r="AW70" s="11">
        <f t="shared" ca="1" si="17"/>
        <v>0</v>
      </c>
      <c r="AX70" s="11">
        <f t="shared" ca="1" si="17"/>
        <v>0</v>
      </c>
    </row>
    <row r="71" spans="1:50" ht="15" customHeight="1">
      <c r="A71" s="90"/>
      <c r="B71" s="141"/>
      <c r="C71" s="75"/>
      <c r="D71" s="131"/>
      <c r="E71" s="45"/>
      <c r="F71" s="46"/>
      <c r="G71" s="46"/>
      <c r="H71" s="46"/>
      <c r="I71" s="76"/>
      <c r="J71" s="46"/>
      <c r="K71" s="46"/>
      <c r="L71" s="46"/>
      <c r="M71" s="46"/>
      <c r="N71" s="46"/>
      <c r="O71" s="46"/>
      <c r="P71" s="46"/>
      <c r="Q71" s="46"/>
      <c r="R71" s="46"/>
      <c r="S71" s="46"/>
      <c r="T71" s="46"/>
      <c r="U71" s="46"/>
      <c r="V71" s="46"/>
      <c r="W71" s="46"/>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row>
    <row r="72" spans="1:50" ht="15" customHeight="1">
      <c r="A72" s="144"/>
      <c r="B72" s="145"/>
      <c r="C72" s="146"/>
      <c r="D72" s="133"/>
      <c r="E72" s="45"/>
      <c r="F72" s="46"/>
      <c r="G72" s="43"/>
      <c r="H72" s="43"/>
      <c r="I72" s="85"/>
      <c r="J72" s="43"/>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row>
    <row r="73" spans="1:50" ht="15" customHeight="1">
      <c r="A73" s="169" t="str">
        <f>Translate!$E15 &amp; ": " &amp; Inputs!F$85</f>
        <v>Project cashflows: real</v>
      </c>
      <c r="B73" s="169"/>
      <c r="C73" s="170"/>
      <c r="D73" s="171"/>
      <c r="E73" s="88"/>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c r="AE73" s="86"/>
      <c r="AF73" s="86"/>
      <c r="AG73" s="86"/>
      <c r="AH73" s="86"/>
      <c r="AI73" s="86"/>
      <c r="AJ73" s="86"/>
      <c r="AK73" s="86"/>
      <c r="AL73" s="86"/>
      <c r="AM73" s="86"/>
      <c r="AN73" s="86"/>
      <c r="AO73" s="86"/>
      <c r="AP73" s="86"/>
      <c r="AQ73" s="86"/>
      <c r="AR73" s="86"/>
      <c r="AS73" s="86"/>
      <c r="AT73" s="86"/>
      <c r="AU73" s="86"/>
      <c r="AV73" s="86"/>
      <c r="AW73" s="86"/>
      <c r="AX73" s="86"/>
    </row>
    <row r="74" spans="1:50" ht="15" customHeight="1">
      <c r="A74" s="41"/>
      <c r="B74" s="41"/>
      <c r="C74" s="113"/>
      <c r="D74" s="114"/>
      <c r="E74" s="45"/>
      <c r="F74" s="46"/>
      <c r="G74" s="46"/>
      <c r="H74" s="46"/>
      <c r="I74" s="76"/>
      <c r="J74" s="46"/>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row>
    <row r="75" spans="1:50" ht="15" customHeight="1">
      <c r="A75" s="73"/>
      <c r="B75" s="172" t="str">
        <f>Translate!$E$377</f>
        <v>Mineral Price</v>
      </c>
      <c r="C75" s="75"/>
      <c r="D75" s="131"/>
      <c r="E75" s="45"/>
      <c r="F75" s="46"/>
      <c r="G75" s="46"/>
      <c r="H75" s="46"/>
      <c r="I75" s="76"/>
      <c r="J75" s="46"/>
      <c r="K75" s="46"/>
      <c r="L75" s="46"/>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row>
    <row r="76" spans="1:50" ht="15" customHeight="1">
      <c r="A76" s="73"/>
      <c r="B76" s="172"/>
      <c r="C76" s="75"/>
      <c r="D76" s="131"/>
      <c r="E76" s="107" t="str">
        <f ca="1" xml:space="preserve"> Inputs!E$30</f>
        <v>Gold (into model)</v>
      </c>
      <c r="F76" s="109">
        <f ca="1" xml:space="preserve"> Inputs!F$30</f>
        <v>1500</v>
      </c>
      <c r="G76" s="109" t="str">
        <f ca="1" xml:space="preserve"> Inputs!G$30</f>
        <v>US$ 2021 / ounce</v>
      </c>
      <c r="H76" s="46"/>
      <c r="I76" s="76"/>
      <c r="J76" s="46"/>
      <c r="K76" s="46"/>
      <c r="L76" s="46"/>
      <c r="M76" s="46"/>
      <c r="N76" s="46"/>
      <c r="O76" s="46"/>
      <c r="P76" s="46"/>
      <c r="Q76" s="46"/>
      <c r="R76" s="46"/>
      <c r="S76" s="46"/>
      <c r="T76" s="46"/>
      <c r="U76" s="46"/>
      <c r="V76" s="46"/>
      <c r="W76" s="46"/>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row>
    <row r="77" spans="1:50" ht="15" customHeight="1">
      <c r="A77" s="73"/>
      <c r="B77" s="172"/>
      <c r="C77" s="75"/>
      <c r="D77" s="131"/>
      <c r="E77" s="108" t="str">
        <f xml:space="preserve"> Inputs!E$33</f>
        <v>Price sensitivity</v>
      </c>
      <c r="F77" s="108">
        <f xml:space="preserve"> Inputs!F$33</f>
        <v>1</v>
      </c>
      <c r="G77" s="108" t="str">
        <f xml:space="preserve"> Inputs!G$33</f>
        <v>factor</v>
      </c>
      <c r="H77" s="46"/>
      <c r="I77" s="76"/>
      <c r="J77" s="46"/>
      <c r="K77" s="46"/>
      <c r="L77" s="46"/>
      <c r="M77" s="46"/>
      <c r="N77" s="4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row>
    <row r="78" spans="1:50" s="304" customFormat="1" ht="15" customHeight="1">
      <c r="A78" s="307"/>
      <c r="B78" s="308"/>
      <c r="C78" s="309"/>
      <c r="D78" s="319"/>
      <c r="E78" s="303" t="str">
        <f ca="1" xml:space="preserve"> E76 &amp; " " &amp; Translate!$E$442</f>
        <v>Gold (into model) (into model)</v>
      </c>
      <c r="F78" s="306">
        <f ca="1" xml:space="preserve"> F76 * F77</f>
        <v>1500</v>
      </c>
      <c r="G78" s="306" t="str">
        <f ca="1" xml:space="preserve"> Inputs!G$30</f>
        <v>US$ 2021 / ounce</v>
      </c>
      <c r="H78" s="306"/>
      <c r="I78" s="307"/>
      <c r="J78" s="306"/>
      <c r="K78" s="306"/>
      <c r="L78" s="306"/>
      <c r="M78" s="306"/>
      <c r="N78" s="306"/>
      <c r="O78" s="306"/>
      <c r="P78" s="306"/>
      <c r="Q78" s="306"/>
      <c r="R78" s="306"/>
      <c r="S78" s="306"/>
      <c r="T78" s="306"/>
      <c r="U78" s="306"/>
      <c r="V78" s="306"/>
      <c r="W78" s="306"/>
      <c r="X78" s="306"/>
      <c r="Y78" s="306"/>
      <c r="Z78" s="306"/>
      <c r="AA78" s="306"/>
      <c r="AB78" s="306"/>
      <c r="AC78" s="306"/>
      <c r="AD78" s="306"/>
      <c r="AE78" s="306"/>
      <c r="AF78" s="306"/>
      <c r="AG78" s="306"/>
      <c r="AH78" s="306"/>
      <c r="AI78" s="306"/>
      <c r="AJ78" s="306"/>
      <c r="AK78" s="306"/>
      <c r="AL78" s="306"/>
      <c r="AM78" s="306"/>
      <c r="AN78" s="306"/>
      <c r="AO78" s="306"/>
      <c r="AP78" s="306"/>
      <c r="AQ78" s="306"/>
      <c r="AR78" s="306"/>
      <c r="AS78" s="306"/>
      <c r="AT78" s="306"/>
      <c r="AU78" s="306"/>
      <c r="AV78" s="306"/>
      <c r="AW78" s="306"/>
      <c r="AX78" s="306"/>
    </row>
    <row r="79" spans="1:50" ht="15" customHeight="1">
      <c r="A79" s="73"/>
      <c r="B79" s="172"/>
      <c r="C79" s="75"/>
      <c r="D79" s="131"/>
      <c r="E79" s="303" t="str">
        <f xml:space="preserve"> E$9</f>
        <v>Mineral</v>
      </c>
      <c r="F79" s="302" t="str">
        <f ca="1" xml:space="preserve"> F$9</f>
        <v>Gold</v>
      </c>
      <c r="G79" s="303" t="str">
        <f xml:space="preserve"> G$9</f>
        <v>Label</v>
      </c>
      <c r="H79" s="46"/>
      <c r="I79" s="76"/>
      <c r="J79" s="46"/>
      <c r="K79" s="143"/>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row>
    <row r="80" spans="1:50" ht="15" customHeight="1">
      <c r="A80" s="73"/>
      <c r="B80" s="172"/>
      <c r="C80" s="75"/>
      <c r="D80" s="131"/>
      <c r="E80" s="303" t="str">
        <f xml:space="preserve"> E$10</f>
        <v>Mineral units</v>
      </c>
      <c r="F80" s="302" t="str">
        <f ca="1" xml:space="preserve"> F$10</f>
        <v>ounce</v>
      </c>
      <c r="G80" s="303" t="str">
        <f xml:space="preserve"> G$10</f>
        <v>Units</v>
      </c>
      <c r="H80" s="46"/>
      <c r="I80" s="7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row>
    <row r="81" spans="1:50" ht="15" customHeight="1">
      <c r="A81" s="73"/>
      <c r="B81" s="141"/>
      <c r="C81" s="75"/>
      <c r="D81" s="131"/>
      <c r="E81" s="45" t="str">
        <f ca="1" xml:space="preserve"> $F79 &amp; " " &amp; Translate!$E$439</f>
        <v>Gold price realized from sales</v>
      </c>
      <c r="F81" s="46"/>
      <c r="G81" s="12" t="str">
        <f ca="1" xml:space="preserve"> Translate!E$9 &amp; " / " &amp; $F80 &amp; " " &amp; Translate!E$624</f>
        <v>US$ / ounce const</v>
      </c>
      <c r="H81" s="12"/>
      <c r="I81" s="76">
        <f ca="1" xml:space="preserve"> SUM(K81:AX81)</f>
        <v>60000</v>
      </c>
      <c r="J81" s="43"/>
      <c r="K81" s="76">
        <f t="shared" ref="K81:AX81" ca="1" si="18" xml:space="preserve"> $F78</f>
        <v>1500</v>
      </c>
      <c r="L81" s="76">
        <f t="shared" ca="1" si="18"/>
        <v>1500</v>
      </c>
      <c r="M81" s="76">
        <f t="shared" ca="1" si="18"/>
        <v>1500</v>
      </c>
      <c r="N81" s="76">
        <f t="shared" ca="1" si="18"/>
        <v>1500</v>
      </c>
      <c r="O81" s="76">
        <f t="shared" ca="1" si="18"/>
        <v>1500</v>
      </c>
      <c r="P81" s="76">
        <f t="shared" ca="1" si="18"/>
        <v>1500</v>
      </c>
      <c r="Q81" s="76">
        <f t="shared" ca="1" si="18"/>
        <v>1500</v>
      </c>
      <c r="R81" s="76">
        <f t="shared" ca="1" si="18"/>
        <v>1500</v>
      </c>
      <c r="S81" s="76">
        <f t="shared" ca="1" si="18"/>
        <v>1500</v>
      </c>
      <c r="T81" s="76">
        <f t="shared" ca="1" si="18"/>
        <v>1500</v>
      </c>
      <c r="U81" s="76">
        <f t="shared" ca="1" si="18"/>
        <v>1500</v>
      </c>
      <c r="V81" s="76">
        <f t="shared" ca="1" si="18"/>
        <v>1500</v>
      </c>
      <c r="W81" s="76">
        <f t="shared" ca="1" si="18"/>
        <v>1500</v>
      </c>
      <c r="X81" s="76">
        <f t="shared" ca="1" si="18"/>
        <v>1500</v>
      </c>
      <c r="Y81" s="76">
        <f t="shared" ca="1" si="18"/>
        <v>1500</v>
      </c>
      <c r="Z81" s="76">
        <f t="shared" ca="1" si="18"/>
        <v>1500</v>
      </c>
      <c r="AA81" s="76">
        <f t="shared" ca="1" si="18"/>
        <v>1500</v>
      </c>
      <c r="AB81" s="76">
        <f t="shared" ca="1" si="18"/>
        <v>1500</v>
      </c>
      <c r="AC81" s="76">
        <f t="shared" ca="1" si="18"/>
        <v>1500</v>
      </c>
      <c r="AD81" s="76">
        <f t="shared" ca="1" si="18"/>
        <v>1500</v>
      </c>
      <c r="AE81" s="76">
        <f t="shared" ca="1" si="18"/>
        <v>1500</v>
      </c>
      <c r="AF81" s="76">
        <f t="shared" ca="1" si="18"/>
        <v>1500</v>
      </c>
      <c r="AG81" s="76">
        <f t="shared" ca="1" si="18"/>
        <v>1500</v>
      </c>
      <c r="AH81" s="76">
        <f t="shared" ca="1" si="18"/>
        <v>1500</v>
      </c>
      <c r="AI81" s="76">
        <f t="shared" ca="1" si="18"/>
        <v>1500</v>
      </c>
      <c r="AJ81" s="76">
        <f t="shared" ca="1" si="18"/>
        <v>1500</v>
      </c>
      <c r="AK81" s="76">
        <f t="shared" ca="1" si="18"/>
        <v>1500</v>
      </c>
      <c r="AL81" s="76">
        <f t="shared" ca="1" si="18"/>
        <v>1500</v>
      </c>
      <c r="AM81" s="76">
        <f t="shared" ca="1" si="18"/>
        <v>1500</v>
      </c>
      <c r="AN81" s="76">
        <f t="shared" ca="1" si="18"/>
        <v>1500</v>
      </c>
      <c r="AO81" s="76">
        <f t="shared" ca="1" si="18"/>
        <v>1500</v>
      </c>
      <c r="AP81" s="76">
        <f t="shared" ca="1" si="18"/>
        <v>1500</v>
      </c>
      <c r="AQ81" s="76">
        <f t="shared" ca="1" si="18"/>
        <v>1500</v>
      </c>
      <c r="AR81" s="76">
        <f t="shared" ca="1" si="18"/>
        <v>1500</v>
      </c>
      <c r="AS81" s="76">
        <f t="shared" ca="1" si="18"/>
        <v>1500</v>
      </c>
      <c r="AT81" s="76">
        <f t="shared" ca="1" si="18"/>
        <v>1500</v>
      </c>
      <c r="AU81" s="76">
        <f t="shared" ca="1" si="18"/>
        <v>1500</v>
      </c>
      <c r="AV81" s="76">
        <f t="shared" ca="1" si="18"/>
        <v>1500</v>
      </c>
      <c r="AW81" s="76">
        <f t="shared" ca="1" si="18"/>
        <v>1500</v>
      </c>
      <c r="AX81" s="76">
        <f t="shared" ca="1" si="18"/>
        <v>1500</v>
      </c>
    </row>
    <row r="82" spans="1:50" ht="15" customHeight="1">
      <c r="A82" s="73"/>
      <c r="B82" s="141"/>
      <c r="C82" s="75"/>
      <c r="D82" s="131"/>
      <c r="E82" s="41"/>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row>
    <row r="83" spans="1:50" ht="15" customHeight="1">
      <c r="A83" s="73"/>
      <c r="B83" s="172" t="str">
        <f>Translate!$E$378</f>
        <v>Revenues</v>
      </c>
      <c r="C83" s="75"/>
      <c r="D83" s="131"/>
      <c r="E83" s="45"/>
      <c r="F83" s="46"/>
      <c r="G83" s="12"/>
      <c r="H83" s="12"/>
      <c r="I83" s="76"/>
      <c r="J83" s="43"/>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row>
    <row r="84" spans="1:50" ht="15" customHeight="1">
      <c r="A84" s="73"/>
      <c r="B84" s="141"/>
      <c r="C84" s="75"/>
      <c r="D84" s="131"/>
      <c r="E84" s="45" t="str">
        <f t="shared" ref="E84:AX84" ca="1" si="19" xml:space="preserve"> E$60</f>
        <v>Gold sales</v>
      </c>
      <c r="F84" s="45">
        <f t="shared" si="19"/>
        <v>0</v>
      </c>
      <c r="G84" s="45" t="str">
        <f t="shared" ca="1" si="19"/>
        <v>000 ounce</v>
      </c>
      <c r="H84" s="45">
        <f t="shared" si="19"/>
        <v>0</v>
      </c>
      <c r="I84" s="45">
        <f t="shared" ca="1" si="19"/>
        <v>2000</v>
      </c>
      <c r="J84" s="45">
        <f t="shared" si="19"/>
        <v>0</v>
      </c>
      <c r="K84" s="45">
        <f t="shared" ca="1" si="19"/>
        <v>0</v>
      </c>
      <c r="L84" s="45">
        <f t="shared" ca="1" si="19"/>
        <v>0</v>
      </c>
      <c r="M84" s="45">
        <f t="shared" ca="1" si="19"/>
        <v>0</v>
      </c>
      <c r="N84" s="45">
        <f t="shared" ca="1" si="19"/>
        <v>0</v>
      </c>
      <c r="O84" s="45">
        <f t="shared" ca="1" si="19"/>
        <v>10</v>
      </c>
      <c r="P84" s="45">
        <f t="shared" ca="1" si="19"/>
        <v>75</v>
      </c>
      <c r="Q84" s="313">
        <f t="shared" ca="1" si="19"/>
        <v>150</v>
      </c>
      <c r="R84" s="45">
        <f t="shared" ca="1" si="19"/>
        <v>150</v>
      </c>
      <c r="S84" s="45">
        <f t="shared" ca="1" si="19"/>
        <v>150</v>
      </c>
      <c r="T84" s="45">
        <f t="shared" ca="1" si="19"/>
        <v>150</v>
      </c>
      <c r="U84" s="45">
        <f t="shared" ca="1" si="19"/>
        <v>150</v>
      </c>
      <c r="V84" s="45">
        <f t="shared" ca="1" si="19"/>
        <v>150</v>
      </c>
      <c r="W84" s="45">
        <f t="shared" ca="1" si="19"/>
        <v>150</v>
      </c>
      <c r="X84" s="45">
        <f t="shared" ca="1" si="19"/>
        <v>150</v>
      </c>
      <c r="Y84" s="45">
        <f t="shared" ca="1" si="19"/>
        <v>150</v>
      </c>
      <c r="Z84" s="45">
        <f t="shared" ca="1" si="19"/>
        <v>150</v>
      </c>
      <c r="AA84" s="45">
        <f t="shared" ca="1" si="19"/>
        <v>125</v>
      </c>
      <c r="AB84" s="45">
        <f t="shared" ca="1" si="19"/>
        <v>100</v>
      </c>
      <c r="AC84" s="45">
        <f t="shared" ca="1" si="19"/>
        <v>75</v>
      </c>
      <c r="AD84" s="45">
        <f t="shared" ca="1" si="19"/>
        <v>65</v>
      </c>
      <c r="AE84" s="45">
        <f t="shared" ca="1" si="19"/>
        <v>50</v>
      </c>
      <c r="AF84" s="45">
        <f t="shared" ca="1" si="19"/>
        <v>0</v>
      </c>
      <c r="AG84" s="45">
        <f t="shared" ca="1" si="19"/>
        <v>0</v>
      </c>
      <c r="AH84" s="45">
        <f t="shared" ca="1" si="19"/>
        <v>0</v>
      </c>
      <c r="AI84" s="45">
        <f t="shared" ca="1" si="19"/>
        <v>0</v>
      </c>
      <c r="AJ84" s="45">
        <f t="shared" ca="1" si="19"/>
        <v>0</v>
      </c>
      <c r="AK84" s="45">
        <f t="shared" ca="1" si="19"/>
        <v>0</v>
      </c>
      <c r="AL84" s="45">
        <f t="shared" ca="1" si="19"/>
        <v>0</v>
      </c>
      <c r="AM84" s="45">
        <f t="shared" ca="1" si="19"/>
        <v>0</v>
      </c>
      <c r="AN84" s="45">
        <f t="shared" ca="1" si="19"/>
        <v>0</v>
      </c>
      <c r="AO84" s="45">
        <f t="shared" ca="1" si="19"/>
        <v>0</v>
      </c>
      <c r="AP84" s="45">
        <f t="shared" ca="1" si="19"/>
        <v>0</v>
      </c>
      <c r="AQ84" s="45">
        <f t="shared" ca="1" si="19"/>
        <v>0</v>
      </c>
      <c r="AR84" s="45">
        <f t="shared" ca="1" si="19"/>
        <v>0</v>
      </c>
      <c r="AS84" s="45">
        <f t="shared" ca="1" si="19"/>
        <v>0</v>
      </c>
      <c r="AT84" s="45">
        <f t="shared" ca="1" si="19"/>
        <v>0</v>
      </c>
      <c r="AU84" s="45">
        <f t="shared" ca="1" si="19"/>
        <v>0</v>
      </c>
      <c r="AV84" s="45">
        <f t="shared" ca="1" si="19"/>
        <v>0</v>
      </c>
      <c r="AW84" s="45">
        <f t="shared" ca="1" si="19"/>
        <v>0</v>
      </c>
      <c r="AX84" s="45">
        <f t="shared" ca="1" si="19"/>
        <v>0</v>
      </c>
    </row>
    <row r="85" spans="1:50" ht="15" customHeight="1">
      <c r="A85" s="73"/>
      <c r="B85" s="141"/>
      <c r="C85" s="75"/>
      <c r="D85" s="131"/>
      <c r="E85" s="45" t="str">
        <f t="shared" ref="E85:AX85" ca="1" si="20" xml:space="preserve"> E$81</f>
        <v>Gold price realized from sales</v>
      </c>
      <c r="F85" s="45">
        <f t="shared" si="20"/>
        <v>0</v>
      </c>
      <c r="G85" s="45" t="str">
        <f t="shared" ca="1" si="20"/>
        <v>US$ / ounce const</v>
      </c>
      <c r="H85" s="45">
        <f t="shared" si="20"/>
        <v>0</v>
      </c>
      <c r="I85" s="45">
        <f t="shared" ca="1" si="20"/>
        <v>60000</v>
      </c>
      <c r="J85" s="45">
        <f t="shared" si="20"/>
        <v>0</v>
      </c>
      <c r="K85" s="45">
        <f t="shared" ca="1" si="20"/>
        <v>1500</v>
      </c>
      <c r="L85" s="45">
        <f t="shared" ca="1" si="20"/>
        <v>1500</v>
      </c>
      <c r="M85" s="45">
        <f t="shared" ca="1" si="20"/>
        <v>1500</v>
      </c>
      <c r="N85" s="45">
        <f t="shared" ca="1" si="20"/>
        <v>1500</v>
      </c>
      <c r="O85" s="45">
        <f t="shared" ca="1" si="20"/>
        <v>1500</v>
      </c>
      <c r="P85" s="45">
        <f t="shared" ca="1" si="20"/>
        <v>1500</v>
      </c>
      <c r="Q85" s="313">
        <f t="shared" ca="1" si="20"/>
        <v>1500</v>
      </c>
      <c r="R85" s="45">
        <f t="shared" ca="1" si="20"/>
        <v>1500</v>
      </c>
      <c r="S85" s="45">
        <f t="shared" ca="1" si="20"/>
        <v>1500</v>
      </c>
      <c r="T85" s="45">
        <f t="shared" ca="1" si="20"/>
        <v>1500</v>
      </c>
      <c r="U85" s="45">
        <f t="shared" ca="1" si="20"/>
        <v>1500</v>
      </c>
      <c r="V85" s="45">
        <f t="shared" ca="1" si="20"/>
        <v>1500</v>
      </c>
      <c r="W85" s="45">
        <f t="shared" ca="1" si="20"/>
        <v>1500</v>
      </c>
      <c r="X85" s="45">
        <f t="shared" ca="1" si="20"/>
        <v>1500</v>
      </c>
      <c r="Y85" s="45">
        <f t="shared" ca="1" si="20"/>
        <v>1500</v>
      </c>
      <c r="Z85" s="45">
        <f t="shared" ca="1" si="20"/>
        <v>1500</v>
      </c>
      <c r="AA85" s="45">
        <f t="shared" ca="1" si="20"/>
        <v>1500</v>
      </c>
      <c r="AB85" s="45">
        <f t="shared" ca="1" si="20"/>
        <v>1500</v>
      </c>
      <c r="AC85" s="45">
        <f t="shared" ca="1" si="20"/>
        <v>1500</v>
      </c>
      <c r="AD85" s="45">
        <f t="shared" ca="1" si="20"/>
        <v>1500</v>
      </c>
      <c r="AE85" s="45">
        <f t="shared" ca="1" si="20"/>
        <v>1500</v>
      </c>
      <c r="AF85" s="45">
        <f t="shared" ca="1" si="20"/>
        <v>1500</v>
      </c>
      <c r="AG85" s="45">
        <f t="shared" ca="1" si="20"/>
        <v>1500</v>
      </c>
      <c r="AH85" s="45">
        <f t="shared" ca="1" si="20"/>
        <v>1500</v>
      </c>
      <c r="AI85" s="45">
        <f t="shared" ca="1" si="20"/>
        <v>1500</v>
      </c>
      <c r="AJ85" s="45">
        <f t="shared" ca="1" si="20"/>
        <v>1500</v>
      </c>
      <c r="AK85" s="45">
        <f t="shared" ca="1" si="20"/>
        <v>1500</v>
      </c>
      <c r="AL85" s="45">
        <f t="shared" ca="1" si="20"/>
        <v>1500</v>
      </c>
      <c r="AM85" s="45">
        <f t="shared" ca="1" si="20"/>
        <v>1500</v>
      </c>
      <c r="AN85" s="45">
        <f t="shared" ca="1" si="20"/>
        <v>1500</v>
      </c>
      <c r="AO85" s="45">
        <f t="shared" ca="1" si="20"/>
        <v>1500</v>
      </c>
      <c r="AP85" s="45">
        <f t="shared" ca="1" si="20"/>
        <v>1500</v>
      </c>
      <c r="AQ85" s="45">
        <f t="shared" ca="1" si="20"/>
        <v>1500</v>
      </c>
      <c r="AR85" s="45">
        <f t="shared" ca="1" si="20"/>
        <v>1500</v>
      </c>
      <c r="AS85" s="45">
        <f t="shared" ca="1" si="20"/>
        <v>1500</v>
      </c>
      <c r="AT85" s="45">
        <f t="shared" ca="1" si="20"/>
        <v>1500</v>
      </c>
      <c r="AU85" s="45">
        <f t="shared" ca="1" si="20"/>
        <v>1500</v>
      </c>
      <c r="AV85" s="45">
        <f t="shared" ca="1" si="20"/>
        <v>1500</v>
      </c>
      <c r="AW85" s="45">
        <f t="shared" ca="1" si="20"/>
        <v>1500</v>
      </c>
      <c r="AX85" s="45">
        <f t="shared" ca="1" si="20"/>
        <v>1500</v>
      </c>
    </row>
    <row r="86" spans="1:50" ht="15" customHeight="1">
      <c r="A86" s="73"/>
      <c r="B86" s="141"/>
      <c r="C86" s="75"/>
      <c r="D86" s="131"/>
      <c r="E86" s="107" t="str">
        <f xml:space="preserve"> Inputs!E$76</f>
        <v>one thousand</v>
      </c>
      <c r="F86" s="107">
        <f xml:space="preserve"> Inputs!F$76</f>
        <v>1000</v>
      </c>
      <c r="G86" s="107" t="str">
        <f xml:space="preserve"> Inputs!G$76</f>
        <v>Constant</v>
      </c>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row>
    <row r="87" spans="1:50" ht="15" customHeight="1">
      <c r="A87" s="73"/>
      <c r="B87" s="141"/>
      <c r="C87" s="75"/>
      <c r="D87" s="131" t="str">
        <f>Translate!$E$605</f>
        <v>add</v>
      </c>
      <c r="E87" s="45" t="str">
        <f>Translate!$E$441 &amp; ": " &amp; Translate!E$555</f>
        <v>Sales revenues: gross</v>
      </c>
      <c r="F87" s="46"/>
      <c r="G87" s="311" t="str">
        <f xml:space="preserve"> Inputs!F$53</f>
        <v>US$ mn 2021</v>
      </c>
      <c r="H87" s="46"/>
      <c r="I87" s="46">
        <f ca="1" xml:space="preserve"> SUM(K87:AX87)</f>
        <v>3000</v>
      </c>
      <c r="J87" s="46"/>
      <c r="K87" s="46">
        <f t="shared" ref="K87:AX87" ca="1" si="21" xml:space="preserve"> K84 * K85 / $F86</f>
        <v>0</v>
      </c>
      <c r="L87" s="46">
        <f t="shared" ca="1" si="21"/>
        <v>0</v>
      </c>
      <c r="M87" s="46">
        <f t="shared" ca="1" si="21"/>
        <v>0</v>
      </c>
      <c r="N87" s="46">
        <f t="shared" ca="1" si="21"/>
        <v>0</v>
      </c>
      <c r="O87" s="46">
        <f t="shared" ca="1" si="21"/>
        <v>15</v>
      </c>
      <c r="P87" s="46">
        <f t="shared" ca="1" si="21"/>
        <v>112.5</v>
      </c>
      <c r="Q87" s="46">
        <f t="shared" ca="1" si="21"/>
        <v>225</v>
      </c>
      <c r="R87" s="46">
        <f t="shared" ca="1" si="21"/>
        <v>225</v>
      </c>
      <c r="S87" s="46">
        <f t="shared" ca="1" si="21"/>
        <v>225</v>
      </c>
      <c r="T87" s="46">
        <f t="shared" ca="1" si="21"/>
        <v>225</v>
      </c>
      <c r="U87" s="46">
        <f t="shared" ca="1" si="21"/>
        <v>225</v>
      </c>
      <c r="V87" s="46">
        <f t="shared" ca="1" si="21"/>
        <v>225</v>
      </c>
      <c r="W87" s="46">
        <f t="shared" ca="1" si="21"/>
        <v>225</v>
      </c>
      <c r="X87" s="46">
        <f t="shared" ca="1" si="21"/>
        <v>225</v>
      </c>
      <c r="Y87" s="46">
        <f t="shared" ca="1" si="21"/>
        <v>225</v>
      </c>
      <c r="Z87" s="46">
        <f t="shared" ca="1" si="21"/>
        <v>225</v>
      </c>
      <c r="AA87" s="46">
        <f t="shared" ca="1" si="21"/>
        <v>187.5</v>
      </c>
      <c r="AB87" s="46">
        <f t="shared" ca="1" si="21"/>
        <v>150</v>
      </c>
      <c r="AC87" s="46">
        <f t="shared" ca="1" si="21"/>
        <v>112.5</v>
      </c>
      <c r="AD87" s="46">
        <f t="shared" ca="1" si="21"/>
        <v>97.5</v>
      </c>
      <c r="AE87" s="46">
        <f t="shared" ca="1" si="21"/>
        <v>75</v>
      </c>
      <c r="AF87" s="46">
        <f t="shared" ca="1" si="21"/>
        <v>0</v>
      </c>
      <c r="AG87" s="46">
        <f t="shared" ca="1" si="21"/>
        <v>0</v>
      </c>
      <c r="AH87" s="46">
        <f t="shared" ca="1" si="21"/>
        <v>0</v>
      </c>
      <c r="AI87" s="46">
        <f t="shared" ca="1" si="21"/>
        <v>0</v>
      </c>
      <c r="AJ87" s="46">
        <f t="shared" ca="1" si="21"/>
        <v>0</v>
      </c>
      <c r="AK87" s="46">
        <f t="shared" ca="1" si="21"/>
        <v>0</v>
      </c>
      <c r="AL87" s="46">
        <f t="shared" ca="1" si="21"/>
        <v>0</v>
      </c>
      <c r="AM87" s="46">
        <f t="shared" ca="1" si="21"/>
        <v>0</v>
      </c>
      <c r="AN87" s="46">
        <f t="shared" ca="1" si="21"/>
        <v>0</v>
      </c>
      <c r="AO87" s="46">
        <f t="shared" ca="1" si="21"/>
        <v>0</v>
      </c>
      <c r="AP87" s="46">
        <f t="shared" ca="1" si="21"/>
        <v>0</v>
      </c>
      <c r="AQ87" s="46">
        <f t="shared" ca="1" si="21"/>
        <v>0</v>
      </c>
      <c r="AR87" s="46">
        <f t="shared" ca="1" si="21"/>
        <v>0</v>
      </c>
      <c r="AS87" s="46">
        <f t="shared" ca="1" si="21"/>
        <v>0</v>
      </c>
      <c r="AT87" s="46">
        <f t="shared" ca="1" si="21"/>
        <v>0</v>
      </c>
      <c r="AU87" s="46">
        <f t="shared" ca="1" si="21"/>
        <v>0</v>
      </c>
      <c r="AV87" s="46">
        <f t="shared" ca="1" si="21"/>
        <v>0</v>
      </c>
      <c r="AW87" s="46">
        <f t="shared" ca="1" si="21"/>
        <v>0</v>
      </c>
      <c r="AX87" s="46">
        <f t="shared" ca="1" si="21"/>
        <v>0</v>
      </c>
    </row>
    <row r="88" spans="1:50" ht="15" customHeight="1">
      <c r="A88" s="73"/>
      <c r="B88" s="141"/>
      <c r="C88" s="75"/>
      <c r="D88" s="131" t="str">
        <f>Translate!$E$606</f>
        <v>less</v>
      </c>
      <c r="E88" s="45" t="str">
        <f t="shared" ref="E88:AX88" si="22" xml:space="preserve"> E$65</f>
        <v>Transport costs post-fiscal point</v>
      </c>
      <c r="F88" s="45">
        <f t="shared" si="22"/>
        <v>0</v>
      </c>
      <c r="G88" s="45" t="str">
        <f t="shared" si="22"/>
        <v>US$ mn 2021</v>
      </c>
      <c r="H88" s="45">
        <f t="shared" si="22"/>
        <v>0</v>
      </c>
      <c r="I88" s="45">
        <f t="shared" ca="1" si="22"/>
        <v>50</v>
      </c>
      <c r="J88" s="45">
        <f t="shared" si="22"/>
        <v>0</v>
      </c>
      <c r="K88" s="45">
        <f t="shared" ca="1" si="22"/>
        <v>0</v>
      </c>
      <c r="L88" s="45">
        <f t="shared" ca="1" si="22"/>
        <v>0</v>
      </c>
      <c r="M88" s="45">
        <f t="shared" ca="1" si="22"/>
        <v>0</v>
      </c>
      <c r="N88" s="45">
        <f t="shared" ca="1" si="22"/>
        <v>0</v>
      </c>
      <c r="O88" s="45">
        <f t="shared" ca="1" si="22"/>
        <v>0.25</v>
      </c>
      <c r="P88" s="45">
        <f t="shared" ca="1" si="22"/>
        <v>1.875</v>
      </c>
      <c r="Q88" s="45">
        <f t="shared" ca="1" si="22"/>
        <v>3.75</v>
      </c>
      <c r="R88" s="45">
        <f t="shared" ca="1" si="22"/>
        <v>3.75</v>
      </c>
      <c r="S88" s="45">
        <f t="shared" ca="1" si="22"/>
        <v>3.75</v>
      </c>
      <c r="T88" s="45">
        <f t="shared" ca="1" si="22"/>
        <v>3.75</v>
      </c>
      <c r="U88" s="45">
        <f t="shared" ca="1" si="22"/>
        <v>3.75</v>
      </c>
      <c r="V88" s="45">
        <f t="shared" ca="1" si="22"/>
        <v>3.75</v>
      </c>
      <c r="W88" s="45">
        <f t="shared" ca="1" si="22"/>
        <v>3.75</v>
      </c>
      <c r="X88" s="45">
        <f t="shared" ca="1" si="22"/>
        <v>3.75</v>
      </c>
      <c r="Y88" s="45">
        <f t="shared" ca="1" si="22"/>
        <v>3.75</v>
      </c>
      <c r="Z88" s="45">
        <f t="shared" ca="1" si="22"/>
        <v>3.75</v>
      </c>
      <c r="AA88" s="45">
        <f t="shared" ca="1" si="22"/>
        <v>3.125</v>
      </c>
      <c r="AB88" s="45">
        <f t="shared" ca="1" si="22"/>
        <v>2.5</v>
      </c>
      <c r="AC88" s="45">
        <f t="shared" ca="1" si="22"/>
        <v>1.875</v>
      </c>
      <c r="AD88" s="45">
        <f t="shared" ca="1" si="22"/>
        <v>1.625</v>
      </c>
      <c r="AE88" s="45">
        <f t="shared" ca="1" si="22"/>
        <v>1.25</v>
      </c>
      <c r="AF88" s="45">
        <f t="shared" ca="1" si="22"/>
        <v>0</v>
      </c>
      <c r="AG88" s="45">
        <f t="shared" ca="1" si="22"/>
        <v>0</v>
      </c>
      <c r="AH88" s="45">
        <f t="shared" ca="1" si="22"/>
        <v>0</v>
      </c>
      <c r="AI88" s="45">
        <f t="shared" ca="1" si="22"/>
        <v>0</v>
      </c>
      <c r="AJ88" s="45">
        <f t="shared" ca="1" si="22"/>
        <v>0</v>
      </c>
      <c r="AK88" s="45">
        <f t="shared" ca="1" si="22"/>
        <v>0</v>
      </c>
      <c r="AL88" s="45">
        <f t="shared" ca="1" si="22"/>
        <v>0</v>
      </c>
      <c r="AM88" s="45">
        <f t="shared" ca="1" si="22"/>
        <v>0</v>
      </c>
      <c r="AN88" s="45">
        <f t="shared" ca="1" si="22"/>
        <v>0</v>
      </c>
      <c r="AO88" s="45">
        <f t="shared" ca="1" si="22"/>
        <v>0</v>
      </c>
      <c r="AP88" s="45">
        <f t="shared" ca="1" si="22"/>
        <v>0</v>
      </c>
      <c r="AQ88" s="45">
        <f t="shared" ca="1" si="22"/>
        <v>0</v>
      </c>
      <c r="AR88" s="45">
        <f t="shared" ca="1" si="22"/>
        <v>0</v>
      </c>
      <c r="AS88" s="45">
        <f t="shared" ca="1" si="22"/>
        <v>0</v>
      </c>
      <c r="AT88" s="45">
        <f t="shared" ca="1" si="22"/>
        <v>0</v>
      </c>
      <c r="AU88" s="45">
        <f t="shared" ca="1" si="22"/>
        <v>0</v>
      </c>
      <c r="AV88" s="45">
        <f t="shared" ca="1" si="22"/>
        <v>0</v>
      </c>
      <c r="AW88" s="45">
        <f t="shared" ca="1" si="22"/>
        <v>0</v>
      </c>
      <c r="AX88" s="45">
        <f t="shared" ca="1" si="22"/>
        <v>0</v>
      </c>
    </row>
    <row r="89" spans="1:50" s="795" customFormat="1" ht="15" customHeight="1">
      <c r="A89" s="790"/>
      <c r="B89" s="791"/>
      <c r="C89" s="792"/>
      <c r="D89" s="793"/>
      <c r="E89" s="794" t="str">
        <f>Translate!$E$441 &amp; ": " &amp; Translate!E$556</f>
        <v>Sales revenues: net</v>
      </c>
      <c r="F89" s="790"/>
      <c r="G89" s="790" t="str">
        <f xml:space="preserve"> G$65</f>
        <v>US$ mn 2021</v>
      </c>
      <c r="H89" s="790"/>
      <c r="I89" s="790">
        <f ca="1" xml:space="preserve"> SUM(K89:AX89)</f>
        <v>2950</v>
      </c>
      <c r="J89" s="790"/>
      <c r="K89" s="790">
        <f t="shared" ref="K89:AX89" ca="1" si="23" xml:space="preserve"> K87 - K88</f>
        <v>0</v>
      </c>
      <c r="L89" s="790">
        <f t="shared" ca="1" si="23"/>
        <v>0</v>
      </c>
      <c r="M89" s="790">
        <f t="shared" ca="1" si="23"/>
        <v>0</v>
      </c>
      <c r="N89" s="790">
        <f t="shared" ca="1" si="23"/>
        <v>0</v>
      </c>
      <c r="O89" s="790">
        <f t="shared" ca="1" si="23"/>
        <v>14.75</v>
      </c>
      <c r="P89" s="790">
        <f t="shared" ca="1" si="23"/>
        <v>110.625</v>
      </c>
      <c r="Q89" s="790">
        <f t="shared" ca="1" si="23"/>
        <v>221.25</v>
      </c>
      <c r="R89" s="790">
        <f t="shared" ca="1" si="23"/>
        <v>221.25</v>
      </c>
      <c r="S89" s="790">
        <f t="shared" ca="1" si="23"/>
        <v>221.25</v>
      </c>
      <c r="T89" s="790">
        <f t="shared" ca="1" si="23"/>
        <v>221.25</v>
      </c>
      <c r="U89" s="790">
        <f t="shared" ca="1" si="23"/>
        <v>221.25</v>
      </c>
      <c r="V89" s="790">
        <f t="shared" ca="1" si="23"/>
        <v>221.25</v>
      </c>
      <c r="W89" s="790">
        <f t="shared" ca="1" si="23"/>
        <v>221.25</v>
      </c>
      <c r="X89" s="790">
        <f t="shared" ca="1" si="23"/>
        <v>221.25</v>
      </c>
      <c r="Y89" s="790">
        <f t="shared" ca="1" si="23"/>
        <v>221.25</v>
      </c>
      <c r="Z89" s="790">
        <f t="shared" ca="1" si="23"/>
        <v>221.25</v>
      </c>
      <c r="AA89" s="790">
        <f t="shared" ca="1" si="23"/>
        <v>184.375</v>
      </c>
      <c r="AB89" s="790">
        <f t="shared" ca="1" si="23"/>
        <v>147.5</v>
      </c>
      <c r="AC89" s="790">
        <f t="shared" ca="1" si="23"/>
        <v>110.625</v>
      </c>
      <c r="AD89" s="790">
        <f t="shared" ca="1" si="23"/>
        <v>95.875</v>
      </c>
      <c r="AE89" s="790">
        <f t="shared" ca="1" si="23"/>
        <v>73.75</v>
      </c>
      <c r="AF89" s="790">
        <f t="shared" ca="1" si="23"/>
        <v>0</v>
      </c>
      <c r="AG89" s="790">
        <f t="shared" ca="1" si="23"/>
        <v>0</v>
      </c>
      <c r="AH89" s="790">
        <f t="shared" ca="1" si="23"/>
        <v>0</v>
      </c>
      <c r="AI89" s="790">
        <f t="shared" ca="1" si="23"/>
        <v>0</v>
      </c>
      <c r="AJ89" s="790">
        <f t="shared" ca="1" si="23"/>
        <v>0</v>
      </c>
      <c r="AK89" s="790">
        <f t="shared" ca="1" si="23"/>
        <v>0</v>
      </c>
      <c r="AL89" s="790">
        <f t="shared" ca="1" si="23"/>
        <v>0</v>
      </c>
      <c r="AM89" s="790">
        <f t="shared" ca="1" si="23"/>
        <v>0</v>
      </c>
      <c r="AN89" s="790">
        <f t="shared" ca="1" si="23"/>
        <v>0</v>
      </c>
      <c r="AO89" s="790">
        <f t="shared" ca="1" si="23"/>
        <v>0</v>
      </c>
      <c r="AP89" s="790">
        <f t="shared" ca="1" si="23"/>
        <v>0</v>
      </c>
      <c r="AQ89" s="790">
        <f t="shared" ca="1" si="23"/>
        <v>0</v>
      </c>
      <c r="AR89" s="790">
        <f t="shared" ca="1" si="23"/>
        <v>0</v>
      </c>
      <c r="AS89" s="790">
        <f t="shared" ca="1" si="23"/>
        <v>0</v>
      </c>
      <c r="AT89" s="790">
        <f t="shared" ca="1" si="23"/>
        <v>0</v>
      </c>
      <c r="AU89" s="790">
        <f t="shared" ca="1" si="23"/>
        <v>0</v>
      </c>
      <c r="AV89" s="790">
        <f t="shared" ca="1" si="23"/>
        <v>0</v>
      </c>
      <c r="AW89" s="790">
        <f t="shared" ca="1" si="23"/>
        <v>0</v>
      </c>
      <c r="AX89" s="790">
        <f t="shared" ca="1" si="23"/>
        <v>0</v>
      </c>
    </row>
    <row r="90" spans="1:50" s="121" customFormat="1" ht="15" customHeight="1">
      <c r="A90" s="72"/>
      <c r="B90" s="178"/>
      <c r="C90" s="71"/>
      <c r="D90" s="179"/>
      <c r="E90" s="157"/>
      <c r="F90" s="60"/>
      <c r="G90" s="60"/>
      <c r="H90" s="60"/>
      <c r="I90" s="60"/>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row>
    <row r="91" spans="1:50" s="121" customFormat="1" ht="15" customHeight="1">
      <c r="A91" s="72"/>
      <c r="B91" s="783" t="str">
        <f>Translate!$E$379</f>
        <v>Project costs</v>
      </c>
      <c r="C91" s="71"/>
      <c r="D91" s="179"/>
      <c r="E91" s="157"/>
      <c r="F91" s="60"/>
      <c r="G91" s="12"/>
      <c r="H91" s="12"/>
      <c r="I91" s="72"/>
      <c r="J91" s="63"/>
      <c r="K91" s="72"/>
      <c r="L91" s="72"/>
      <c r="M91" s="72"/>
      <c r="N91" s="72"/>
      <c r="O91" s="72"/>
      <c r="P91" s="72"/>
      <c r="Q91" s="72"/>
      <c r="R91" s="72"/>
      <c r="S91" s="72"/>
      <c r="T91" s="72"/>
      <c r="U91" s="72"/>
      <c r="V91" s="72"/>
      <c r="W91" s="72"/>
      <c r="X91" s="72"/>
      <c r="Y91" s="72"/>
      <c r="Z91" s="72"/>
      <c r="AA91" s="72"/>
      <c r="AB91" s="72"/>
      <c r="AC91" s="72"/>
      <c r="AD91" s="72"/>
      <c r="AE91" s="72"/>
      <c r="AF91" s="72"/>
      <c r="AG91" s="72"/>
      <c r="AH91" s="72"/>
      <c r="AI91" s="72"/>
      <c r="AJ91" s="72"/>
      <c r="AK91" s="72"/>
      <c r="AL91" s="72"/>
      <c r="AM91" s="72"/>
      <c r="AN91" s="72"/>
      <c r="AO91" s="72"/>
      <c r="AP91" s="72"/>
      <c r="AQ91" s="72"/>
      <c r="AR91" s="72"/>
      <c r="AS91" s="72"/>
      <c r="AT91" s="72"/>
      <c r="AU91" s="72"/>
      <c r="AV91" s="72"/>
      <c r="AW91" s="72"/>
      <c r="AX91" s="72"/>
    </row>
    <row r="92" spans="1:50" s="121" customFormat="1" ht="15" customHeight="1">
      <c r="A92" s="72"/>
      <c r="B92" s="178"/>
      <c r="C92" s="71"/>
      <c r="D92" s="179"/>
      <c r="E92" s="157" t="str">
        <f t="shared" ref="E92:AX92" si="24" xml:space="preserve"> E$66</f>
        <v>Exploration costs</v>
      </c>
      <c r="F92" s="157">
        <f t="shared" si="24"/>
        <v>0</v>
      </c>
      <c r="G92" s="157" t="str">
        <f t="shared" si="24"/>
        <v>US$ mn 2021</v>
      </c>
      <c r="H92" s="157">
        <f t="shared" si="24"/>
        <v>0</v>
      </c>
      <c r="I92" s="157">
        <f t="shared" ca="1" si="24"/>
        <v>30</v>
      </c>
      <c r="J92" s="157">
        <f t="shared" si="24"/>
        <v>0</v>
      </c>
      <c r="K92" s="157">
        <f t="shared" ca="1" si="24"/>
        <v>10</v>
      </c>
      <c r="L92" s="157">
        <f t="shared" ca="1" si="24"/>
        <v>10</v>
      </c>
      <c r="M92" s="157">
        <f t="shared" ca="1" si="24"/>
        <v>10</v>
      </c>
      <c r="N92" s="157">
        <f t="shared" ca="1" si="24"/>
        <v>0</v>
      </c>
      <c r="O92" s="157">
        <f t="shared" ca="1" si="24"/>
        <v>0</v>
      </c>
      <c r="P92" s="157">
        <f t="shared" ca="1" si="24"/>
        <v>0</v>
      </c>
      <c r="Q92" s="157">
        <f t="shared" ca="1" si="24"/>
        <v>0</v>
      </c>
      <c r="R92" s="157">
        <f t="shared" ca="1" si="24"/>
        <v>0</v>
      </c>
      <c r="S92" s="157">
        <f t="shared" ca="1" si="24"/>
        <v>0</v>
      </c>
      <c r="T92" s="157">
        <f t="shared" ca="1" si="24"/>
        <v>0</v>
      </c>
      <c r="U92" s="157">
        <f t="shared" ca="1" si="24"/>
        <v>0</v>
      </c>
      <c r="V92" s="157">
        <f t="shared" ca="1" si="24"/>
        <v>0</v>
      </c>
      <c r="W92" s="157">
        <f t="shared" ca="1" si="24"/>
        <v>0</v>
      </c>
      <c r="X92" s="157">
        <f t="shared" ca="1" si="24"/>
        <v>0</v>
      </c>
      <c r="Y92" s="157">
        <f t="shared" ca="1" si="24"/>
        <v>0</v>
      </c>
      <c r="Z92" s="157">
        <f t="shared" ca="1" si="24"/>
        <v>0</v>
      </c>
      <c r="AA92" s="157">
        <f t="shared" ca="1" si="24"/>
        <v>0</v>
      </c>
      <c r="AB92" s="157">
        <f t="shared" ca="1" si="24"/>
        <v>0</v>
      </c>
      <c r="AC92" s="157">
        <f t="shared" ca="1" si="24"/>
        <v>0</v>
      </c>
      <c r="AD92" s="157">
        <f t="shared" ca="1" si="24"/>
        <v>0</v>
      </c>
      <c r="AE92" s="157">
        <f t="shared" ca="1" si="24"/>
        <v>0</v>
      </c>
      <c r="AF92" s="157">
        <f t="shared" ca="1" si="24"/>
        <v>0</v>
      </c>
      <c r="AG92" s="157">
        <f t="shared" ca="1" si="24"/>
        <v>0</v>
      </c>
      <c r="AH92" s="157">
        <f t="shared" ca="1" si="24"/>
        <v>0</v>
      </c>
      <c r="AI92" s="157">
        <f t="shared" ca="1" si="24"/>
        <v>0</v>
      </c>
      <c r="AJ92" s="157">
        <f t="shared" ca="1" si="24"/>
        <v>0</v>
      </c>
      <c r="AK92" s="157">
        <f t="shared" ca="1" si="24"/>
        <v>0</v>
      </c>
      <c r="AL92" s="157">
        <f t="shared" ca="1" si="24"/>
        <v>0</v>
      </c>
      <c r="AM92" s="157">
        <f t="shared" ca="1" si="24"/>
        <v>0</v>
      </c>
      <c r="AN92" s="157">
        <f t="shared" ca="1" si="24"/>
        <v>0</v>
      </c>
      <c r="AO92" s="157">
        <f t="shared" ca="1" si="24"/>
        <v>0</v>
      </c>
      <c r="AP92" s="157">
        <f t="shared" ca="1" si="24"/>
        <v>0</v>
      </c>
      <c r="AQ92" s="157">
        <f t="shared" ca="1" si="24"/>
        <v>0</v>
      </c>
      <c r="AR92" s="157">
        <f t="shared" ca="1" si="24"/>
        <v>0</v>
      </c>
      <c r="AS92" s="157">
        <f t="shared" ca="1" si="24"/>
        <v>0</v>
      </c>
      <c r="AT92" s="157">
        <f t="shared" ca="1" si="24"/>
        <v>0</v>
      </c>
      <c r="AU92" s="157">
        <f t="shared" ca="1" si="24"/>
        <v>0</v>
      </c>
      <c r="AV92" s="157">
        <f t="shared" ca="1" si="24"/>
        <v>0</v>
      </c>
      <c r="AW92" s="157">
        <f t="shared" ca="1" si="24"/>
        <v>0</v>
      </c>
      <c r="AX92" s="157">
        <f t="shared" ca="1" si="24"/>
        <v>0</v>
      </c>
    </row>
    <row r="93" spans="1:50" s="121" customFormat="1" ht="15" customHeight="1">
      <c r="A93" s="72"/>
      <c r="B93" s="178"/>
      <c r="C93" s="71"/>
      <c r="D93" s="179"/>
      <c r="E93" s="157" t="str">
        <f t="shared" ref="E93:AX93" si="25" xml:space="preserve"> E$67</f>
        <v>Development costs</v>
      </c>
      <c r="F93" s="157">
        <f t="shared" si="25"/>
        <v>0</v>
      </c>
      <c r="G93" s="157" t="str">
        <f t="shared" si="25"/>
        <v>US$ mn 2021</v>
      </c>
      <c r="H93" s="157">
        <f t="shared" si="25"/>
        <v>0</v>
      </c>
      <c r="I93" s="157">
        <f t="shared" ca="1" si="25"/>
        <v>400</v>
      </c>
      <c r="J93" s="157">
        <f t="shared" si="25"/>
        <v>0</v>
      </c>
      <c r="K93" s="157">
        <f t="shared" ca="1" si="25"/>
        <v>0</v>
      </c>
      <c r="L93" s="157">
        <f t="shared" ca="1" si="25"/>
        <v>0</v>
      </c>
      <c r="M93" s="157">
        <f t="shared" ca="1" si="25"/>
        <v>0</v>
      </c>
      <c r="N93" s="157">
        <f t="shared" ca="1" si="25"/>
        <v>50</v>
      </c>
      <c r="O93" s="157">
        <f t="shared" ca="1" si="25"/>
        <v>250</v>
      </c>
      <c r="P93" s="157">
        <f t="shared" ca="1" si="25"/>
        <v>100</v>
      </c>
      <c r="Q93" s="157">
        <f t="shared" ca="1" si="25"/>
        <v>0</v>
      </c>
      <c r="R93" s="157">
        <f t="shared" ca="1" si="25"/>
        <v>0</v>
      </c>
      <c r="S93" s="157">
        <f t="shared" ca="1" si="25"/>
        <v>0</v>
      </c>
      <c r="T93" s="157">
        <f t="shared" ca="1" si="25"/>
        <v>0</v>
      </c>
      <c r="U93" s="157">
        <f t="shared" ca="1" si="25"/>
        <v>0</v>
      </c>
      <c r="V93" s="157">
        <f t="shared" ca="1" si="25"/>
        <v>0</v>
      </c>
      <c r="W93" s="157">
        <f t="shared" ca="1" si="25"/>
        <v>0</v>
      </c>
      <c r="X93" s="157">
        <f t="shared" ca="1" si="25"/>
        <v>0</v>
      </c>
      <c r="Y93" s="157">
        <f t="shared" ca="1" si="25"/>
        <v>0</v>
      </c>
      <c r="Z93" s="157">
        <f t="shared" ca="1" si="25"/>
        <v>0</v>
      </c>
      <c r="AA93" s="157">
        <f t="shared" ca="1" si="25"/>
        <v>0</v>
      </c>
      <c r="AB93" s="157">
        <f t="shared" ca="1" si="25"/>
        <v>0</v>
      </c>
      <c r="AC93" s="157">
        <f t="shared" ca="1" si="25"/>
        <v>0</v>
      </c>
      <c r="AD93" s="157">
        <f t="shared" ca="1" si="25"/>
        <v>0</v>
      </c>
      <c r="AE93" s="157">
        <f t="shared" ca="1" si="25"/>
        <v>0</v>
      </c>
      <c r="AF93" s="157">
        <f t="shared" ca="1" si="25"/>
        <v>0</v>
      </c>
      <c r="AG93" s="157">
        <f t="shared" ca="1" si="25"/>
        <v>0</v>
      </c>
      <c r="AH93" s="157">
        <f t="shared" ca="1" si="25"/>
        <v>0</v>
      </c>
      <c r="AI93" s="157">
        <f t="shared" ca="1" si="25"/>
        <v>0</v>
      </c>
      <c r="AJ93" s="157">
        <f t="shared" ca="1" si="25"/>
        <v>0</v>
      </c>
      <c r="AK93" s="157">
        <f t="shared" ca="1" si="25"/>
        <v>0</v>
      </c>
      <c r="AL93" s="157">
        <f t="shared" ca="1" si="25"/>
        <v>0</v>
      </c>
      <c r="AM93" s="157">
        <f t="shared" ca="1" si="25"/>
        <v>0</v>
      </c>
      <c r="AN93" s="157">
        <f t="shared" ca="1" si="25"/>
        <v>0</v>
      </c>
      <c r="AO93" s="157">
        <f t="shared" ca="1" si="25"/>
        <v>0</v>
      </c>
      <c r="AP93" s="157">
        <f t="shared" ca="1" si="25"/>
        <v>0</v>
      </c>
      <c r="AQ93" s="157">
        <f t="shared" ca="1" si="25"/>
        <v>0</v>
      </c>
      <c r="AR93" s="157">
        <f t="shared" ca="1" si="25"/>
        <v>0</v>
      </c>
      <c r="AS93" s="157">
        <f t="shared" ca="1" si="25"/>
        <v>0</v>
      </c>
      <c r="AT93" s="157">
        <f t="shared" ca="1" si="25"/>
        <v>0</v>
      </c>
      <c r="AU93" s="157">
        <f t="shared" ca="1" si="25"/>
        <v>0</v>
      </c>
      <c r="AV93" s="157">
        <f t="shared" ca="1" si="25"/>
        <v>0</v>
      </c>
      <c r="AW93" s="157">
        <f t="shared" ca="1" si="25"/>
        <v>0</v>
      </c>
      <c r="AX93" s="157">
        <f t="shared" ca="1" si="25"/>
        <v>0</v>
      </c>
    </row>
    <row r="94" spans="1:50" s="121" customFormat="1" ht="15" customHeight="1">
      <c r="A94" s="72"/>
      <c r="B94" s="178"/>
      <c r="C94" s="71"/>
      <c r="D94" s="179"/>
      <c r="E94" s="157" t="str">
        <f t="shared" ref="E94:AX94" si="26" xml:space="preserve"> E$68</f>
        <v>Replacement capital costs</v>
      </c>
      <c r="F94" s="157">
        <f t="shared" si="26"/>
        <v>0</v>
      </c>
      <c r="G94" s="157" t="str">
        <f t="shared" si="26"/>
        <v>US$ mn 2021</v>
      </c>
      <c r="H94" s="157">
        <f t="shared" si="26"/>
        <v>0</v>
      </c>
      <c r="I94" s="157">
        <f t="shared" ca="1" si="26"/>
        <v>96</v>
      </c>
      <c r="J94" s="157">
        <f t="shared" si="26"/>
        <v>0</v>
      </c>
      <c r="K94" s="157">
        <f t="shared" ca="1" si="26"/>
        <v>0</v>
      </c>
      <c r="L94" s="157">
        <f t="shared" ca="1" si="26"/>
        <v>0</v>
      </c>
      <c r="M94" s="157">
        <f t="shared" ca="1" si="26"/>
        <v>0</v>
      </c>
      <c r="N94" s="157">
        <f t="shared" ca="1" si="26"/>
        <v>0</v>
      </c>
      <c r="O94" s="157">
        <f t="shared" ca="1" si="26"/>
        <v>0</v>
      </c>
      <c r="P94" s="157">
        <f t="shared" ca="1" si="26"/>
        <v>8</v>
      </c>
      <c r="Q94" s="157">
        <f t="shared" ca="1" si="26"/>
        <v>8</v>
      </c>
      <c r="R94" s="157">
        <f t="shared" ca="1" si="26"/>
        <v>8</v>
      </c>
      <c r="S94" s="157">
        <f t="shared" ca="1" si="26"/>
        <v>8</v>
      </c>
      <c r="T94" s="157">
        <f t="shared" ca="1" si="26"/>
        <v>8</v>
      </c>
      <c r="U94" s="157">
        <f t="shared" ca="1" si="26"/>
        <v>8</v>
      </c>
      <c r="V94" s="157">
        <f t="shared" ca="1" si="26"/>
        <v>8</v>
      </c>
      <c r="W94" s="157">
        <f t="shared" ca="1" si="26"/>
        <v>8</v>
      </c>
      <c r="X94" s="157">
        <f t="shared" ca="1" si="26"/>
        <v>8</v>
      </c>
      <c r="Y94" s="157">
        <f t="shared" ca="1" si="26"/>
        <v>8</v>
      </c>
      <c r="Z94" s="157">
        <f t="shared" ca="1" si="26"/>
        <v>8</v>
      </c>
      <c r="AA94" s="157">
        <f t="shared" ca="1" si="26"/>
        <v>8</v>
      </c>
      <c r="AB94" s="157">
        <f t="shared" ca="1" si="26"/>
        <v>0</v>
      </c>
      <c r="AC94" s="157">
        <f t="shared" ca="1" si="26"/>
        <v>0</v>
      </c>
      <c r="AD94" s="157">
        <f t="shared" ca="1" si="26"/>
        <v>0</v>
      </c>
      <c r="AE94" s="157">
        <f t="shared" ca="1" si="26"/>
        <v>0</v>
      </c>
      <c r="AF94" s="157">
        <f t="shared" ca="1" si="26"/>
        <v>0</v>
      </c>
      <c r="AG94" s="157">
        <f t="shared" ca="1" si="26"/>
        <v>0</v>
      </c>
      <c r="AH94" s="157">
        <f t="shared" ca="1" si="26"/>
        <v>0</v>
      </c>
      <c r="AI94" s="157">
        <f t="shared" ca="1" si="26"/>
        <v>0</v>
      </c>
      <c r="AJ94" s="157">
        <f t="shared" ca="1" si="26"/>
        <v>0</v>
      </c>
      <c r="AK94" s="157">
        <f t="shared" ca="1" si="26"/>
        <v>0</v>
      </c>
      <c r="AL94" s="157">
        <f t="shared" ca="1" si="26"/>
        <v>0</v>
      </c>
      <c r="AM94" s="157">
        <f t="shared" ca="1" si="26"/>
        <v>0</v>
      </c>
      <c r="AN94" s="157">
        <f t="shared" ca="1" si="26"/>
        <v>0</v>
      </c>
      <c r="AO94" s="157">
        <f t="shared" ca="1" si="26"/>
        <v>0</v>
      </c>
      <c r="AP94" s="157">
        <f t="shared" ca="1" si="26"/>
        <v>0</v>
      </c>
      <c r="AQ94" s="157">
        <f t="shared" ca="1" si="26"/>
        <v>0</v>
      </c>
      <c r="AR94" s="157">
        <f t="shared" ca="1" si="26"/>
        <v>0</v>
      </c>
      <c r="AS94" s="157">
        <f t="shared" ca="1" si="26"/>
        <v>0</v>
      </c>
      <c r="AT94" s="157">
        <f t="shared" ca="1" si="26"/>
        <v>0</v>
      </c>
      <c r="AU94" s="157">
        <f t="shared" ca="1" si="26"/>
        <v>0</v>
      </c>
      <c r="AV94" s="157">
        <f t="shared" ca="1" si="26"/>
        <v>0</v>
      </c>
      <c r="AW94" s="157">
        <f t="shared" ca="1" si="26"/>
        <v>0</v>
      </c>
      <c r="AX94" s="157">
        <f t="shared" ca="1" si="26"/>
        <v>0</v>
      </c>
    </row>
    <row r="95" spans="1:50" s="121" customFormat="1" ht="15" customHeight="1">
      <c r="A95" s="72"/>
      <c r="B95" s="178"/>
      <c r="C95" s="71"/>
      <c r="D95" s="179"/>
      <c r="E95" s="157" t="str">
        <f t="shared" ref="E95:AX95" si="27" xml:space="preserve"> E$69</f>
        <v>Operating costs</v>
      </c>
      <c r="F95" s="157">
        <f t="shared" si="27"/>
        <v>0</v>
      </c>
      <c r="G95" s="157" t="str">
        <f t="shared" si="27"/>
        <v>US$ mn 2021</v>
      </c>
      <c r="H95" s="157">
        <f t="shared" si="27"/>
        <v>0</v>
      </c>
      <c r="I95" s="157">
        <f t="shared" ca="1" si="27"/>
        <v>900</v>
      </c>
      <c r="J95" s="157">
        <f t="shared" si="27"/>
        <v>0</v>
      </c>
      <c r="K95" s="157">
        <f t="shared" ca="1" si="27"/>
        <v>0</v>
      </c>
      <c r="L95" s="157">
        <f t="shared" ca="1" si="27"/>
        <v>0</v>
      </c>
      <c r="M95" s="157">
        <f t="shared" ca="1" si="27"/>
        <v>0</v>
      </c>
      <c r="N95" s="157">
        <f t="shared" ca="1" si="27"/>
        <v>0</v>
      </c>
      <c r="O95" s="157">
        <f t="shared" ca="1" si="27"/>
        <v>4.5</v>
      </c>
      <c r="P95" s="157">
        <f t="shared" ca="1" si="27"/>
        <v>33.75</v>
      </c>
      <c r="Q95" s="157">
        <f t="shared" ca="1" si="27"/>
        <v>67.5</v>
      </c>
      <c r="R95" s="157">
        <f t="shared" ca="1" si="27"/>
        <v>67.5</v>
      </c>
      <c r="S95" s="157">
        <f t="shared" ca="1" si="27"/>
        <v>67.5</v>
      </c>
      <c r="T95" s="157">
        <f t="shared" ca="1" si="27"/>
        <v>67.5</v>
      </c>
      <c r="U95" s="157">
        <f t="shared" ca="1" si="27"/>
        <v>67.5</v>
      </c>
      <c r="V95" s="157">
        <f t="shared" ca="1" si="27"/>
        <v>67.5</v>
      </c>
      <c r="W95" s="157">
        <f t="shared" ca="1" si="27"/>
        <v>67.5</v>
      </c>
      <c r="X95" s="157">
        <f t="shared" ca="1" si="27"/>
        <v>67.5</v>
      </c>
      <c r="Y95" s="157">
        <f t="shared" ca="1" si="27"/>
        <v>67.5</v>
      </c>
      <c r="Z95" s="157">
        <f t="shared" ca="1" si="27"/>
        <v>67.5</v>
      </c>
      <c r="AA95" s="157">
        <f t="shared" ca="1" si="27"/>
        <v>56.25</v>
      </c>
      <c r="AB95" s="157">
        <f t="shared" ca="1" si="27"/>
        <v>45</v>
      </c>
      <c r="AC95" s="157">
        <f t="shared" ca="1" si="27"/>
        <v>33.75</v>
      </c>
      <c r="AD95" s="157">
        <f t="shared" ca="1" si="27"/>
        <v>29.25</v>
      </c>
      <c r="AE95" s="157">
        <f t="shared" ca="1" si="27"/>
        <v>22.5</v>
      </c>
      <c r="AF95" s="157">
        <f t="shared" ca="1" si="27"/>
        <v>0</v>
      </c>
      <c r="AG95" s="157">
        <f t="shared" ca="1" si="27"/>
        <v>0</v>
      </c>
      <c r="AH95" s="157">
        <f t="shared" ca="1" si="27"/>
        <v>0</v>
      </c>
      <c r="AI95" s="157">
        <f t="shared" ca="1" si="27"/>
        <v>0</v>
      </c>
      <c r="AJ95" s="157">
        <f t="shared" ca="1" si="27"/>
        <v>0</v>
      </c>
      <c r="AK95" s="157">
        <f t="shared" ca="1" si="27"/>
        <v>0</v>
      </c>
      <c r="AL95" s="157">
        <f t="shared" ca="1" si="27"/>
        <v>0</v>
      </c>
      <c r="AM95" s="157">
        <f t="shared" ca="1" si="27"/>
        <v>0</v>
      </c>
      <c r="AN95" s="157">
        <f t="shared" ca="1" si="27"/>
        <v>0</v>
      </c>
      <c r="AO95" s="157">
        <f t="shared" ca="1" si="27"/>
        <v>0</v>
      </c>
      <c r="AP95" s="157">
        <f t="shared" ca="1" si="27"/>
        <v>0</v>
      </c>
      <c r="AQ95" s="157">
        <f t="shared" ca="1" si="27"/>
        <v>0</v>
      </c>
      <c r="AR95" s="157">
        <f t="shared" ca="1" si="27"/>
        <v>0</v>
      </c>
      <c r="AS95" s="157">
        <f t="shared" ca="1" si="27"/>
        <v>0</v>
      </c>
      <c r="AT95" s="157">
        <f t="shared" ca="1" si="27"/>
        <v>0</v>
      </c>
      <c r="AU95" s="157">
        <f t="shared" ca="1" si="27"/>
        <v>0</v>
      </c>
      <c r="AV95" s="157">
        <f t="shared" ca="1" si="27"/>
        <v>0</v>
      </c>
      <c r="AW95" s="157">
        <f t="shared" ca="1" si="27"/>
        <v>0</v>
      </c>
      <c r="AX95" s="157">
        <f t="shared" ca="1" si="27"/>
        <v>0</v>
      </c>
    </row>
    <row r="96" spans="1:50" s="121" customFormat="1" ht="15" customHeight="1">
      <c r="A96" s="72"/>
      <c r="B96" s="178"/>
      <c r="C96" s="71"/>
      <c r="D96" s="179"/>
      <c r="E96" s="157" t="str">
        <f t="shared" ref="E96:AX96" si="28" xml:space="preserve"> E$70</f>
        <v>Decommissioning costs</v>
      </c>
      <c r="F96" s="157">
        <f t="shared" si="28"/>
        <v>0</v>
      </c>
      <c r="G96" s="157" t="str">
        <f t="shared" si="28"/>
        <v>US$ mn 2021</v>
      </c>
      <c r="H96" s="157">
        <f t="shared" si="28"/>
        <v>0</v>
      </c>
      <c r="I96" s="157">
        <f t="shared" ca="1" si="28"/>
        <v>20</v>
      </c>
      <c r="J96" s="157">
        <f t="shared" si="28"/>
        <v>0</v>
      </c>
      <c r="K96" s="157">
        <f t="shared" ca="1" si="28"/>
        <v>0</v>
      </c>
      <c r="L96" s="157">
        <f t="shared" ca="1" si="28"/>
        <v>0</v>
      </c>
      <c r="M96" s="157">
        <f t="shared" ca="1" si="28"/>
        <v>0</v>
      </c>
      <c r="N96" s="157">
        <f t="shared" ca="1" si="28"/>
        <v>0</v>
      </c>
      <c r="O96" s="157">
        <f t="shared" ca="1" si="28"/>
        <v>0</v>
      </c>
      <c r="P96" s="157">
        <f t="shared" ca="1" si="28"/>
        <v>0</v>
      </c>
      <c r="Q96" s="157">
        <f t="shared" ca="1" si="28"/>
        <v>0</v>
      </c>
      <c r="R96" s="157">
        <f t="shared" ca="1" si="28"/>
        <v>0</v>
      </c>
      <c r="S96" s="157">
        <f t="shared" ca="1" si="28"/>
        <v>0</v>
      </c>
      <c r="T96" s="157">
        <f t="shared" ca="1" si="28"/>
        <v>0</v>
      </c>
      <c r="U96" s="157">
        <f t="shared" ca="1" si="28"/>
        <v>0</v>
      </c>
      <c r="V96" s="157">
        <f t="shared" ca="1" si="28"/>
        <v>0</v>
      </c>
      <c r="W96" s="157">
        <f t="shared" ca="1" si="28"/>
        <v>0</v>
      </c>
      <c r="X96" s="157">
        <f t="shared" ca="1" si="28"/>
        <v>0</v>
      </c>
      <c r="Y96" s="157">
        <f t="shared" ca="1" si="28"/>
        <v>0</v>
      </c>
      <c r="Z96" s="157">
        <f t="shared" ca="1" si="28"/>
        <v>0</v>
      </c>
      <c r="AA96" s="157">
        <f t="shared" ca="1" si="28"/>
        <v>0</v>
      </c>
      <c r="AB96" s="157">
        <f t="shared" ca="1" si="28"/>
        <v>0</v>
      </c>
      <c r="AC96" s="157">
        <f t="shared" ca="1" si="28"/>
        <v>0</v>
      </c>
      <c r="AD96" s="157">
        <f t="shared" ca="1" si="28"/>
        <v>0</v>
      </c>
      <c r="AE96" s="157">
        <f t="shared" ca="1" si="28"/>
        <v>0</v>
      </c>
      <c r="AF96" s="157">
        <f t="shared" ca="1" si="28"/>
        <v>20</v>
      </c>
      <c r="AG96" s="157">
        <f t="shared" ca="1" si="28"/>
        <v>0</v>
      </c>
      <c r="AH96" s="157">
        <f t="shared" ca="1" si="28"/>
        <v>0</v>
      </c>
      <c r="AI96" s="157">
        <f t="shared" ca="1" si="28"/>
        <v>0</v>
      </c>
      <c r="AJ96" s="157">
        <f t="shared" ca="1" si="28"/>
        <v>0</v>
      </c>
      <c r="AK96" s="157">
        <f t="shared" ca="1" si="28"/>
        <v>0</v>
      </c>
      <c r="AL96" s="157">
        <f t="shared" ca="1" si="28"/>
        <v>0</v>
      </c>
      <c r="AM96" s="157">
        <f t="shared" ca="1" si="28"/>
        <v>0</v>
      </c>
      <c r="AN96" s="157">
        <f t="shared" ca="1" si="28"/>
        <v>0</v>
      </c>
      <c r="AO96" s="157">
        <f t="shared" ca="1" si="28"/>
        <v>0</v>
      </c>
      <c r="AP96" s="157">
        <f t="shared" ca="1" si="28"/>
        <v>0</v>
      </c>
      <c r="AQ96" s="157">
        <f t="shared" ca="1" si="28"/>
        <v>0</v>
      </c>
      <c r="AR96" s="157">
        <f t="shared" ca="1" si="28"/>
        <v>0</v>
      </c>
      <c r="AS96" s="157">
        <f t="shared" ca="1" si="28"/>
        <v>0</v>
      </c>
      <c r="AT96" s="157">
        <f t="shared" ca="1" si="28"/>
        <v>0</v>
      </c>
      <c r="AU96" s="157">
        <f t="shared" ca="1" si="28"/>
        <v>0</v>
      </c>
      <c r="AV96" s="157">
        <f t="shared" ca="1" si="28"/>
        <v>0</v>
      </c>
      <c r="AW96" s="157">
        <f t="shared" ca="1" si="28"/>
        <v>0</v>
      </c>
      <c r="AX96" s="157">
        <f t="shared" ca="1" si="28"/>
        <v>0</v>
      </c>
    </row>
    <row r="97" spans="1:50" s="795" customFormat="1" ht="15" customHeight="1">
      <c r="A97" s="790"/>
      <c r="B97" s="791"/>
      <c r="C97" s="792"/>
      <c r="D97" s="793"/>
      <c r="E97" s="794" t="str">
        <f>Translate!$E$379</f>
        <v>Project costs</v>
      </c>
      <c r="F97" s="790"/>
      <c r="G97" s="790" t="str">
        <f xml:space="preserve"> Inputs!F$53</f>
        <v>US$ mn 2021</v>
      </c>
      <c r="H97" s="790"/>
      <c r="I97" s="790">
        <f ca="1" xml:space="preserve"> SUM(K97:AX97)</f>
        <v>1446</v>
      </c>
      <c r="J97" s="790"/>
      <c r="K97" s="790">
        <f t="shared" ref="K97:AX97" ca="1" si="29">SUM(K92:K96)</f>
        <v>10</v>
      </c>
      <c r="L97" s="790">
        <f t="shared" ca="1" si="29"/>
        <v>10</v>
      </c>
      <c r="M97" s="790">
        <f t="shared" ca="1" si="29"/>
        <v>10</v>
      </c>
      <c r="N97" s="790">
        <f t="shared" ca="1" si="29"/>
        <v>50</v>
      </c>
      <c r="O97" s="790">
        <f t="shared" ca="1" si="29"/>
        <v>254.5</v>
      </c>
      <c r="P97" s="790">
        <f t="shared" ca="1" si="29"/>
        <v>141.75</v>
      </c>
      <c r="Q97" s="790">
        <f t="shared" ca="1" si="29"/>
        <v>75.5</v>
      </c>
      <c r="R97" s="790">
        <f t="shared" ca="1" si="29"/>
        <v>75.5</v>
      </c>
      <c r="S97" s="790">
        <f t="shared" ca="1" si="29"/>
        <v>75.5</v>
      </c>
      <c r="T97" s="790">
        <f t="shared" ca="1" si="29"/>
        <v>75.5</v>
      </c>
      <c r="U97" s="790">
        <f t="shared" ca="1" si="29"/>
        <v>75.5</v>
      </c>
      <c r="V97" s="790">
        <f t="shared" ca="1" si="29"/>
        <v>75.5</v>
      </c>
      <c r="W97" s="790">
        <f t="shared" ca="1" si="29"/>
        <v>75.5</v>
      </c>
      <c r="X97" s="790">
        <f t="shared" ca="1" si="29"/>
        <v>75.5</v>
      </c>
      <c r="Y97" s="790">
        <f t="shared" ca="1" si="29"/>
        <v>75.5</v>
      </c>
      <c r="Z97" s="790">
        <f t="shared" ca="1" si="29"/>
        <v>75.5</v>
      </c>
      <c r="AA97" s="790">
        <f t="shared" ca="1" si="29"/>
        <v>64.25</v>
      </c>
      <c r="AB97" s="790">
        <f t="shared" ca="1" si="29"/>
        <v>45</v>
      </c>
      <c r="AC97" s="790">
        <f t="shared" ca="1" si="29"/>
        <v>33.75</v>
      </c>
      <c r="AD97" s="790">
        <f t="shared" ca="1" si="29"/>
        <v>29.25</v>
      </c>
      <c r="AE97" s="790">
        <f t="shared" ca="1" si="29"/>
        <v>22.5</v>
      </c>
      <c r="AF97" s="790">
        <f t="shared" ca="1" si="29"/>
        <v>20</v>
      </c>
      <c r="AG97" s="790">
        <f t="shared" ca="1" si="29"/>
        <v>0</v>
      </c>
      <c r="AH97" s="790">
        <f t="shared" ca="1" si="29"/>
        <v>0</v>
      </c>
      <c r="AI97" s="790">
        <f t="shared" ca="1" si="29"/>
        <v>0</v>
      </c>
      <c r="AJ97" s="790">
        <f t="shared" ca="1" si="29"/>
        <v>0</v>
      </c>
      <c r="AK97" s="790">
        <f t="shared" ca="1" si="29"/>
        <v>0</v>
      </c>
      <c r="AL97" s="790">
        <f t="shared" ca="1" si="29"/>
        <v>0</v>
      </c>
      <c r="AM97" s="790">
        <f t="shared" ca="1" si="29"/>
        <v>0</v>
      </c>
      <c r="AN97" s="790">
        <f t="shared" ca="1" si="29"/>
        <v>0</v>
      </c>
      <c r="AO97" s="790">
        <f t="shared" ca="1" si="29"/>
        <v>0</v>
      </c>
      <c r="AP97" s="790">
        <f t="shared" ca="1" si="29"/>
        <v>0</v>
      </c>
      <c r="AQ97" s="790">
        <f t="shared" ca="1" si="29"/>
        <v>0</v>
      </c>
      <c r="AR97" s="790">
        <f t="shared" ca="1" si="29"/>
        <v>0</v>
      </c>
      <c r="AS97" s="790">
        <f t="shared" ca="1" si="29"/>
        <v>0</v>
      </c>
      <c r="AT97" s="790">
        <f t="shared" ca="1" si="29"/>
        <v>0</v>
      </c>
      <c r="AU97" s="790">
        <f t="shared" ca="1" si="29"/>
        <v>0</v>
      </c>
      <c r="AV97" s="790">
        <f t="shared" ca="1" si="29"/>
        <v>0</v>
      </c>
      <c r="AW97" s="790">
        <f t="shared" ca="1" si="29"/>
        <v>0</v>
      </c>
      <c r="AX97" s="790">
        <f t="shared" ca="1" si="29"/>
        <v>0</v>
      </c>
    </row>
    <row r="98" spans="1:50" ht="15" customHeight="1">
      <c r="A98" s="73"/>
      <c r="B98" s="141"/>
      <c r="C98" s="75"/>
      <c r="D98" s="131"/>
      <c r="E98" s="45"/>
      <c r="F98" s="46"/>
      <c r="G98" s="12"/>
      <c r="H98" s="12"/>
      <c r="I98" s="76"/>
      <c r="J98" s="43"/>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row>
    <row r="99" spans="1:50" s="121" customFormat="1" ht="15" customHeight="1">
      <c r="A99" s="60"/>
      <c r="B99" s="786"/>
      <c r="C99" s="787"/>
      <c r="D99" s="785"/>
      <c r="E99" s="157" t="str">
        <f>Translate!$E$406</f>
        <v>Project cashflow before decommissioning fund and ELT</v>
      </c>
      <c r="F99" s="12"/>
      <c r="G99" s="311" t="str">
        <f xml:space="preserve"> Inputs!F$53</f>
        <v>US$ mn 2021</v>
      </c>
      <c r="H99" s="11"/>
      <c r="I99" s="11">
        <f ca="1" xml:space="preserve"> SUM(K99:AX99)</f>
        <v>1504</v>
      </c>
      <c r="J99" s="11"/>
      <c r="K99" s="11">
        <f ca="1">K89-K97</f>
        <v>-10</v>
      </c>
      <c r="L99" s="11">
        <f t="shared" ref="L99:AX99" ca="1" si="30">L89-L97</f>
        <v>-10</v>
      </c>
      <c r="M99" s="11">
        <f t="shared" ca="1" si="30"/>
        <v>-10</v>
      </c>
      <c r="N99" s="11">
        <f t="shared" ca="1" si="30"/>
        <v>-50</v>
      </c>
      <c r="O99" s="11">
        <f t="shared" ca="1" si="30"/>
        <v>-239.75</v>
      </c>
      <c r="P99" s="11">
        <f t="shared" ca="1" si="30"/>
        <v>-31.125</v>
      </c>
      <c r="Q99" s="11">
        <f t="shared" ca="1" si="30"/>
        <v>145.75</v>
      </c>
      <c r="R99" s="11">
        <f t="shared" ca="1" si="30"/>
        <v>145.75</v>
      </c>
      <c r="S99" s="11">
        <f t="shared" ca="1" si="30"/>
        <v>145.75</v>
      </c>
      <c r="T99" s="11">
        <f t="shared" ca="1" si="30"/>
        <v>145.75</v>
      </c>
      <c r="U99" s="11">
        <f t="shared" ca="1" si="30"/>
        <v>145.75</v>
      </c>
      <c r="V99" s="11">
        <f t="shared" ca="1" si="30"/>
        <v>145.75</v>
      </c>
      <c r="W99" s="11">
        <f t="shared" ca="1" si="30"/>
        <v>145.75</v>
      </c>
      <c r="X99" s="11">
        <f t="shared" ca="1" si="30"/>
        <v>145.75</v>
      </c>
      <c r="Y99" s="11">
        <f t="shared" ca="1" si="30"/>
        <v>145.75</v>
      </c>
      <c r="Z99" s="11">
        <f t="shared" ca="1" si="30"/>
        <v>145.75</v>
      </c>
      <c r="AA99" s="11">
        <f t="shared" ca="1" si="30"/>
        <v>120.125</v>
      </c>
      <c r="AB99" s="11">
        <f t="shared" ca="1" si="30"/>
        <v>102.5</v>
      </c>
      <c r="AC99" s="11">
        <f t="shared" ca="1" si="30"/>
        <v>76.875</v>
      </c>
      <c r="AD99" s="11">
        <f t="shared" ca="1" si="30"/>
        <v>66.625</v>
      </c>
      <c r="AE99" s="11">
        <f t="shared" ca="1" si="30"/>
        <v>51.25</v>
      </c>
      <c r="AF99" s="11">
        <f t="shared" ca="1" si="30"/>
        <v>-20</v>
      </c>
      <c r="AG99" s="11">
        <f t="shared" ca="1" si="30"/>
        <v>0</v>
      </c>
      <c r="AH99" s="11">
        <f t="shared" ca="1" si="30"/>
        <v>0</v>
      </c>
      <c r="AI99" s="11">
        <f t="shared" ca="1" si="30"/>
        <v>0</v>
      </c>
      <c r="AJ99" s="11">
        <f t="shared" ca="1" si="30"/>
        <v>0</v>
      </c>
      <c r="AK99" s="11">
        <f t="shared" ca="1" si="30"/>
        <v>0</v>
      </c>
      <c r="AL99" s="11">
        <f t="shared" ca="1" si="30"/>
        <v>0</v>
      </c>
      <c r="AM99" s="11">
        <f t="shared" ca="1" si="30"/>
        <v>0</v>
      </c>
      <c r="AN99" s="11">
        <f t="shared" ca="1" si="30"/>
        <v>0</v>
      </c>
      <c r="AO99" s="11">
        <f t="shared" ca="1" si="30"/>
        <v>0</v>
      </c>
      <c r="AP99" s="11">
        <f t="shared" ca="1" si="30"/>
        <v>0</v>
      </c>
      <c r="AQ99" s="11">
        <f t="shared" ca="1" si="30"/>
        <v>0</v>
      </c>
      <c r="AR99" s="11">
        <f t="shared" ca="1" si="30"/>
        <v>0</v>
      </c>
      <c r="AS99" s="11">
        <f t="shared" ca="1" si="30"/>
        <v>0</v>
      </c>
      <c r="AT99" s="11">
        <f t="shared" ca="1" si="30"/>
        <v>0</v>
      </c>
      <c r="AU99" s="11">
        <f t="shared" ca="1" si="30"/>
        <v>0</v>
      </c>
      <c r="AV99" s="11">
        <f t="shared" ca="1" si="30"/>
        <v>0</v>
      </c>
      <c r="AW99" s="11">
        <f t="shared" ca="1" si="30"/>
        <v>0</v>
      </c>
      <c r="AX99" s="11">
        <f t="shared" ca="1" si="30"/>
        <v>0</v>
      </c>
    </row>
    <row r="100" spans="1:50" ht="15" customHeight="1">
      <c r="A100" s="73"/>
      <c r="B100" s="141"/>
      <c r="C100" s="75"/>
      <c r="D100" s="131"/>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row>
    <row r="101" spans="1:50" ht="15" customHeight="1">
      <c r="A101" s="169" t="str">
        <f>Translate!$E$370</f>
        <v>Economic limit test (ELT)</v>
      </c>
      <c r="B101" s="169"/>
      <c r="C101" s="170"/>
      <c r="D101" s="171"/>
      <c r="E101" s="88"/>
      <c r="F101" s="86"/>
      <c r="G101" s="86"/>
      <c r="H101" s="86"/>
      <c r="I101" s="86"/>
      <c r="J101" s="86"/>
      <c r="K101" s="86"/>
      <c r="L101" s="86"/>
      <c r="M101" s="86"/>
      <c r="N101" s="86"/>
      <c r="O101" s="86"/>
      <c r="P101" s="86"/>
      <c r="Q101" s="86"/>
      <c r="R101" s="86"/>
      <c r="S101" s="86"/>
      <c r="T101" s="86"/>
      <c r="U101" s="86"/>
      <c r="V101" s="86"/>
      <c r="W101" s="86"/>
      <c r="X101" s="86"/>
      <c r="Y101" s="86"/>
      <c r="Z101" s="86"/>
      <c r="AA101" s="86"/>
      <c r="AB101" s="86"/>
      <c r="AC101" s="86"/>
      <c r="AD101" s="86"/>
      <c r="AE101" s="86"/>
      <c r="AF101" s="86"/>
      <c r="AG101" s="86"/>
      <c r="AH101" s="86"/>
      <c r="AI101" s="86"/>
      <c r="AJ101" s="86"/>
      <c r="AK101" s="86"/>
      <c r="AL101" s="86"/>
      <c r="AM101" s="86"/>
      <c r="AN101" s="86"/>
      <c r="AO101" s="86"/>
      <c r="AP101" s="86"/>
      <c r="AQ101" s="86"/>
      <c r="AR101" s="86"/>
      <c r="AS101" s="86"/>
      <c r="AT101" s="86"/>
      <c r="AU101" s="86"/>
      <c r="AV101" s="86"/>
      <c r="AW101" s="86"/>
      <c r="AX101" s="86"/>
    </row>
    <row r="102" spans="1:50" ht="15" customHeight="1"/>
    <row r="103" spans="1:50" ht="15" customHeight="1">
      <c r="B103" s="172" t="str">
        <f>Translate!$E$380</f>
        <v>Peak production year: assumed Economic Limit will not be triggered before this period</v>
      </c>
    </row>
    <row r="104" spans="1:50" s="315" customFormat="1" ht="15" customHeight="1">
      <c r="E104" s="315" t="str">
        <f xml:space="preserve"> E$63</f>
        <v>Peak production year</v>
      </c>
      <c r="F104" s="315">
        <f ca="1" xml:space="preserve"> F$63</f>
        <v>2027</v>
      </c>
      <c r="G104" s="315" t="str">
        <f xml:space="preserve"> G$63</f>
        <v>Year</v>
      </c>
    </row>
    <row r="105" spans="1:50" ht="15" customHeight="1"/>
    <row r="106" spans="1:50" ht="15" customHeight="1">
      <c r="B106" s="172" t="str">
        <f>Translate!$E$381</f>
        <v>Maximum cumulative cashflows used to determine when Econ Limit reached</v>
      </c>
    </row>
    <row r="107" spans="1:50" ht="15" customHeight="1">
      <c r="E107" s="4" t="str">
        <f xml:space="preserve"> E$99</f>
        <v>Project cashflow before decommissioning fund and ELT</v>
      </c>
      <c r="F107" s="4">
        <f t="shared" ref="F107:AX107" si="31" xml:space="preserve"> F$99</f>
        <v>0</v>
      </c>
      <c r="G107" s="4" t="str">
        <f t="shared" si="31"/>
        <v>US$ mn 2021</v>
      </c>
      <c r="H107" s="4">
        <f t="shared" si="31"/>
        <v>0</v>
      </c>
      <c r="I107" s="4">
        <f t="shared" ca="1" si="31"/>
        <v>1504</v>
      </c>
      <c r="J107" s="4">
        <f t="shared" si="31"/>
        <v>0</v>
      </c>
      <c r="K107" s="4">
        <f t="shared" ca="1" si="31"/>
        <v>-10</v>
      </c>
      <c r="L107" s="4">
        <f t="shared" ca="1" si="31"/>
        <v>-10</v>
      </c>
      <c r="M107" s="4">
        <f t="shared" ca="1" si="31"/>
        <v>-10</v>
      </c>
      <c r="N107" s="4">
        <f t="shared" ca="1" si="31"/>
        <v>-50</v>
      </c>
      <c r="O107" s="4">
        <f t="shared" ca="1" si="31"/>
        <v>-239.75</v>
      </c>
      <c r="P107" s="4">
        <f t="shared" ca="1" si="31"/>
        <v>-31.125</v>
      </c>
      <c r="Q107" s="4">
        <f t="shared" ca="1" si="31"/>
        <v>145.75</v>
      </c>
      <c r="R107" s="4">
        <f t="shared" ca="1" si="31"/>
        <v>145.75</v>
      </c>
      <c r="S107" s="4">
        <f t="shared" ca="1" si="31"/>
        <v>145.75</v>
      </c>
      <c r="T107" s="4">
        <f t="shared" ca="1" si="31"/>
        <v>145.75</v>
      </c>
      <c r="U107" s="4">
        <f t="shared" ca="1" si="31"/>
        <v>145.75</v>
      </c>
      <c r="V107" s="4">
        <f t="shared" ca="1" si="31"/>
        <v>145.75</v>
      </c>
      <c r="W107" s="4">
        <f t="shared" ca="1" si="31"/>
        <v>145.75</v>
      </c>
      <c r="X107" s="4">
        <f t="shared" ca="1" si="31"/>
        <v>145.75</v>
      </c>
      <c r="Y107" s="4">
        <f t="shared" ca="1" si="31"/>
        <v>145.75</v>
      </c>
      <c r="Z107" s="4">
        <f t="shared" ca="1" si="31"/>
        <v>145.75</v>
      </c>
      <c r="AA107" s="4">
        <f t="shared" ca="1" si="31"/>
        <v>120.125</v>
      </c>
      <c r="AB107" s="4">
        <f t="shared" ca="1" si="31"/>
        <v>102.5</v>
      </c>
      <c r="AC107" s="4">
        <f t="shared" ca="1" si="31"/>
        <v>76.875</v>
      </c>
      <c r="AD107" s="4">
        <f t="shared" ca="1" si="31"/>
        <v>66.625</v>
      </c>
      <c r="AE107" s="4">
        <f t="shared" ca="1" si="31"/>
        <v>51.25</v>
      </c>
      <c r="AF107" s="4">
        <f t="shared" ca="1" si="31"/>
        <v>-20</v>
      </c>
      <c r="AG107" s="4">
        <f t="shared" ca="1" si="31"/>
        <v>0</v>
      </c>
      <c r="AH107" s="4">
        <f t="shared" ca="1" si="31"/>
        <v>0</v>
      </c>
      <c r="AI107" s="4">
        <f t="shared" ca="1" si="31"/>
        <v>0</v>
      </c>
      <c r="AJ107" s="4">
        <f t="shared" ca="1" si="31"/>
        <v>0</v>
      </c>
      <c r="AK107" s="4">
        <f t="shared" ca="1" si="31"/>
        <v>0</v>
      </c>
      <c r="AL107" s="4">
        <f t="shared" ca="1" si="31"/>
        <v>0</v>
      </c>
      <c r="AM107" s="4">
        <f t="shared" ca="1" si="31"/>
        <v>0</v>
      </c>
      <c r="AN107" s="4">
        <f t="shared" ca="1" si="31"/>
        <v>0</v>
      </c>
      <c r="AO107" s="4">
        <f t="shared" ca="1" si="31"/>
        <v>0</v>
      </c>
      <c r="AP107" s="4">
        <f t="shared" ca="1" si="31"/>
        <v>0</v>
      </c>
      <c r="AQ107" s="4">
        <f t="shared" ca="1" si="31"/>
        <v>0</v>
      </c>
      <c r="AR107" s="4">
        <f t="shared" ca="1" si="31"/>
        <v>0</v>
      </c>
      <c r="AS107" s="4">
        <f t="shared" ca="1" si="31"/>
        <v>0</v>
      </c>
      <c r="AT107" s="4">
        <f t="shared" ca="1" si="31"/>
        <v>0</v>
      </c>
      <c r="AU107" s="4">
        <f t="shared" ca="1" si="31"/>
        <v>0</v>
      </c>
      <c r="AV107" s="4">
        <f t="shared" ca="1" si="31"/>
        <v>0</v>
      </c>
      <c r="AW107" s="4">
        <f t="shared" ca="1" si="31"/>
        <v>0</v>
      </c>
      <c r="AX107" s="4">
        <f t="shared" ca="1" si="31"/>
        <v>0</v>
      </c>
    </row>
    <row r="108" spans="1:50" ht="15" customHeight="1">
      <c r="A108" s="73"/>
      <c r="B108" s="141"/>
      <c r="C108" s="75"/>
      <c r="D108" s="131"/>
      <c r="E108" s="45" t="str">
        <f xml:space="preserve"> E$70</f>
        <v>Decommissioning costs</v>
      </c>
      <c r="F108" s="45">
        <f t="shared" ref="F108:AX108" si="32" xml:space="preserve"> F$96</f>
        <v>0</v>
      </c>
      <c r="G108" s="45" t="str">
        <f t="shared" si="32"/>
        <v>US$ mn 2021</v>
      </c>
      <c r="H108" s="45">
        <f t="shared" si="32"/>
        <v>0</v>
      </c>
      <c r="I108" s="45">
        <f t="shared" ca="1" si="32"/>
        <v>20</v>
      </c>
      <c r="J108" s="45">
        <f t="shared" si="32"/>
        <v>0</v>
      </c>
      <c r="K108" s="45">
        <f t="shared" ca="1" si="32"/>
        <v>0</v>
      </c>
      <c r="L108" s="45">
        <f t="shared" ca="1" si="32"/>
        <v>0</v>
      </c>
      <c r="M108" s="45">
        <f t="shared" ca="1" si="32"/>
        <v>0</v>
      </c>
      <c r="N108" s="45">
        <f t="shared" ca="1" si="32"/>
        <v>0</v>
      </c>
      <c r="O108" s="45">
        <f t="shared" ca="1" si="32"/>
        <v>0</v>
      </c>
      <c r="P108" s="45">
        <f t="shared" ca="1" si="32"/>
        <v>0</v>
      </c>
      <c r="Q108" s="45">
        <f t="shared" ca="1" si="32"/>
        <v>0</v>
      </c>
      <c r="R108" s="45">
        <f t="shared" ca="1" si="32"/>
        <v>0</v>
      </c>
      <c r="S108" s="45">
        <f t="shared" ca="1" si="32"/>
        <v>0</v>
      </c>
      <c r="T108" s="45">
        <f t="shared" ca="1" si="32"/>
        <v>0</v>
      </c>
      <c r="U108" s="45">
        <f t="shared" ca="1" si="32"/>
        <v>0</v>
      </c>
      <c r="V108" s="45">
        <f t="shared" ca="1" si="32"/>
        <v>0</v>
      </c>
      <c r="W108" s="45">
        <f t="shared" ca="1" si="32"/>
        <v>0</v>
      </c>
      <c r="X108" s="45">
        <f t="shared" ca="1" si="32"/>
        <v>0</v>
      </c>
      <c r="Y108" s="45">
        <f t="shared" ca="1" si="32"/>
        <v>0</v>
      </c>
      <c r="Z108" s="45">
        <f t="shared" ca="1" si="32"/>
        <v>0</v>
      </c>
      <c r="AA108" s="45">
        <f t="shared" ca="1" si="32"/>
        <v>0</v>
      </c>
      <c r="AB108" s="45">
        <f t="shared" ca="1" si="32"/>
        <v>0</v>
      </c>
      <c r="AC108" s="45">
        <f t="shared" ca="1" si="32"/>
        <v>0</v>
      </c>
      <c r="AD108" s="45">
        <f t="shared" ca="1" si="32"/>
        <v>0</v>
      </c>
      <c r="AE108" s="45">
        <f t="shared" ca="1" si="32"/>
        <v>0</v>
      </c>
      <c r="AF108" s="45">
        <f t="shared" ca="1" si="32"/>
        <v>20</v>
      </c>
      <c r="AG108" s="45">
        <f t="shared" ca="1" si="32"/>
        <v>0</v>
      </c>
      <c r="AH108" s="45">
        <f t="shared" ca="1" si="32"/>
        <v>0</v>
      </c>
      <c r="AI108" s="45">
        <f t="shared" ca="1" si="32"/>
        <v>0</v>
      </c>
      <c r="AJ108" s="45">
        <f t="shared" ca="1" si="32"/>
        <v>0</v>
      </c>
      <c r="AK108" s="45">
        <f t="shared" ca="1" si="32"/>
        <v>0</v>
      </c>
      <c r="AL108" s="45">
        <f t="shared" ca="1" si="32"/>
        <v>0</v>
      </c>
      <c r="AM108" s="45">
        <f t="shared" ca="1" si="32"/>
        <v>0</v>
      </c>
      <c r="AN108" s="45">
        <f t="shared" ca="1" si="32"/>
        <v>0</v>
      </c>
      <c r="AO108" s="45">
        <f t="shared" ca="1" si="32"/>
        <v>0</v>
      </c>
      <c r="AP108" s="45">
        <f t="shared" ca="1" si="32"/>
        <v>0</v>
      </c>
      <c r="AQ108" s="45">
        <f t="shared" ca="1" si="32"/>
        <v>0</v>
      </c>
      <c r="AR108" s="45">
        <f t="shared" ca="1" si="32"/>
        <v>0</v>
      </c>
      <c r="AS108" s="45">
        <f t="shared" ca="1" si="32"/>
        <v>0</v>
      </c>
      <c r="AT108" s="45">
        <f t="shared" ca="1" si="32"/>
        <v>0</v>
      </c>
      <c r="AU108" s="45">
        <f t="shared" ca="1" si="32"/>
        <v>0</v>
      </c>
      <c r="AV108" s="45">
        <f t="shared" ca="1" si="32"/>
        <v>0</v>
      </c>
      <c r="AW108" s="45">
        <f t="shared" ca="1" si="32"/>
        <v>0</v>
      </c>
      <c r="AX108" s="45">
        <f t="shared" ca="1" si="32"/>
        <v>0</v>
      </c>
    </row>
    <row r="109" spans="1:50" ht="15" customHeight="1">
      <c r="E109" s="4" t="str">
        <f xml:space="preserve"> E107 &amp; " " &amp; Translate!$E$443</f>
        <v>Project cashflow before decommissioning fund and ELT (before decommissioning)</v>
      </c>
      <c r="G109" s="4" t="str">
        <f>G108</f>
        <v>US$ mn 2021</v>
      </c>
      <c r="I109" s="4">
        <f ca="1" xml:space="preserve"> SUM(K109:BH109)</f>
        <v>1524</v>
      </c>
      <c r="K109" s="4">
        <f ca="1" xml:space="preserve"> K107 + K108</f>
        <v>-10</v>
      </c>
      <c r="L109" s="4">
        <f t="shared" ref="L109:AX109" ca="1" si="33" xml:space="preserve"> L107 + L108</f>
        <v>-10</v>
      </c>
      <c r="M109" s="4">
        <f t="shared" ca="1" si="33"/>
        <v>-10</v>
      </c>
      <c r="N109" s="4">
        <f t="shared" ca="1" si="33"/>
        <v>-50</v>
      </c>
      <c r="O109" s="4">
        <f t="shared" ca="1" si="33"/>
        <v>-239.75</v>
      </c>
      <c r="P109" s="4">
        <f t="shared" ca="1" si="33"/>
        <v>-31.125</v>
      </c>
      <c r="Q109" s="4">
        <f t="shared" ca="1" si="33"/>
        <v>145.75</v>
      </c>
      <c r="R109" s="4">
        <f t="shared" ca="1" si="33"/>
        <v>145.75</v>
      </c>
      <c r="S109" s="4">
        <f t="shared" ca="1" si="33"/>
        <v>145.75</v>
      </c>
      <c r="T109" s="4">
        <f t="shared" ca="1" si="33"/>
        <v>145.75</v>
      </c>
      <c r="U109" s="4">
        <f t="shared" ca="1" si="33"/>
        <v>145.75</v>
      </c>
      <c r="V109" s="4">
        <f t="shared" ca="1" si="33"/>
        <v>145.75</v>
      </c>
      <c r="W109" s="4">
        <f t="shared" ca="1" si="33"/>
        <v>145.75</v>
      </c>
      <c r="X109" s="4">
        <f t="shared" ca="1" si="33"/>
        <v>145.75</v>
      </c>
      <c r="Y109" s="4">
        <f t="shared" ca="1" si="33"/>
        <v>145.75</v>
      </c>
      <c r="Z109" s="4">
        <f t="shared" ca="1" si="33"/>
        <v>145.75</v>
      </c>
      <c r="AA109" s="4">
        <f t="shared" ca="1" si="33"/>
        <v>120.125</v>
      </c>
      <c r="AB109" s="4">
        <f t="shared" ca="1" si="33"/>
        <v>102.5</v>
      </c>
      <c r="AC109" s="4">
        <f t="shared" ca="1" si="33"/>
        <v>76.875</v>
      </c>
      <c r="AD109" s="4">
        <f t="shared" ca="1" si="33"/>
        <v>66.625</v>
      </c>
      <c r="AE109" s="4">
        <f t="shared" ca="1" si="33"/>
        <v>51.25</v>
      </c>
      <c r="AF109" s="4">
        <f t="shared" ca="1" si="33"/>
        <v>0</v>
      </c>
      <c r="AG109" s="4">
        <f t="shared" ca="1" si="33"/>
        <v>0</v>
      </c>
      <c r="AH109" s="4">
        <f t="shared" ca="1" si="33"/>
        <v>0</v>
      </c>
      <c r="AI109" s="4">
        <f t="shared" ca="1" si="33"/>
        <v>0</v>
      </c>
      <c r="AJ109" s="4">
        <f t="shared" ca="1" si="33"/>
        <v>0</v>
      </c>
      <c r="AK109" s="4">
        <f t="shared" ca="1" si="33"/>
        <v>0</v>
      </c>
      <c r="AL109" s="4">
        <f t="shared" ca="1" si="33"/>
        <v>0</v>
      </c>
      <c r="AM109" s="4">
        <f t="shared" ca="1" si="33"/>
        <v>0</v>
      </c>
      <c r="AN109" s="4">
        <f t="shared" ca="1" si="33"/>
        <v>0</v>
      </c>
      <c r="AO109" s="4">
        <f t="shared" ca="1" si="33"/>
        <v>0</v>
      </c>
      <c r="AP109" s="4">
        <f t="shared" ca="1" si="33"/>
        <v>0</v>
      </c>
      <c r="AQ109" s="4">
        <f t="shared" ca="1" si="33"/>
        <v>0</v>
      </c>
      <c r="AR109" s="4">
        <f t="shared" ca="1" si="33"/>
        <v>0</v>
      </c>
      <c r="AS109" s="4">
        <f t="shared" ca="1" si="33"/>
        <v>0</v>
      </c>
      <c r="AT109" s="4">
        <f t="shared" ca="1" si="33"/>
        <v>0</v>
      </c>
      <c r="AU109" s="4">
        <f t="shared" ca="1" si="33"/>
        <v>0</v>
      </c>
      <c r="AV109" s="4">
        <f t="shared" ca="1" si="33"/>
        <v>0</v>
      </c>
      <c r="AW109" s="4">
        <f t="shared" ca="1" si="33"/>
        <v>0</v>
      </c>
      <c r="AX109" s="4">
        <f t="shared" ca="1" si="33"/>
        <v>0</v>
      </c>
    </row>
    <row r="110" spans="1:50" ht="15" customHeight="1">
      <c r="E110" s="4" t="str">
        <f xml:space="preserve"> E109 &amp; ": " &amp; Translate!E$755</f>
        <v>Project cashflow before decommissioning fund and ELT (before decommissioning): cumulative</v>
      </c>
      <c r="G110" s="4" t="str">
        <f xml:space="preserve"> G109</f>
        <v>US$ mn 2021</v>
      </c>
      <c r="J110" s="788"/>
      <c r="K110" s="4">
        <f t="shared" ref="K110:AX110" ca="1" si="34" xml:space="preserve"> J110 + K109</f>
        <v>-10</v>
      </c>
      <c r="L110" s="4">
        <f t="shared" ca="1" si="34"/>
        <v>-20</v>
      </c>
      <c r="M110" s="4">
        <f t="shared" ca="1" si="34"/>
        <v>-30</v>
      </c>
      <c r="N110" s="4">
        <f t="shared" ca="1" si="34"/>
        <v>-80</v>
      </c>
      <c r="O110" s="4">
        <f t="shared" ca="1" si="34"/>
        <v>-319.75</v>
      </c>
      <c r="P110" s="4">
        <f t="shared" ca="1" si="34"/>
        <v>-350.875</v>
      </c>
      <c r="Q110" s="4">
        <f t="shared" ca="1" si="34"/>
        <v>-205.125</v>
      </c>
      <c r="R110" s="4">
        <f t="shared" ca="1" si="34"/>
        <v>-59.375</v>
      </c>
      <c r="S110" s="4">
        <f t="shared" ca="1" si="34"/>
        <v>86.375</v>
      </c>
      <c r="T110" s="4">
        <f t="shared" ca="1" si="34"/>
        <v>232.125</v>
      </c>
      <c r="U110" s="4">
        <f t="shared" ca="1" si="34"/>
        <v>377.875</v>
      </c>
      <c r="V110" s="4">
        <f t="shared" ca="1" si="34"/>
        <v>523.625</v>
      </c>
      <c r="W110" s="4">
        <f t="shared" ca="1" si="34"/>
        <v>669.375</v>
      </c>
      <c r="X110" s="4">
        <f t="shared" ca="1" si="34"/>
        <v>815.125</v>
      </c>
      <c r="Y110" s="4">
        <f t="shared" ca="1" si="34"/>
        <v>960.875</v>
      </c>
      <c r="Z110" s="4">
        <f t="shared" ca="1" si="34"/>
        <v>1106.625</v>
      </c>
      <c r="AA110" s="4">
        <f t="shared" ca="1" si="34"/>
        <v>1226.75</v>
      </c>
      <c r="AB110" s="4">
        <f t="shared" ca="1" si="34"/>
        <v>1329.25</v>
      </c>
      <c r="AC110" s="4">
        <f t="shared" ca="1" si="34"/>
        <v>1406.125</v>
      </c>
      <c r="AD110" s="4">
        <f t="shared" ca="1" si="34"/>
        <v>1472.75</v>
      </c>
      <c r="AE110" s="4">
        <f t="shared" ca="1" si="34"/>
        <v>1524</v>
      </c>
      <c r="AF110" s="4">
        <f t="shared" ca="1" si="34"/>
        <v>1524</v>
      </c>
      <c r="AG110" s="4">
        <f t="shared" ca="1" si="34"/>
        <v>1524</v>
      </c>
      <c r="AH110" s="4">
        <f t="shared" ca="1" si="34"/>
        <v>1524</v>
      </c>
      <c r="AI110" s="4">
        <f t="shared" ca="1" si="34"/>
        <v>1524</v>
      </c>
      <c r="AJ110" s="4">
        <f t="shared" ca="1" si="34"/>
        <v>1524</v>
      </c>
      <c r="AK110" s="4">
        <f t="shared" ca="1" si="34"/>
        <v>1524</v>
      </c>
      <c r="AL110" s="4">
        <f t="shared" ca="1" si="34"/>
        <v>1524</v>
      </c>
      <c r="AM110" s="4">
        <f t="shared" ca="1" si="34"/>
        <v>1524</v>
      </c>
      <c r="AN110" s="4">
        <f t="shared" ca="1" si="34"/>
        <v>1524</v>
      </c>
      <c r="AO110" s="4">
        <f t="shared" ca="1" si="34"/>
        <v>1524</v>
      </c>
      <c r="AP110" s="4">
        <f t="shared" ca="1" si="34"/>
        <v>1524</v>
      </c>
      <c r="AQ110" s="4">
        <f t="shared" ca="1" si="34"/>
        <v>1524</v>
      </c>
      <c r="AR110" s="4">
        <f t="shared" ca="1" si="34"/>
        <v>1524</v>
      </c>
      <c r="AS110" s="4">
        <f t="shared" ca="1" si="34"/>
        <v>1524</v>
      </c>
      <c r="AT110" s="4">
        <f t="shared" ca="1" si="34"/>
        <v>1524</v>
      </c>
      <c r="AU110" s="4">
        <f t="shared" ca="1" si="34"/>
        <v>1524</v>
      </c>
      <c r="AV110" s="4">
        <f t="shared" ca="1" si="34"/>
        <v>1524</v>
      </c>
      <c r="AW110" s="4">
        <f t="shared" ca="1" si="34"/>
        <v>1524</v>
      </c>
      <c r="AX110" s="4">
        <f t="shared" ca="1" si="34"/>
        <v>1524</v>
      </c>
    </row>
    <row r="111" spans="1:50" s="121" customFormat="1" ht="15" customHeight="1">
      <c r="A111" s="72"/>
      <c r="B111" s="784"/>
      <c r="C111" s="71"/>
      <c r="D111" s="785"/>
      <c r="E111" s="157" t="str">
        <f>Translate!$E$407</f>
        <v>Peak cumulative cashflows</v>
      </c>
      <c r="F111" s="72">
        <f ca="1" xml:space="preserve"> MAX(K110:AX110)</f>
        <v>1524</v>
      </c>
      <c r="G111" s="12" t="str">
        <f>G108</f>
        <v>US$ mn 2021</v>
      </c>
      <c r="H111" s="12"/>
      <c r="I111" s="11"/>
      <c r="J111" s="72"/>
      <c r="K111" s="578"/>
      <c r="L111" s="578"/>
      <c r="M111" s="578"/>
      <c r="N111" s="578"/>
      <c r="O111" s="578"/>
      <c r="P111" s="578"/>
      <c r="Q111" s="578"/>
      <c r="R111" s="578"/>
      <c r="S111" s="578"/>
      <c r="T111" s="578"/>
      <c r="U111" s="578"/>
      <c r="V111" s="578"/>
      <c r="W111" s="578"/>
      <c r="X111" s="578"/>
      <c r="Y111" s="578"/>
      <c r="Z111" s="578"/>
      <c r="AA111" s="578"/>
      <c r="AB111" s="578"/>
      <c r="AC111" s="578"/>
      <c r="AD111" s="578"/>
      <c r="AE111" s="578"/>
      <c r="AF111" s="578"/>
      <c r="AG111" s="578"/>
      <c r="AH111" s="578"/>
      <c r="AI111" s="578"/>
      <c r="AJ111" s="578"/>
      <c r="AK111" s="578"/>
      <c r="AL111" s="578"/>
      <c r="AM111" s="578"/>
      <c r="AN111" s="578"/>
      <c r="AO111" s="578"/>
      <c r="AP111" s="578"/>
      <c r="AQ111" s="578"/>
      <c r="AR111" s="578"/>
      <c r="AS111" s="578"/>
      <c r="AT111" s="578"/>
      <c r="AU111" s="578"/>
      <c r="AV111" s="578"/>
      <c r="AW111" s="578"/>
      <c r="AX111" s="578"/>
    </row>
    <row r="112" spans="1:50" s="315" customFormat="1" ht="15" customHeight="1">
      <c r="A112" s="534"/>
      <c r="C112" s="536"/>
      <c r="D112" s="312"/>
      <c r="E112" s="312" t="str">
        <f>E$48</f>
        <v>Model calendar years</v>
      </c>
      <c r="F112" s="312">
        <f t="shared" ref="F112:AX112" si="35">F$48</f>
        <v>0</v>
      </c>
      <c r="G112" s="312" t="str">
        <f t="shared" si="35"/>
        <v>Years</v>
      </c>
      <c r="H112" s="312">
        <f t="shared" si="35"/>
        <v>0</v>
      </c>
      <c r="I112" s="312">
        <f t="shared" si="35"/>
        <v>0</v>
      </c>
      <c r="J112" s="312">
        <f t="shared" si="35"/>
        <v>0</v>
      </c>
      <c r="K112" s="312">
        <f t="shared" si="35"/>
        <v>2021</v>
      </c>
      <c r="L112" s="312">
        <f t="shared" si="35"/>
        <v>2022</v>
      </c>
      <c r="M112" s="312">
        <f t="shared" si="35"/>
        <v>2023</v>
      </c>
      <c r="N112" s="312">
        <f t="shared" si="35"/>
        <v>2024</v>
      </c>
      <c r="O112" s="312">
        <f t="shared" si="35"/>
        <v>2025</v>
      </c>
      <c r="P112" s="312">
        <f t="shared" si="35"/>
        <v>2026</v>
      </c>
      <c r="Q112" s="312">
        <f t="shared" si="35"/>
        <v>2027</v>
      </c>
      <c r="R112" s="312">
        <f t="shared" si="35"/>
        <v>2028</v>
      </c>
      <c r="S112" s="312">
        <f t="shared" si="35"/>
        <v>2029</v>
      </c>
      <c r="T112" s="312">
        <f t="shared" si="35"/>
        <v>2030</v>
      </c>
      <c r="U112" s="312">
        <f t="shared" si="35"/>
        <v>2031</v>
      </c>
      <c r="V112" s="312">
        <f t="shared" si="35"/>
        <v>2032</v>
      </c>
      <c r="W112" s="312">
        <f t="shared" si="35"/>
        <v>2033</v>
      </c>
      <c r="X112" s="312">
        <f t="shared" si="35"/>
        <v>2034</v>
      </c>
      <c r="Y112" s="312">
        <f t="shared" si="35"/>
        <v>2035</v>
      </c>
      <c r="Z112" s="312">
        <f t="shared" si="35"/>
        <v>2036</v>
      </c>
      <c r="AA112" s="312">
        <f t="shared" si="35"/>
        <v>2037</v>
      </c>
      <c r="AB112" s="312">
        <f t="shared" si="35"/>
        <v>2038</v>
      </c>
      <c r="AC112" s="312">
        <f t="shared" si="35"/>
        <v>2039</v>
      </c>
      <c r="AD112" s="312">
        <f t="shared" si="35"/>
        <v>2040</v>
      </c>
      <c r="AE112" s="312">
        <f t="shared" si="35"/>
        <v>2041</v>
      </c>
      <c r="AF112" s="312">
        <f t="shared" si="35"/>
        <v>2042</v>
      </c>
      <c r="AG112" s="312">
        <f t="shared" si="35"/>
        <v>2043</v>
      </c>
      <c r="AH112" s="312">
        <f t="shared" si="35"/>
        <v>2044</v>
      </c>
      <c r="AI112" s="312">
        <f t="shared" si="35"/>
        <v>2045</v>
      </c>
      <c r="AJ112" s="312">
        <f t="shared" si="35"/>
        <v>2046</v>
      </c>
      <c r="AK112" s="312">
        <f t="shared" si="35"/>
        <v>2047</v>
      </c>
      <c r="AL112" s="312">
        <f t="shared" si="35"/>
        <v>2048</v>
      </c>
      <c r="AM112" s="312">
        <f t="shared" si="35"/>
        <v>2049</v>
      </c>
      <c r="AN112" s="312">
        <f t="shared" si="35"/>
        <v>2050</v>
      </c>
      <c r="AO112" s="312">
        <f t="shared" si="35"/>
        <v>2051</v>
      </c>
      <c r="AP112" s="312">
        <f t="shared" si="35"/>
        <v>2052</v>
      </c>
      <c r="AQ112" s="312">
        <f t="shared" si="35"/>
        <v>2053</v>
      </c>
      <c r="AR112" s="312">
        <f t="shared" si="35"/>
        <v>2054</v>
      </c>
      <c r="AS112" s="312">
        <f t="shared" si="35"/>
        <v>2055</v>
      </c>
      <c r="AT112" s="312">
        <f t="shared" si="35"/>
        <v>2056</v>
      </c>
      <c r="AU112" s="312">
        <f t="shared" si="35"/>
        <v>2057</v>
      </c>
      <c r="AV112" s="312">
        <f t="shared" si="35"/>
        <v>2058</v>
      </c>
      <c r="AW112" s="312">
        <f t="shared" si="35"/>
        <v>2059</v>
      </c>
      <c r="AX112" s="312">
        <f t="shared" si="35"/>
        <v>2060</v>
      </c>
    </row>
    <row r="113" spans="1:50" s="315" customFormat="1" ht="15" customHeight="1">
      <c r="A113" s="534"/>
      <c r="C113" s="536"/>
      <c r="D113" s="312"/>
      <c r="E113" s="312" t="str">
        <f>Translate!$E$408</f>
        <v>Economic limit reached</v>
      </c>
      <c r="F113" s="312"/>
      <c r="G113" s="312" t="str">
        <f xml:space="preserve"> Translate!E$586</f>
        <v>Flag</v>
      </c>
      <c r="H113" s="312"/>
      <c r="I113" s="312"/>
      <c r="J113" s="312"/>
      <c r="K113" s="312">
        <f t="shared" ref="K113:AX113" ca="1" si="36" xml:space="preserve"> ($F111 = K110) * 1</f>
        <v>0</v>
      </c>
      <c r="L113" s="312">
        <f t="shared" ca="1" si="36"/>
        <v>0</v>
      </c>
      <c r="M113" s="312">
        <f t="shared" ca="1" si="36"/>
        <v>0</v>
      </c>
      <c r="N113" s="312">
        <f t="shared" ca="1" si="36"/>
        <v>0</v>
      </c>
      <c r="O113" s="312">
        <f t="shared" ca="1" si="36"/>
        <v>0</v>
      </c>
      <c r="P113" s="312">
        <f t="shared" ca="1" si="36"/>
        <v>0</v>
      </c>
      <c r="Q113" s="312">
        <f t="shared" ca="1" si="36"/>
        <v>0</v>
      </c>
      <c r="R113" s="312">
        <f t="shared" ca="1" si="36"/>
        <v>0</v>
      </c>
      <c r="S113" s="312">
        <f t="shared" ca="1" si="36"/>
        <v>0</v>
      </c>
      <c r="T113" s="312">
        <f t="shared" ca="1" si="36"/>
        <v>0</v>
      </c>
      <c r="U113" s="312">
        <f t="shared" ca="1" si="36"/>
        <v>0</v>
      </c>
      <c r="V113" s="312">
        <f t="shared" ca="1" si="36"/>
        <v>0</v>
      </c>
      <c r="W113" s="312">
        <f t="shared" ca="1" si="36"/>
        <v>0</v>
      </c>
      <c r="X113" s="312">
        <f t="shared" ca="1" si="36"/>
        <v>0</v>
      </c>
      <c r="Y113" s="312">
        <f t="shared" ca="1" si="36"/>
        <v>0</v>
      </c>
      <c r="Z113" s="312">
        <f t="shared" ca="1" si="36"/>
        <v>0</v>
      </c>
      <c r="AA113" s="312">
        <f t="shared" ca="1" si="36"/>
        <v>0</v>
      </c>
      <c r="AB113" s="312">
        <f t="shared" ca="1" si="36"/>
        <v>0</v>
      </c>
      <c r="AC113" s="312">
        <f t="shared" ca="1" si="36"/>
        <v>0</v>
      </c>
      <c r="AD113" s="312">
        <f t="shared" ca="1" si="36"/>
        <v>0</v>
      </c>
      <c r="AE113" s="312">
        <f t="shared" ca="1" si="36"/>
        <v>1</v>
      </c>
      <c r="AF113" s="312">
        <f t="shared" ca="1" si="36"/>
        <v>1</v>
      </c>
      <c r="AG113" s="312">
        <f t="shared" ca="1" si="36"/>
        <v>1</v>
      </c>
      <c r="AH113" s="312">
        <f t="shared" ca="1" si="36"/>
        <v>1</v>
      </c>
      <c r="AI113" s="312">
        <f t="shared" ca="1" si="36"/>
        <v>1</v>
      </c>
      <c r="AJ113" s="312">
        <f t="shared" ca="1" si="36"/>
        <v>1</v>
      </c>
      <c r="AK113" s="312">
        <f t="shared" ca="1" si="36"/>
        <v>1</v>
      </c>
      <c r="AL113" s="312">
        <f t="shared" ca="1" si="36"/>
        <v>1</v>
      </c>
      <c r="AM113" s="312">
        <f t="shared" ca="1" si="36"/>
        <v>1</v>
      </c>
      <c r="AN113" s="312">
        <f t="shared" ca="1" si="36"/>
        <v>1</v>
      </c>
      <c r="AO113" s="312">
        <f t="shared" ca="1" si="36"/>
        <v>1</v>
      </c>
      <c r="AP113" s="312">
        <f t="shared" ca="1" si="36"/>
        <v>1</v>
      </c>
      <c r="AQ113" s="312">
        <f t="shared" ca="1" si="36"/>
        <v>1</v>
      </c>
      <c r="AR113" s="312">
        <f t="shared" ca="1" si="36"/>
        <v>1</v>
      </c>
      <c r="AS113" s="312">
        <f t="shared" ca="1" si="36"/>
        <v>1</v>
      </c>
      <c r="AT113" s="312">
        <f t="shared" ca="1" si="36"/>
        <v>1</v>
      </c>
      <c r="AU113" s="312">
        <f t="shared" ca="1" si="36"/>
        <v>1</v>
      </c>
      <c r="AV113" s="312">
        <f t="shared" ca="1" si="36"/>
        <v>1</v>
      </c>
      <c r="AW113" s="312">
        <f t="shared" ca="1" si="36"/>
        <v>1</v>
      </c>
      <c r="AX113" s="312">
        <f t="shared" ca="1" si="36"/>
        <v>1</v>
      </c>
    </row>
    <row r="114" spans="1:50" ht="15" customHeight="1"/>
    <row r="115" spans="1:50" s="315" customFormat="1" ht="15" customHeight="1">
      <c r="A115" s="534"/>
      <c r="C115" s="536"/>
      <c r="D115" s="312"/>
      <c r="E115" s="312" t="str">
        <f>Translate!$E$409</f>
        <v>Economic limit year based on cashflows</v>
      </c>
      <c r="F115" s="312">
        <f ca="1" xml:space="preserve"> INDEX(K112:AX112, MATCH(1, K113:AX113, 0))</f>
        <v>2041</v>
      </c>
      <c r="G115" s="312" t="str">
        <f xml:space="preserve"> Translate!E$365</f>
        <v>Year</v>
      </c>
      <c r="H115" s="312"/>
      <c r="I115" s="312"/>
      <c r="J115" s="312"/>
      <c r="K115" s="312"/>
      <c r="L115" s="312"/>
      <c r="M115" s="312"/>
      <c r="N115" s="312"/>
      <c r="O115" s="312"/>
      <c r="P115" s="312"/>
      <c r="Q115" s="312"/>
      <c r="R115" s="312"/>
      <c r="S115" s="312"/>
      <c r="T115" s="312"/>
      <c r="U115" s="312"/>
      <c r="V115" s="312"/>
      <c r="W115" s="312"/>
      <c r="X115" s="312"/>
      <c r="Y115" s="312"/>
      <c r="Z115" s="312"/>
      <c r="AA115" s="312"/>
      <c r="AB115" s="312"/>
      <c r="AC115" s="312"/>
      <c r="AD115" s="312"/>
      <c r="AE115" s="312"/>
      <c r="AF115" s="312"/>
      <c r="AG115" s="312"/>
      <c r="AH115" s="312"/>
      <c r="AI115" s="312"/>
      <c r="AJ115" s="312"/>
      <c r="AK115" s="312"/>
      <c r="AL115" s="312"/>
      <c r="AM115" s="312"/>
      <c r="AN115" s="312"/>
      <c r="AO115" s="312"/>
      <c r="AP115" s="312"/>
      <c r="AQ115" s="312"/>
      <c r="AR115" s="312"/>
      <c r="AS115" s="312"/>
      <c r="AT115" s="312"/>
      <c r="AU115" s="312"/>
      <c r="AV115" s="312"/>
      <c r="AW115" s="312"/>
      <c r="AX115" s="312"/>
    </row>
    <row r="116" spans="1:50" s="315" customFormat="1" ht="15" customHeight="1">
      <c r="A116" s="534"/>
      <c r="C116" s="536"/>
      <c r="D116" s="312"/>
      <c r="E116" s="531" t="str">
        <f>Translate!$E$410</f>
        <v>Project economic limit</v>
      </c>
      <c r="F116" s="531">
        <f ca="1" xml:space="preserve"> MAX(F115, F104)</f>
        <v>2041</v>
      </c>
      <c r="G116" s="531" t="str">
        <f xml:space="preserve"> Translate!E$365</f>
        <v>Year</v>
      </c>
      <c r="H116" s="312"/>
      <c r="I116" s="312"/>
      <c r="J116" s="312"/>
      <c r="K116" s="312"/>
      <c r="L116" s="312"/>
      <c r="M116" s="312"/>
      <c r="N116" s="312"/>
      <c r="O116" s="312"/>
      <c r="P116" s="312"/>
      <c r="Q116" s="312"/>
      <c r="R116" s="312"/>
      <c r="S116" s="312"/>
      <c r="T116" s="312"/>
      <c r="U116" s="312"/>
      <c r="V116" s="312"/>
      <c r="W116" s="312"/>
      <c r="X116" s="312"/>
      <c r="Y116" s="312"/>
      <c r="Z116" s="312"/>
      <c r="AA116" s="312"/>
      <c r="AB116" s="312"/>
      <c r="AC116" s="312"/>
      <c r="AD116" s="312"/>
      <c r="AE116" s="312"/>
      <c r="AF116" s="312"/>
      <c r="AG116" s="312"/>
      <c r="AH116" s="312"/>
      <c r="AI116" s="312"/>
      <c r="AJ116" s="312"/>
      <c r="AK116" s="312"/>
      <c r="AL116" s="312"/>
      <c r="AM116" s="312"/>
      <c r="AN116" s="312"/>
      <c r="AO116" s="312"/>
      <c r="AP116" s="312"/>
      <c r="AQ116" s="312"/>
      <c r="AR116" s="312"/>
      <c r="AS116" s="312"/>
      <c r="AT116" s="312"/>
      <c r="AU116" s="312"/>
      <c r="AV116" s="312"/>
      <c r="AW116" s="312"/>
      <c r="AX116" s="312"/>
    </row>
    <row r="117" spans="1:50" ht="15" customHeight="1"/>
    <row r="118" spans="1:50" ht="15" customHeight="1">
      <c r="E118" s="34" t="str">
        <f xml:space="preserve"> Inputs!E$40</f>
        <v>ELT applies</v>
      </c>
      <c r="F118" s="198" t="str">
        <f xml:space="preserve"> Inputs!F$40</f>
        <v>yes</v>
      </c>
      <c r="G118" s="34" t="str">
        <f xml:space="preserve"> Inputs!G$40</f>
        <v>Option</v>
      </c>
    </row>
    <row r="119" spans="1:50" ht="15" customHeight="1">
      <c r="E119" s="34" t="str">
        <f xml:space="preserve"> Inputs!E$81</f>
        <v>Label: yes</v>
      </c>
      <c r="F119" s="198" t="str">
        <f xml:space="preserve"> Inputs!F$81</f>
        <v>yes</v>
      </c>
      <c r="G119" s="34" t="str">
        <f xml:space="preserve"> Inputs!G$81</f>
        <v>Label</v>
      </c>
    </row>
    <row r="120" spans="1:50" s="315" customFormat="1" ht="15" customHeight="1">
      <c r="A120" s="534"/>
      <c r="C120" s="536"/>
      <c r="D120" s="312"/>
      <c r="E120" s="312" t="str">
        <f>Translate!$E$410</f>
        <v>Project economic limit</v>
      </c>
      <c r="F120" s="312"/>
      <c r="G120" s="312" t="str">
        <f xml:space="preserve"> Translate!E$586</f>
        <v>Flag</v>
      </c>
      <c r="H120" s="312"/>
      <c r="I120" s="312">
        <f ca="1" xml:space="preserve"> SUM(K120:BH120)</f>
        <v>21</v>
      </c>
      <c r="J120" s="312"/>
      <c r="K120" s="312">
        <f ca="1">IF( $F118 = $F119, (K112 &lt;= $F116) * 1, 1)</f>
        <v>1</v>
      </c>
      <c r="L120" s="312">
        <f t="shared" ref="L120:AX120" ca="1" si="37">IF( $F118 = $F119, (L112 &lt;= $F116) * 1, 1)</f>
        <v>1</v>
      </c>
      <c r="M120" s="312">
        <f t="shared" ca="1" si="37"/>
        <v>1</v>
      </c>
      <c r="N120" s="312">
        <f t="shared" ca="1" si="37"/>
        <v>1</v>
      </c>
      <c r="O120" s="312">
        <f t="shared" ca="1" si="37"/>
        <v>1</v>
      </c>
      <c r="P120" s="312">
        <f t="shared" ca="1" si="37"/>
        <v>1</v>
      </c>
      <c r="Q120" s="312">
        <f t="shared" ca="1" si="37"/>
        <v>1</v>
      </c>
      <c r="R120" s="312">
        <f t="shared" ca="1" si="37"/>
        <v>1</v>
      </c>
      <c r="S120" s="312">
        <f t="shared" ca="1" si="37"/>
        <v>1</v>
      </c>
      <c r="T120" s="312">
        <f t="shared" ca="1" si="37"/>
        <v>1</v>
      </c>
      <c r="U120" s="312">
        <f t="shared" ca="1" si="37"/>
        <v>1</v>
      </c>
      <c r="V120" s="312">
        <f t="shared" ca="1" si="37"/>
        <v>1</v>
      </c>
      <c r="W120" s="312">
        <f t="shared" ca="1" si="37"/>
        <v>1</v>
      </c>
      <c r="X120" s="312">
        <f t="shared" ca="1" si="37"/>
        <v>1</v>
      </c>
      <c r="Y120" s="312">
        <f t="shared" ca="1" si="37"/>
        <v>1</v>
      </c>
      <c r="Z120" s="312">
        <f t="shared" ca="1" si="37"/>
        <v>1</v>
      </c>
      <c r="AA120" s="312">
        <f t="shared" ca="1" si="37"/>
        <v>1</v>
      </c>
      <c r="AB120" s="312">
        <f t="shared" ca="1" si="37"/>
        <v>1</v>
      </c>
      <c r="AC120" s="312">
        <f t="shared" ca="1" si="37"/>
        <v>1</v>
      </c>
      <c r="AD120" s="312">
        <f t="shared" ca="1" si="37"/>
        <v>1</v>
      </c>
      <c r="AE120" s="312">
        <f t="shared" ca="1" si="37"/>
        <v>1</v>
      </c>
      <c r="AF120" s="312">
        <f t="shared" ca="1" si="37"/>
        <v>0</v>
      </c>
      <c r="AG120" s="312">
        <f t="shared" ca="1" si="37"/>
        <v>0</v>
      </c>
      <c r="AH120" s="312">
        <f t="shared" ca="1" si="37"/>
        <v>0</v>
      </c>
      <c r="AI120" s="312">
        <f t="shared" ca="1" si="37"/>
        <v>0</v>
      </c>
      <c r="AJ120" s="312">
        <f t="shared" ca="1" si="37"/>
        <v>0</v>
      </c>
      <c r="AK120" s="312">
        <f t="shared" ca="1" si="37"/>
        <v>0</v>
      </c>
      <c r="AL120" s="312">
        <f t="shared" ca="1" si="37"/>
        <v>0</v>
      </c>
      <c r="AM120" s="312">
        <f t="shared" ca="1" si="37"/>
        <v>0</v>
      </c>
      <c r="AN120" s="312">
        <f t="shared" ca="1" si="37"/>
        <v>0</v>
      </c>
      <c r="AO120" s="312">
        <f t="shared" ca="1" si="37"/>
        <v>0</v>
      </c>
      <c r="AP120" s="312">
        <f t="shared" ca="1" si="37"/>
        <v>0</v>
      </c>
      <c r="AQ120" s="312">
        <f t="shared" ca="1" si="37"/>
        <v>0</v>
      </c>
      <c r="AR120" s="312">
        <f t="shared" ca="1" si="37"/>
        <v>0</v>
      </c>
      <c r="AS120" s="312">
        <f t="shared" ca="1" si="37"/>
        <v>0</v>
      </c>
      <c r="AT120" s="312">
        <f t="shared" ca="1" si="37"/>
        <v>0</v>
      </c>
      <c r="AU120" s="312">
        <f t="shared" ca="1" si="37"/>
        <v>0</v>
      </c>
      <c r="AV120" s="312">
        <f t="shared" ca="1" si="37"/>
        <v>0</v>
      </c>
      <c r="AW120" s="312">
        <f t="shared" ca="1" si="37"/>
        <v>0</v>
      </c>
      <c r="AX120" s="312">
        <f t="shared" ca="1" si="37"/>
        <v>0</v>
      </c>
    </row>
    <row r="121" spans="1:50" ht="15" customHeight="1"/>
    <row r="122" spans="1:50" ht="15" customHeight="1">
      <c r="B122" s="172" t="str">
        <f>Translate!$E$382</f>
        <v>Reschedule decommissioning costs</v>
      </c>
    </row>
    <row r="123" spans="1:50" s="315" customFormat="1" ht="15" customHeight="1">
      <c r="A123" s="534"/>
      <c r="C123" s="536"/>
      <c r="D123" s="312"/>
      <c r="E123" s="312" t="str">
        <f>E$48</f>
        <v>Model calendar years</v>
      </c>
      <c r="F123" s="312">
        <f t="shared" ref="F123:AX123" si="38">F$48</f>
        <v>0</v>
      </c>
      <c r="G123" s="312" t="str">
        <f t="shared" si="38"/>
        <v>Years</v>
      </c>
      <c r="H123" s="312">
        <f t="shared" si="38"/>
        <v>0</v>
      </c>
      <c r="I123" s="312">
        <f t="shared" si="38"/>
        <v>0</v>
      </c>
      <c r="J123" s="312">
        <f t="shared" si="38"/>
        <v>0</v>
      </c>
      <c r="K123" s="312">
        <f t="shared" si="38"/>
        <v>2021</v>
      </c>
      <c r="L123" s="312">
        <f t="shared" si="38"/>
        <v>2022</v>
      </c>
      <c r="M123" s="312">
        <f t="shared" si="38"/>
        <v>2023</v>
      </c>
      <c r="N123" s="312">
        <f t="shared" si="38"/>
        <v>2024</v>
      </c>
      <c r="O123" s="312">
        <f t="shared" si="38"/>
        <v>2025</v>
      </c>
      <c r="P123" s="312">
        <f t="shared" si="38"/>
        <v>2026</v>
      </c>
      <c r="Q123" s="312">
        <f t="shared" si="38"/>
        <v>2027</v>
      </c>
      <c r="R123" s="312">
        <f t="shared" si="38"/>
        <v>2028</v>
      </c>
      <c r="S123" s="312">
        <f t="shared" si="38"/>
        <v>2029</v>
      </c>
      <c r="T123" s="312">
        <f t="shared" si="38"/>
        <v>2030</v>
      </c>
      <c r="U123" s="312">
        <f t="shared" si="38"/>
        <v>2031</v>
      </c>
      <c r="V123" s="312">
        <f t="shared" si="38"/>
        <v>2032</v>
      </c>
      <c r="W123" s="312">
        <f t="shared" si="38"/>
        <v>2033</v>
      </c>
      <c r="X123" s="312">
        <f t="shared" si="38"/>
        <v>2034</v>
      </c>
      <c r="Y123" s="312">
        <f t="shared" si="38"/>
        <v>2035</v>
      </c>
      <c r="Z123" s="312">
        <f t="shared" si="38"/>
        <v>2036</v>
      </c>
      <c r="AA123" s="312">
        <f t="shared" si="38"/>
        <v>2037</v>
      </c>
      <c r="AB123" s="312">
        <f t="shared" si="38"/>
        <v>2038</v>
      </c>
      <c r="AC123" s="312">
        <f t="shared" si="38"/>
        <v>2039</v>
      </c>
      <c r="AD123" s="312">
        <f t="shared" si="38"/>
        <v>2040</v>
      </c>
      <c r="AE123" s="312">
        <f t="shared" si="38"/>
        <v>2041</v>
      </c>
      <c r="AF123" s="312">
        <f t="shared" si="38"/>
        <v>2042</v>
      </c>
      <c r="AG123" s="312">
        <f t="shared" si="38"/>
        <v>2043</v>
      </c>
      <c r="AH123" s="312">
        <f t="shared" si="38"/>
        <v>2044</v>
      </c>
      <c r="AI123" s="312">
        <f t="shared" si="38"/>
        <v>2045</v>
      </c>
      <c r="AJ123" s="312">
        <f t="shared" si="38"/>
        <v>2046</v>
      </c>
      <c r="AK123" s="312">
        <f t="shared" si="38"/>
        <v>2047</v>
      </c>
      <c r="AL123" s="312">
        <f t="shared" si="38"/>
        <v>2048</v>
      </c>
      <c r="AM123" s="312">
        <f t="shared" si="38"/>
        <v>2049</v>
      </c>
      <c r="AN123" s="312">
        <f t="shared" si="38"/>
        <v>2050</v>
      </c>
      <c r="AO123" s="312">
        <f t="shared" si="38"/>
        <v>2051</v>
      </c>
      <c r="AP123" s="312">
        <f t="shared" si="38"/>
        <v>2052</v>
      </c>
      <c r="AQ123" s="312">
        <f t="shared" si="38"/>
        <v>2053</v>
      </c>
      <c r="AR123" s="312">
        <f t="shared" si="38"/>
        <v>2054</v>
      </c>
      <c r="AS123" s="312">
        <f t="shared" si="38"/>
        <v>2055</v>
      </c>
      <c r="AT123" s="312">
        <f t="shared" si="38"/>
        <v>2056</v>
      </c>
      <c r="AU123" s="312">
        <f t="shared" si="38"/>
        <v>2057</v>
      </c>
      <c r="AV123" s="312">
        <f t="shared" si="38"/>
        <v>2058</v>
      </c>
      <c r="AW123" s="312">
        <f t="shared" si="38"/>
        <v>2059</v>
      </c>
      <c r="AX123" s="312">
        <f t="shared" si="38"/>
        <v>2060</v>
      </c>
    </row>
    <row r="124" spans="1:50" ht="15" customHeight="1">
      <c r="A124" s="73"/>
      <c r="B124" s="141"/>
      <c r="C124" s="75"/>
      <c r="D124" s="131"/>
      <c r="E124" s="45" t="str">
        <f xml:space="preserve"> E$70</f>
        <v>Decommissioning costs</v>
      </c>
      <c r="F124" s="45">
        <f t="shared" ref="F124:AX124" si="39" xml:space="preserve"> F$96</f>
        <v>0</v>
      </c>
      <c r="G124" s="45" t="str">
        <f t="shared" si="39"/>
        <v>US$ mn 2021</v>
      </c>
      <c r="H124" s="45">
        <f t="shared" si="39"/>
        <v>0</v>
      </c>
      <c r="I124" s="45">
        <f t="shared" ca="1" si="39"/>
        <v>20</v>
      </c>
      <c r="J124" s="45">
        <f t="shared" si="39"/>
        <v>0</v>
      </c>
      <c r="K124" s="45">
        <f t="shared" ca="1" si="39"/>
        <v>0</v>
      </c>
      <c r="L124" s="45">
        <f t="shared" ca="1" si="39"/>
        <v>0</v>
      </c>
      <c r="M124" s="45">
        <f t="shared" ca="1" si="39"/>
        <v>0</v>
      </c>
      <c r="N124" s="45">
        <f t="shared" ca="1" si="39"/>
        <v>0</v>
      </c>
      <c r="O124" s="45">
        <f t="shared" ca="1" si="39"/>
        <v>0</v>
      </c>
      <c r="P124" s="45">
        <f t="shared" ca="1" si="39"/>
        <v>0</v>
      </c>
      <c r="Q124" s="45">
        <f t="shared" ca="1" si="39"/>
        <v>0</v>
      </c>
      <c r="R124" s="45">
        <f t="shared" ca="1" si="39"/>
        <v>0</v>
      </c>
      <c r="S124" s="45">
        <f t="shared" ca="1" si="39"/>
        <v>0</v>
      </c>
      <c r="T124" s="45">
        <f t="shared" ca="1" si="39"/>
        <v>0</v>
      </c>
      <c r="U124" s="45">
        <f t="shared" ca="1" si="39"/>
        <v>0</v>
      </c>
      <c r="V124" s="45">
        <f t="shared" ca="1" si="39"/>
        <v>0</v>
      </c>
      <c r="W124" s="45">
        <f t="shared" ca="1" si="39"/>
        <v>0</v>
      </c>
      <c r="X124" s="45">
        <f t="shared" ca="1" si="39"/>
        <v>0</v>
      </c>
      <c r="Y124" s="45">
        <f t="shared" ca="1" si="39"/>
        <v>0</v>
      </c>
      <c r="Z124" s="45">
        <f t="shared" ca="1" si="39"/>
        <v>0</v>
      </c>
      <c r="AA124" s="45">
        <f t="shared" ca="1" si="39"/>
        <v>0</v>
      </c>
      <c r="AB124" s="45">
        <f t="shared" ca="1" si="39"/>
        <v>0</v>
      </c>
      <c r="AC124" s="45">
        <f t="shared" ca="1" si="39"/>
        <v>0</v>
      </c>
      <c r="AD124" s="45">
        <f t="shared" ca="1" si="39"/>
        <v>0</v>
      </c>
      <c r="AE124" s="45">
        <f t="shared" ca="1" si="39"/>
        <v>0</v>
      </c>
      <c r="AF124" s="45">
        <f t="shared" ca="1" si="39"/>
        <v>20</v>
      </c>
      <c r="AG124" s="45">
        <f t="shared" ca="1" si="39"/>
        <v>0</v>
      </c>
      <c r="AH124" s="45">
        <f t="shared" ca="1" si="39"/>
        <v>0</v>
      </c>
      <c r="AI124" s="45">
        <f t="shared" ca="1" si="39"/>
        <v>0</v>
      </c>
      <c r="AJ124" s="45">
        <f t="shared" ca="1" si="39"/>
        <v>0</v>
      </c>
      <c r="AK124" s="45">
        <f t="shared" ca="1" si="39"/>
        <v>0</v>
      </c>
      <c r="AL124" s="45">
        <f t="shared" ca="1" si="39"/>
        <v>0</v>
      </c>
      <c r="AM124" s="45">
        <f t="shared" ca="1" si="39"/>
        <v>0</v>
      </c>
      <c r="AN124" s="45">
        <f t="shared" ca="1" si="39"/>
        <v>0</v>
      </c>
      <c r="AO124" s="45">
        <f t="shared" ca="1" si="39"/>
        <v>0</v>
      </c>
      <c r="AP124" s="45">
        <f t="shared" ca="1" si="39"/>
        <v>0</v>
      </c>
      <c r="AQ124" s="45">
        <f t="shared" ca="1" si="39"/>
        <v>0</v>
      </c>
      <c r="AR124" s="45">
        <f t="shared" ca="1" si="39"/>
        <v>0</v>
      </c>
      <c r="AS124" s="45">
        <f t="shared" ca="1" si="39"/>
        <v>0</v>
      </c>
      <c r="AT124" s="45">
        <f t="shared" ca="1" si="39"/>
        <v>0</v>
      </c>
      <c r="AU124" s="45">
        <f t="shared" ca="1" si="39"/>
        <v>0</v>
      </c>
      <c r="AV124" s="45">
        <f t="shared" ca="1" si="39"/>
        <v>0</v>
      </c>
      <c r="AW124" s="45">
        <f t="shared" ca="1" si="39"/>
        <v>0</v>
      </c>
      <c r="AX124" s="45">
        <f t="shared" ca="1" si="39"/>
        <v>0</v>
      </c>
    </row>
    <row r="125" spans="1:50" ht="15" customHeight="1">
      <c r="A125" s="73"/>
      <c r="B125" s="141"/>
      <c r="C125" s="75"/>
      <c r="D125" s="131"/>
      <c r="E125" s="45" t="str">
        <f xml:space="preserve"> E124 &amp; " " &amp; Translate!$E$440</f>
        <v>Decommissioning costs incurred before ELT reached</v>
      </c>
      <c r="F125" s="45"/>
      <c r="G125" s="45" t="str">
        <f xml:space="preserve"> G$96</f>
        <v>US$ mn 2021</v>
      </c>
      <c r="H125" s="45"/>
      <c r="I125" s="45">
        <f ca="1" xml:space="preserve"> SUM(K125:AX125)</f>
        <v>0</v>
      </c>
      <c r="J125" s="45"/>
      <c r="K125" s="45">
        <f ca="1" xml:space="preserve"> K124 * K120</f>
        <v>0</v>
      </c>
      <c r="L125" s="45">
        <f t="shared" ref="L125:AX125" ca="1" si="40" xml:space="preserve"> L124 * L120</f>
        <v>0</v>
      </c>
      <c r="M125" s="45">
        <f t="shared" ca="1" si="40"/>
        <v>0</v>
      </c>
      <c r="N125" s="45">
        <f t="shared" ca="1" si="40"/>
        <v>0</v>
      </c>
      <c r="O125" s="45">
        <f t="shared" ca="1" si="40"/>
        <v>0</v>
      </c>
      <c r="P125" s="45">
        <f t="shared" ca="1" si="40"/>
        <v>0</v>
      </c>
      <c r="Q125" s="45">
        <f t="shared" ca="1" si="40"/>
        <v>0</v>
      </c>
      <c r="R125" s="45">
        <f t="shared" ca="1" si="40"/>
        <v>0</v>
      </c>
      <c r="S125" s="45">
        <f t="shared" ca="1" si="40"/>
        <v>0</v>
      </c>
      <c r="T125" s="45">
        <f t="shared" ca="1" si="40"/>
        <v>0</v>
      </c>
      <c r="U125" s="45">
        <f t="shared" ca="1" si="40"/>
        <v>0</v>
      </c>
      <c r="V125" s="45">
        <f t="shared" ca="1" si="40"/>
        <v>0</v>
      </c>
      <c r="W125" s="45">
        <f t="shared" ca="1" si="40"/>
        <v>0</v>
      </c>
      <c r="X125" s="45">
        <f t="shared" ca="1" si="40"/>
        <v>0</v>
      </c>
      <c r="Y125" s="45">
        <f t="shared" ca="1" si="40"/>
        <v>0</v>
      </c>
      <c r="Z125" s="45">
        <f t="shared" ca="1" si="40"/>
        <v>0</v>
      </c>
      <c r="AA125" s="45">
        <f t="shared" ca="1" si="40"/>
        <v>0</v>
      </c>
      <c r="AB125" s="45">
        <f t="shared" ca="1" si="40"/>
        <v>0</v>
      </c>
      <c r="AC125" s="45">
        <f t="shared" ca="1" si="40"/>
        <v>0</v>
      </c>
      <c r="AD125" s="45">
        <f t="shared" ca="1" si="40"/>
        <v>0</v>
      </c>
      <c r="AE125" s="45">
        <f t="shared" ca="1" si="40"/>
        <v>0</v>
      </c>
      <c r="AF125" s="45">
        <f t="shared" ca="1" si="40"/>
        <v>0</v>
      </c>
      <c r="AG125" s="45">
        <f t="shared" ca="1" si="40"/>
        <v>0</v>
      </c>
      <c r="AH125" s="45">
        <f t="shared" ca="1" si="40"/>
        <v>0</v>
      </c>
      <c r="AI125" s="45">
        <f t="shared" ca="1" si="40"/>
        <v>0</v>
      </c>
      <c r="AJ125" s="45">
        <f t="shared" ca="1" si="40"/>
        <v>0</v>
      </c>
      <c r="AK125" s="45">
        <f t="shared" ca="1" si="40"/>
        <v>0</v>
      </c>
      <c r="AL125" s="45">
        <f t="shared" ca="1" si="40"/>
        <v>0</v>
      </c>
      <c r="AM125" s="45">
        <f t="shared" ca="1" si="40"/>
        <v>0</v>
      </c>
      <c r="AN125" s="45">
        <f t="shared" ca="1" si="40"/>
        <v>0</v>
      </c>
      <c r="AO125" s="45">
        <f t="shared" ca="1" si="40"/>
        <v>0</v>
      </c>
      <c r="AP125" s="45">
        <f t="shared" ca="1" si="40"/>
        <v>0</v>
      </c>
      <c r="AQ125" s="45">
        <f t="shared" ca="1" si="40"/>
        <v>0</v>
      </c>
      <c r="AR125" s="45">
        <f t="shared" ca="1" si="40"/>
        <v>0</v>
      </c>
      <c r="AS125" s="45">
        <f t="shared" ca="1" si="40"/>
        <v>0</v>
      </c>
      <c r="AT125" s="45">
        <f t="shared" ca="1" si="40"/>
        <v>0</v>
      </c>
      <c r="AU125" s="45">
        <f t="shared" ca="1" si="40"/>
        <v>0</v>
      </c>
      <c r="AV125" s="45">
        <f t="shared" ca="1" si="40"/>
        <v>0</v>
      </c>
      <c r="AW125" s="45">
        <f t="shared" ca="1" si="40"/>
        <v>0</v>
      </c>
      <c r="AX125" s="45">
        <f t="shared" ca="1" si="40"/>
        <v>0</v>
      </c>
    </row>
    <row r="126" spans="1:50" ht="15" customHeight="1">
      <c r="A126" s="73"/>
      <c r="B126" s="141"/>
      <c r="C126" s="75"/>
      <c r="D126" s="131"/>
      <c r="E126" s="45" t="str">
        <f>Translate!$E$411</f>
        <v>Decommissioning costs incurred after ELT year</v>
      </c>
      <c r="F126" s="45"/>
      <c r="G126" s="45" t="str">
        <f xml:space="preserve"> G$96</f>
        <v>US$ mn 2021</v>
      </c>
      <c r="H126" s="45"/>
      <c r="I126" s="45">
        <f ca="1" xml:space="preserve"> SUM(K126:AX126)</f>
        <v>20</v>
      </c>
      <c r="J126" s="45"/>
      <c r="K126" s="45">
        <f ca="1" xml:space="preserve"> K124 * ( K120 = 0)</f>
        <v>0</v>
      </c>
      <c r="L126" s="45">
        <f t="shared" ref="L126:AX126" ca="1" si="41" xml:space="preserve"> L124 * ( L120 = 0)</f>
        <v>0</v>
      </c>
      <c r="M126" s="45">
        <f t="shared" ca="1" si="41"/>
        <v>0</v>
      </c>
      <c r="N126" s="45">
        <f t="shared" ca="1" si="41"/>
        <v>0</v>
      </c>
      <c r="O126" s="45">
        <f t="shared" ca="1" si="41"/>
        <v>0</v>
      </c>
      <c r="P126" s="45">
        <f t="shared" ca="1" si="41"/>
        <v>0</v>
      </c>
      <c r="Q126" s="45">
        <f t="shared" ca="1" si="41"/>
        <v>0</v>
      </c>
      <c r="R126" s="45">
        <f t="shared" ca="1" si="41"/>
        <v>0</v>
      </c>
      <c r="S126" s="45">
        <f t="shared" ca="1" si="41"/>
        <v>0</v>
      </c>
      <c r="T126" s="45">
        <f t="shared" ca="1" si="41"/>
        <v>0</v>
      </c>
      <c r="U126" s="45">
        <f t="shared" ca="1" si="41"/>
        <v>0</v>
      </c>
      <c r="V126" s="45">
        <f t="shared" ca="1" si="41"/>
        <v>0</v>
      </c>
      <c r="W126" s="45">
        <f t="shared" ca="1" si="41"/>
        <v>0</v>
      </c>
      <c r="X126" s="45">
        <f t="shared" ca="1" si="41"/>
        <v>0</v>
      </c>
      <c r="Y126" s="45">
        <f t="shared" ca="1" si="41"/>
        <v>0</v>
      </c>
      <c r="Z126" s="45">
        <f t="shared" ca="1" si="41"/>
        <v>0</v>
      </c>
      <c r="AA126" s="45">
        <f t="shared" ca="1" si="41"/>
        <v>0</v>
      </c>
      <c r="AB126" s="45">
        <f t="shared" ca="1" si="41"/>
        <v>0</v>
      </c>
      <c r="AC126" s="45">
        <f t="shared" ca="1" si="41"/>
        <v>0</v>
      </c>
      <c r="AD126" s="45">
        <f t="shared" ca="1" si="41"/>
        <v>0</v>
      </c>
      <c r="AE126" s="45">
        <f t="shared" ca="1" si="41"/>
        <v>0</v>
      </c>
      <c r="AF126" s="45">
        <f t="shared" ca="1" si="41"/>
        <v>20</v>
      </c>
      <c r="AG126" s="45">
        <f t="shared" ca="1" si="41"/>
        <v>0</v>
      </c>
      <c r="AH126" s="45">
        <f t="shared" ca="1" si="41"/>
        <v>0</v>
      </c>
      <c r="AI126" s="45">
        <f t="shared" ca="1" si="41"/>
        <v>0</v>
      </c>
      <c r="AJ126" s="45">
        <f t="shared" ca="1" si="41"/>
        <v>0</v>
      </c>
      <c r="AK126" s="45">
        <f t="shared" ca="1" si="41"/>
        <v>0</v>
      </c>
      <c r="AL126" s="45">
        <f t="shared" ca="1" si="41"/>
        <v>0</v>
      </c>
      <c r="AM126" s="45">
        <f t="shared" ca="1" si="41"/>
        <v>0</v>
      </c>
      <c r="AN126" s="45">
        <f t="shared" ca="1" si="41"/>
        <v>0</v>
      </c>
      <c r="AO126" s="45">
        <f t="shared" ca="1" si="41"/>
        <v>0</v>
      </c>
      <c r="AP126" s="45">
        <f t="shared" ca="1" si="41"/>
        <v>0</v>
      </c>
      <c r="AQ126" s="45">
        <f t="shared" ca="1" si="41"/>
        <v>0</v>
      </c>
      <c r="AR126" s="45">
        <f t="shared" ca="1" si="41"/>
        <v>0</v>
      </c>
      <c r="AS126" s="45">
        <f t="shared" ca="1" si="41"/>
        <v>0</v>
      </c>
      <c r="AT126" s="45">
        <f t="shared" ca="1" si="41"/>
        <v>0</v>
      </c>
      <c r="AU126" s="45">
        <f t="shared" ca="1" si="41"/>
        <v>0</v>
      </c>
      <c r="AV126" s="45">
        <f t="shared" ca="1" si="41"/>
        <v>0</v>
      </c>
      <c r="AW126" s="45">
        <f t="shared" ca="1" si="41"/>
        <v>0</v>
      </c>
      <c r="AX126" s="45">
        <f t="shared" ca="1" si="41"/>
        <v>0</v>
      </c>
    </row>
    <row r="127" spans="1:50" ht="15" customHeight="1"/>
    <row r="128" spans="1:50" s="315" customFormat="1" ht="15" customHeight="1">
      <c r="A128" s="534"/>
      <c r="C128" s="536"/>
      <c r="D128" s="312"/>
      <c r="E128" s="312" t="str">
        <f>E$48</f>
        <v>Model calendar years</v>
      </c>
      <c r="F128" s="312">
        <f t="shared" ref="F128:AX128" si="42">F$48</f>
        <v>0</v>
      </c>
      <c r="G128" s="312" t="str">
        <f t="shared" si="42"/>
        <v>Years</v>
      </c>
      <c r="H128" s="312">
        <f t="shared" si="42"/>
        <v>0</v>
      </c>
      <c r="I128" s="312">
        <f t="shared" si="42"/>
        <v>0</v>
      </c>
      <c r="J128" s="312">
        <f t="shared" si="42"/>
        <v>0</v>
      </c>
      <c r="K128" s="312">
        <f t="shared" si="42"/>
        <v>2021</v>
      </c>
      <c r="L128" s="312">
        <f t="shared" si="42"/>
        <v>2022</v>
      </c>
      <c r="M128" s="312">
        <f t="shared" si="42"/>
        <v>2023</v>
      </c>
      <c r="N128" s="312">
        <f t="shared" si="42"/>
        <v>2024</v>
      </c>
      <c r="O128" s="312">
        <f t="shared" si="42"/>
        <v>2025</v>
      </c>
      <c r="P128" s="312">
        <f t="shared" si="42"/>
        <v>2026</v>
      </c>
      <c r="Q128" s="312">
        <f t="shared" si="42"/>
        <v>2027</v>
      </c>
      <c r="R128" s="312">
        <f t="shared" si="42"/>
        <v>2028</v>
      </c>
      <c r="S128" s="312">
        <f t="shared" si="42"/>
        <v>2029</v>
      </c>
      <c r="T128" s="312">
        <f t="shared" si="42"/>
        <v>2030</v>
      </c>
      <c r="U128" s="312">
        <f t="shared" si="42"/>
        <v>2031</v>
      </c>
      <c r="V128" s="312">
        <f t="shared" si="42"/>
        <v>2032</v>
      </c>
      <c r="W128" s="312">
        <f t="shared" si="42"/>
        <v>2033</v>
      </c>
      <c r="X128" s="312">
        <f t="shared" si="42"/>
        <v>2034</v>
      </c>
      <c r="Y128" s="312">
        <f t="shared" si="42"/>
        <v>2035</v>
      </c>
      <c r="Z128" s="312">
        <f t="shared" si="42"/>
        <v>2036</v>
      </c>
      <c r="AA128" s="312">
        <f t="shared" si="42"/>
        <v>2037</v>
      </c>
      <c r="AB128" s="312">
        <f t="shared" si="42"/>
        <v>2038</v>
      </c>
      <c r="AC128" s="312">
        <f t="shared" si="42"/>
        <v>2039</v>
      </c>
      <c r="AD128" s="312">
        <f t="shared" si="42"/>
        <v>2040</v>
      </c>
      <c r="AE128" s="312">
        <f t="shared" si="42"/>
        <v>2041</v>
      </c>
      <c r="AF128" s="312">
        <f t="shared" si="42"/>
        <v>2042</v>
      </c>
      <c r="AG128" s="312">
        <f t="shared" si="42"/>
        <v>2043</v>
      </c>
      <c r="AH128" s="312">
        <f t="shared" si="42"/>
        <v>2044</v>
      </c>
      <c r="AI128" s="312">
        <f t="shared" si="42"/>
        <v>2045</v>
      </c>
      <c r="AJ128" s="312">
        <f t="shared" si="42"/>
        <v>2046</v>
      </c>
      <c r="AK128" s="312">
        <f t="shared" si="42"/>
        <v>2047</v>
      </c>
      <c r="AL128" s="312">
        <f t="shared" si="42"/>
        <v>2048</v>
      </c>
      <c r="AM128" s="312">
        <f t="shared" si="42"/>
        <v>2049</v>
      </c>
      <c r="AN128" s="312">
        <f t="shared" si="42"/>
        <v>2050</v>
      </c>
      <c r="AO128" s="312">
        <f t="shared" si="42"/>
        <v>2051</v>
      </c>
      <c r="AP128" s="312">
        <f t="shared" si="42"/>
        <v>2052</v>
      </c>
      <c r="AQ128" s="312">
        <f t="shared" si="42"/>
        <v>2053</v>
      </c>
      <c r="AR128" s="312">
        <f t="shared" si="42"/>
        <v>2054</v>
      </c>
      <c r="AS128" s="312">
        <f t="shared" si="42"/>
        <v>2055</v>
      </c>
      <c r="AT128" s="312">
        <f t="shared" si="42"/>
        <v>2056</v>
      </c>
      <c r="AU128" s="312">
        <f t="shared" si="42"/>
        <v>2057</v>
      </c>
      <c r="AV128" s="312">
        <f t="shared" si="42"/>
        <v>2058</v>
      </c>
      <c r="AW128" s="312">
        <f t="shared" si="42"/>
        <v>2059</v>
      </c>
      <c r="AX128" s="312">
        <f t="shared" si="42"/>
        <v>2060</v>
      </c>
    </row>
    <row r="129" spans="1:50" s="315" customFormat="1" ht="15" customHeight="1">
      <c r="A129" s="534"/>
      <c r="C129" s="536"/>
      <c r="D129" s="312"/>
      <c r="E129" s="312" t="str">
        <f>Translate!$E$412</f>
        <v>Post-production decommissioning original start year</v>
      </c>
      <c r="F129" s="312">
        <f ca="1" xml:space="preserve"> SUM(K129:AX129)</f>
        <v>2042</v>
      </c>
      <c r="G129" s="312" t="str">
        <f xml:space="preserve"> Translate!E$365</f>
        <v>Year</v>
      </c>
      <c r="H129" s="312"/>
      <c r="I129" s="312"/>
      <c r="J129" s="312"/>
      <c r="K129" s="312">
        <f ca="1" xml:space="preserve"> AND(J126 = 0, K126 &gt; 0 ) * K128 * (SUM($J129:J129) = 0 )</f>
        <v>0</v>
      </c>
      <c r="L129" s="312">
        <f ca="1" xml:space="preserve"> AND(K126 = 0, L126 &gt; 0 ) * L128 * (SUM($J129:K129) = 0 )</f>
        <v>0</v>
      </c>
      <c r="M129" s="312">
        <f ca="1" xml:space="preserve"> AND(L126 = 0, M126 &gt; 0 ) * M128 * (SUM($J129:L129) = 0 )</f>
        <v>0</v>
      </c>
      <c r="N129" s="312">
        <f ca="1" xml:space="preserve"> AND(M126 = 0, N126 &gt; 0 ) * N128 * (SUM($J129:M129) = 0 )</f>
        <v>0</v>
      </c>
      <c r="O129" s="312">
        <f ca="1" xml:space="preserve"> AND(N126 = 0, O126 &gt; 0 ) * O128 * (SUM($J129:N129) = 0 )</f>
        <v>0</v>
      </c>
      <c r="P129" s="312">
        <f ca="1" xml:space="preserve"> AND(O126 = 0, P126 &gt; 0 ) * P128 * (SUM($J129:O129) = 0 )</f>
        <v>0</v>
      </c>
      <c r="Q129" s="312">
        <f ca="1" xml:space="preserve"> AND(P126 = 0, Q126 &gt; 0 ) * Q128 * (SUM($J129:P129) = 0 )</f>
        <v>0</v>
      </c>
      <c r="R129" s="312">
        <f ca="1" xml:space="preserve"> AND(Q126 = 0, R126 &gt; 0 ) * R128 * (SUM($J129:Q129) = 0 )</f>
        <v>0</v>
      </c>
      <c r="S129" s="312">
        <f ca="1" xml:space="preserve"> AND(R126 = 0, S126 &gt; 0 ) * S128 * (SUM($J129:R129) = 0 )</f>
        <v>0</v>
      </c>
      <c r="T129" s="312">
        <f ca="1" xml:space="preserve"> AND(S126 = 0, T126 &gt; 0 ) * T128 * (SUM($J129:S129) = 0 )</f>
        <v>0</v>
      </c>
      <c r="U129" s="312">
        <f ca="1" xml:space="preserve"> AND(T126 = 0, U126 &gt; 0 ) * U128 * (SUM($J129:T129) = 0 )</f>
        <v>0</v>
      </c>
      <c r="V129" s="312">
        <f ca="1" xml:space="preserve"> AND(U126 = 0, V126 &gt; 0 ) * V128 * (SUM($J129:U129) = 0 )</f>
        <v>0</v>
      </c>
      <c r="W129" s="312">
        <f ca="1" xml:space="preserve"> AND(V126 = 0, W126 &gt; 0 ) * W128 * (SUM($J129:V129) = 0 )</f>
        <v>0</v>
      </c>
      <c r="X129" s="312">
        <f ca="1" xml:space="preserve"> AND(W126 = 0, X126 &gt; 0 ) * X128 * (SUM($J129:W129) = 0 )</f>
        <v>0</v>
      </c>
      <c r="Y129" s="312">
        <f ca="1" xml:space="preserve"> AND(X126 = 0, Y126 &gt; 0 ) * Y128 * (SUM($J129:X129) = 0 )</f>
        <v>0</v>
      </c>
      <c r="Z129" s="312">
        <f ca="1" xml:space="preserve"> AND(Y126 = 0, Z126 &gt; 0 ) * Z128 * (SUM($J129:Y129) = 0 )</f>
        <v>0</v>
      </c>
      <c r="AA129" s="312">
        <f ca="1" xml:space="preserve"> AND(Z126 = 0, AA126 &gt; 0 ) * AA128 * (SUM($J129:Z129) = 0 )</f>
        <v>0</v>
      </c>
      <c r="AB129" s="312">
        <f ca="1" xml:space="preserve"> AND(AA126 = 0, AB126 &gt; 0 ) * AB128 * (SUM($J129:AA129) = 0 )</f>
        <v>0</v>
      </c>
      <c r="AC129" s="312">
        <f ca="1" xml:space="preserve"> AND(AB126 = 0, AC126 &gt; 0 ) * AC128 * (SUM($J129:AB129) = 0 )</f>
        <v>0</v>
      </c>
      <c r="AD129" s="312">
        <f ca="1" xml:space="preserve"> AND(AC126 = 0, AD126 &gt; 0 ) * AD128 * (SUM($J129:AC129) = 0 )</f>
        <v>0</v>
      </c>
      <c r="AE129" s="312">
        <f ca="1" xml:space="preserve"> AND(AD126 = 0, AE126 &gt; 0 ) * AE128 * (SUM($J129:AD129) = 0 )</f>
        <v>0</v>
      </c>
      <c r="AF129" s="312">
        <f ca="1" xml:space="preserve"> AND(AE126 = 0, AF126 &gt; 0 ) * AF128 * (SUM($J129:AE129) = 0 )</f>
        <v>2042</v>
      </c>
      <c r="AG129" s="312">
        <f ca="1" xml:space="preserve"> AND(AF126 = 0, AG126 &gt; 0 ) * AG128 * (SUM($J129:AF129) = 0 )</f>
        <v>0</v>
      </c>
      <c r="AH129" s="312">
        <f ca="1" xml:space="preserve"> AND(AG126 = 0, AH126 &gt; 0 ) * AH128 * (SUM($J129:AG129) = 0 )</f>
        <v>0</v>
      </c>
      <c r="AI129" s="312">
        <f ca="1" xml:space="preserve"> AND(AH126 = 0, AI126 &gt; 0 ) * AI128 * (SUM($J129:AH129) = 0 )</f>
        <v>0</v>
      </c>
      <c r="AJ129" s="312">
        <f ca="1" xml:space="preserve"> AND(AI126 = 0, AJ126 &gt; 0 ) * AJ128 * (SUM($J129:AI129) = 0 )</f>
        <v>0</v>
      </c>
      <c r="AK129" s="312">
        <f ca="1" xml:space="preserve"> AND(AJ126 = 0, AK126 &gt; 0 ) * AK128 * (SUM($J129:AJ129) = 0 )</f>
        <v>0</v>
      </c>
      <c r="AL129" s="312">
        <f ca="1" xml:space="preserve"> AND(AK126 = 0, AL126 &gt; 0 ) * AL128 * (SUM($J129:AK129) = 0 )</f>
        <v>0</v>
      </c>
      <c r="AM129" s="312">
        <f ca="1" xml:space="preserve"> AND(AL126 = 0, AM126 &gt; 0 ) * AM128 * (SUM($J129:AL129) = 0 )</f>
        <v>0</v>
      </c>
      <c r="AN129" s="312">
        <f ca="1" xml:space="preserve"> AND(AM126 = 0, AN126 &gt; 0 ) * AN128 * (SUM($J129:AM129) = 0 )</f>
        <v>0</v>
      </c>
      <c r="AO129" s="312">
        <f ca="1" xml:space="preserve"> AND(AN126 = 0, AO126 &gt; 0 ) * AO128 * (SUM($J129:AN129) = 0 )</f>
        <v>0</v>
      </c>
      <c r="AP129" s="312">
        <f ca="1" xml:space="preserve"> AND(AO126 = 0, AP126 &gt; 0 ) * AP128 * (SUM($J129:AO129) = 0 )</f>
        <v>0</v>
      </c>
      <c r="AQ129" s="312">
        <f ca="1" xml:space="preserve"> AND(AP126 = 0, AQ126 &gt; 0 ) * AQ128 * (SUM($J129:AP129) = 0 )</f>
        <v>0</v>
      </c>
      <c r="AR129" s="312">
        <f ca="1" xml:space="preserve"> AND(AQ126 = 0, AR126 &gt; 0 ) * AR128 * (SUM($J129:AQ129) = 0 )</f>
        <v>0</v>
      </c>
      <c r="AS129" s="312">
        <f ca="1" xml:space="preserve"> AND(AR126 = 0, AS126 &gt; 0 ) * AS128 * (SUM($J129:AR129) = 0 )</f>
        <v>0</v>
      </c>
      <c r="AT129" s="312">
        <f ca="1" xml:space="preserve"> AND(AS126 = 0, AT126 &gt; 0 ) * AT128 * (SUM($J129:AS129) = 0 )</f>
        <v>0</v>
      </c>
      <c r="AU129" s="312">
        <f ca="1" xml:space="preserve"> AND(AT126 = 0, AU126 &gt; 0 ) * AU128 * (SUM($J129:AT129) = 0 )</f>
        <v>0</v>
      </c>
      <c r="AV129" s="312">
        <f ca="1" xml:space="preserve"> AND(AU126 = 0, AV126 &gt; 0 ) * AV128 * (SUM($J129:AU129) = 0 )</f>
        <v>0</v>
      </c>
      <c r="AW129" s="312">
        <f ca="1" xml:space="preserve"> AND(AV126 = 0, AW126 &gt; 0 ) * AW128 * (SUM($J129:AV129) = 0 )</f>
        <v>0</v>
      </c>
      <c r="AX129" s="312">
        <f ca="1" xml:space="preserve"> AND(AW126 = 0, AX126 &gt; 0 ) * AX128 * (SUM($J129:AW129) = 0 )</f>
        <v>0</v>
      </c>
    </row>
    <row r="130" spans="1:50" ht="15" customHeight="1">
      <c r="E130" s="781"/>
      <c r="F130" s="781"/>
      <c r="G130" s="781"/>
      <c r="H130" s="781"/>
      <c r="I130" s="781"/>
      <c r="J130" s="781"/>
      <c r="K130" s="781"/>
    </row>
    <row r="131" spans="1:50" s="315" customFormat="1" ht="15" customHeight="1">
      <c r="E131" s="315" t="str">
        <f>E$129</f>
        <v>Post-production decommissioning original start year</v>
      </c>
      <c r="F131" s="315">
        <f ca="1">F$129</f>
        <v>2042</v>
      </c>
      <c r="G131" s="315" t="str">
        <f>G$129</f>
        <v>Year</v>
      </c>
    </row>
    <row r="132" spans="1:50" s="315" customFormat="1" ht="15" customHeight="1">
      <c r="E132" s="315" t="str">
        <f>Translate!$E$413</f>
        <v>Post-production decommissioning start with ELT</v>
      </c>
      <c r="F132" s="315">
        <f ca="1" xml:space="preserve"> F116 + 1</f>
        <v>2042</v>
      </c>
      <c r="G132" s="315" t="str">
        <f xml:space="preserve"> Translate!E$365</f>
        <v>Year</v>
      </c>
    </row>
    <row r="133" spans="1:50" ht="15" customHeight="1">
      <c r="E133" s="66" t="str">
        <f>Translate!$E$414</f>
        <v>EL reached before project end</v>
      </c>
      <c r="F133" s="66">
        <f ca="1" xml:space="preserve"> IF(F118 &lt;&gt; F119, 0, F131 - F132)</f>
        <v>0</v>
      </c>
      <c r="G133" s="66" t="str">
        <f>Translate!$E$358</f>
        <v>Years</v>
      </c>
      <c r="H133" s="304" t="str">
        <f xml:space="preserve"> Translate!E$623</f>
        <v>Zero if ELT off</v>
      </c>
    </row>
    <row r="134" spans="1:50" ht="15" customHeight="1">
      <c r="E134" s="4" t="str">
        <f>E125</f>
        <v>Decommissioning costs incurred before ELT reached</v>
      </c>
      <c r="F134" s="4">
        <f t="shared" ref="F134:AX134" si="43">F125</f>
        <v>0</v>
      </c>
      <c r="G134" s="4" t="str">
        <f t="shared" si="43"/>
        <v>US$ mn 2021</v>
      </c>
      <c r="H134" s="4">
        <f t="shared" si="43"/>
        <v>0</v>
      </c>
      <c r="I134" s="4">
        <f t="shared" ca="1" si="43"/>
        <v>0</v>
      </c>
      <c r="J134" s="4">
        <f t="shared" si="43"/>
        <v>0</v>
      </c>
      <c r="K134" s="4">
        <f t="shared" ca="1" si="43"/>
        <v>0</v>
      </c>
      <c r="L134" s="4">
        <f t="shared" ca="1" si="43"/>
        <v>0</v>
      </c>
      <c r="M134" s="4">
        <f t="shared" ca="1" si="43"/>
        <v>0</v>
      </c>
      <c r="N134" s="4">
        <f t="shared" ca="1" si="43"/>
        <v>0</v>
      </c>
      <c r="O134" s="4">
        <f t="shared" ca="1" si="43"/>
        <v>0</v>
      </c>
      <c r="P134" s="4">
        <f t="shared" ca="1" si="43"/>
        <v>0</v>
      </c>
      <c r="Q134" s="4">
        <f t="shared" ca="1" si="43"/>
        <v>0</v>
      </c>
      <c r="R134" s="4">
        <f t="shared" ca="1" si="43"/>
        <v>0</v>
      </c>
      <c r="S134" s="4">
        <f t="shared" ca="1" si="43"/>
        <v>0</v>
      </c>
      <c r="T134" s="4">
        <f t="shared" ca="1" si="43"/>
        <v>0</v>
      </c>
      <c r="U134" s="4">
        <f t="shared" ca="1" si="43"/>
        <v>0</v>
      </c>
      <c r="V134" s="4">
        <f t="shared" ca="1" si="43"/>
        <v>0</v>
      </c>
      <c r="W134" s="4">
        <f t="shared" ca="1" si="43"/>
        <v>0</v>
      </c>
      <c r="X134" s="4">
        <f t="shared" ca="1" si="43"/>
        <v>0</v>
      </c>
      <c r="Y134" s="4">
        <f t="shared" ca="1" si="43"/>
        <v>0</v>
      </c>
      <c r="Z134" s="4">
        <f t="shared" ca="1" si="43"/>
        <v>0</v>
      </c>
      <c r="AA134" s="4">
        <f t="shared" ca="1" si="43"/>
        <v>0</v>
      </c>
      <c r="AB134" s="4">
        <f t="shared" ca="1" si="43"/>
        <v>0</v>
      </c>
      <c r="AC134" s="4">
        <f t="shared" ca="1" si="43"/>
        <v>0</v>
      </c>
      <c r="AD134" s="4">
        <f t="shared" ca="1" si="43"/>
        <v>0</v>
      </c>
      <c r="AE134" s="4">
        <f t="shared" ca="1" si="43"/>
        <v>0</v>
      </c>
      <c r="AF134" s="4">
        <f t="shared" ca="1" si="43"/>
        <v>0</v>
      </c>
      <c r="AG134" s="4">
        <f t="shared" ca="1" si="43"/>
        <v>0</v>
      </c>
      <c r="AH134" s="4">
        <f t="shared" ca="1" si="43"/>
        <v>0</v>
      </c>
      <c r="AI134" s="4">
        <f t="shared" ca="1" si="43"/>
        <v>0</v>
      </c>
      <c r="AJ134" s="4">
        <f t="shared" ca="1" si="43"/>
        <v>0</v>
      </c>
      <c r="AK134" s="4">
        <f t="shared" ca="1" si="43"/>
        <v>0</v>
      </c>
      <c r="AL134" s="4">
        <f t="shared" ca="1" si="43"/>
        <v>0</v>
      </c>
      <c r="AM134" s="4">
        <f t="shared" ca="1" si="43"/>
        <v>0</v>
      </c>
      <c r="AN134" s="4">
        <f t="shared" ca="1" si="43"/>
        <v>0</v>
      </c>
      <c r="AO134" s="4">
        <f t="shared" ca="1" si="43"/>
        <v>0</v>
      </c>
      <c r="AP134" s="4">
        <f t="shared" ca="1" si="43"/>
        <v>0</v>
      </c>
      <c r="AQ134" s="4">
        <f t="shared" ca="1" si="43"/>
        <v>0</v>
      </c>
      <c r="AR134" s="4">
        <f t="shared" ca="1" si="43"/>
        <v>0</v>
      </c>
      <c r="AS134" s="4">
        <f t="shared" ca="1" si="43"/>
        <v>0</v>
      </c>
      <c r="AT134" s="4">
        <f t="shared" ca="1" si="43"/>
        <v>0</v>
      </c>
      <c r="AU134" s="4">
        <f t="shared" ca="1" si="43"/>
        <v>0</v>
      </c>
      <c r="AV134" s="4">
        <f t="shared" ca="1" si="43"/>
        <v>0</v>
      </c>
      <c r="AW134" s="4">
        <f t="shared" ca="1" si="43"/>
        <v>0</v>
      </c>
      <c r="AX134" s="4">
        <f t="shared" ca="1" si="43"/>
        <v>0</v>
      </c>
    </row>
    <row r="135" spans="1:50" ht="15" customHeight="1">
      <c r="E135" s="4" t="str">
        <f>Translate!$E$415</f>
        <v>Post-production decomm. costs with ELT</v>
      </c>
      <c r="G135" s="45" t="str">
        <f xml:space="preserve"> G$96</f>
        <v>US$ mn 2021</v>
      </c>
      <c r="I135" s="4">
        <f ca="1" xml:space="preserve"> SUM(K135:AX135)</f>
        <v>20</v>
      </c>
      <c r="K135" s="4">
        <f ca="1" xml:space="preserve"> SUMIFS( $K126:$AX126, $K123:$AX123, K123 + $F133)</f>
        <v>0</v>
      </c>
      <c r="L135" s="4">
        <f t="shared" ref="L135:AX135" ca="1" si="44" xml:space="preserve"> SUMIFS( $K126:$AX126, $K123:$AX123, L123 + $F133)</f>
        <v>0</v>
      </c>
      <c r="M135" s="4">
        <f t="shared" ca="1" si="44"/>
        <v>0</v>
      </c>
      <c r="N135" s="4">
        <f t="shared" ca="1" si="44"/>
        <v>0</v>
      </c>
      <c r="O135" s="4">
        <f t="shared" ca="1" si="44"/>
        <v>0</v>
      </c>
      <c r="P135" s="4">
        <f t="shared" ca="1" si="44"/>
        <v>0</v>
      </c>
      <c r="Q135" s="4">
        <f t="shared" ca="1" si="44"/>
        <v>0</v>
      </c>
      <c r="R135" s="4">
        <f t="shared" ca="1" si="44"/>
        <v>0</v>
      </c>
      <c r="S135" s="4">
        <f t="shared" ca="1" si="44"/>
        <v>0</v>
      </c>
      <c r="T135" s="4">
        <f t="shared" ca="1" si="44"/>
        <v>0</v>
      </c>
      <c r="U135" s="4">
        <f t="shared" ca="1" si="44"/>
        <v>0</v>
      </c>
      <c r="V135" s="4">
        <f t="shared" ca="1" si="44"/>
        <v>0</v>
      </c>
      <c r="W135" s="4">
        <f t="shared" ca="1" si="44"/>
        <v>0</v>
      </c>
      <c r="X135" s="4">
        <f t="shared" ca="1" si="44"/>
        <v>0</v>
      </c>
      <c r="Y135" s="4">
        <f t="shared" ca="1" si="44"/>
        <v>0</v>
      </c>
      <c r="Z135" s="4">
        <f t="shared" ca="1" si="44"/>
        <v>0</v>
      </c>
      <c r="AA135" s="4">
        <f t="shared" ca="1" si="44"/>
        <v>0</v>
      </c>
      <c r="AB135" s="4">
        <f t="shared" ca="1" si="44"/>
        <v>0</v>
      </c>
      <c r="AC135" s="4">
        <f t="shared" ca="1" si="44"/>
        <v>0</v>
      </c>
      <c r="AD135" s="4">
        <f t="shared" ca="1" si="44"/>
        <v>0</v>
      </c>
      <c r="AE135" s="4">
        <f t="shared" ca="1" si="44"/>
        <v>0</v>
      </c>
      <c r="AF135" s="4">
        <f t="shared" ca="1" si="44"/>
        <v>20</v>
      </c>
      <c r="AG135" s="4">
        <f t="shared" ca="1" si="44"/>
        <v>0</v>
      </c>
      <c r="AH135" s="4">
        <f t="shared" ca="1" si="44"/>
        <v>0</v>
      </c>
      <c r="AI135" s="4">
        <f t="shared" ca="1" si="44"/>
        <v>0</v>
      </c>
      <c r="AJ135" s="4">
        <f t="shared" ca="1" si="44"/>
        <v>0</v>
      </c>
      <c r="AK135" s="4">
        <f t="shared" ca="1" si="44"/>
        <v>0</v>
      </c>
      <c r="AL135" s="4">
        <f t="shared" ca="1" si="44"/>
        <v>0</v>
      </c>
      <c r="AM135" s="4">
        <f t="shared" ca="1" si="44"/>
        <v>0</v>
      </c>
      <c r="AN135" s="4">
        <f t="shared" ca="1" si="44"/>
        <v>0</v>
      </c>
      <c r="AO135" s="4">
        <f t="shared" ca="1" si="44"/>
        <v>0</v>
      </c>
      <c r="AP135" s="4">
        <f t="shared" ca="1" si="44"/>
        <v>0</v>
      </c>
      <c r="AQ135" s="4">
        <f t="shared" ca="1" si="44"/>
        <v>0</v>
      </c>
      <c r="AR135" s="4">
        <f t="shared" ca="1" si="44"/>
        <v>0</v>
      </c>
      <c r="AS135" s="4">
        <f t="shared" ca="1" si="44"/>
        <v>0</v>
      </c>
      <c r="AT135" s="4">
        <f t="shared" ca="1" si="44"/>
        <v>0</v>
      </c>
      <c r="AU135" s="4">
        <f t="shared" ca="1" si="44"/>
        <v>0</v>
      </c>
      <c r="AV135" s="4">
        <f t="shared" ca="1" si="44"/>
        <v>0</v>
      </c>
      <c r="AW135" s="4">
        <f t="shared" ca="1" si="44"/>
        <v>0</v>
      </c>
      <c r="AX135" s="4">
        <f t="shared" ca="1" si="44"/>
        <v>0</v>
      </c>
    </row>
    <row r="136" spans="1:50" s="546" customFormat="1" ht="15" customHeight="1">
      <c r="E136" s="546" t="str">
        <f>E124 &amp; " " &amp; Translate!$E$438</f>
        <v>Decommissioning costs after ELT</v>
      </c>
      <c r="G136" s="546" t="str">
        <f xml:space="preserve"> G$96</f>
        <v>US$ mn 2021</v>
      </c>
      <c r="I136" s="546">
        <f ca="1" xml:space="preserve"> SUM(K136:AX136)</f>
        <v>20</v>
      </c>
      <c r="K136" s="546">
        <f ca="1">SUM(K134:K135)</f>
        <v>0</v>
      </c>
      <c r="L136" s="546">
        <f t="shared" ref="L136:AX136" ca="1" si="45">SUM(L134:L135)</f>
        <v>0</v>
      </c>
      <c r="M136" s="546">
        <f t="shared" ca="1" si="45"/>
        <v>0</v>
      </c>
      <c r="N136" s="546">
        <f t="shared" ca="1" si="45"/>
        <v>0</v>
      </c>
      <c r="O136" s="546">
        <f t="shared" ca="1" si="45"/>
        <v>0</v>
      </c>
      <c r="P136" s="546">
        <f t="shared" ca="1" si="45"/>
        <v>0</v>
      </c>
      <c r="Q136" s="546">
        <f t="shared" ca="1" si="45"/>
        <v>0</v>
      </c>
      <c r="R136" s="546">
        <f t="shared" ca="1" si="45"/>
        <v>0</v>
      </c>
      <c r="S136" s="546">
        <f t="shared" ca="1" si="45"/>
        <v>0</v>
      </c>
      <c r="T136" s="546">
        <f t="shared" ca="1" si="45"/>
        <v>0</v>
      </c>
      <c r="U136" s="546">
        <f t="shared" ca="1" si="45"/>
        <v>0</v>
      </c>
      <c r="V136" s="546">
        <f t="shared" ca="1" si="45"/>
        <v>0</v>
      </c>
      <c r="W136" s="546">
        <f t="shared" ca="1" si="45"/>
        <v>0</v>
      </c>
      <c r="X136" s="546">
        <f t="shared" ca="1" si="45"/>
        <v>0</v>
      </c>
      <c r="Y136" s="546">
        <f t="shared" ca="1" si="45"/>
        <v>0</v>
      </c>
      <c r="Z136" s="546">
        <f t="shared" ca="1" si="45"/>
        <v>0</v>
      </c>
      <c r="AA136" s="546">
        <f t="shared" ca="1" si="45"/>
        <v>0</v>
      </c>
      <c r="AB136" s="546">
        <f t="shared" ca="1" si="45"/>
        <v>0</v>
      </c>
      <c r="AC136" s="546">
        <f t="shared" ca="1" si="45"/>
        <v>0</v>
      </c>
      <c r="AD136" s="546">
        <f t="shared" ca="1" si="45"/>
        <v>0</v>
      </c>
      <c r="AE136" s="546">
        <f t="shared" ca="1" si="45"/>
        <v>0</v>
      </c>
      <c r="AF136" s="546">
        <f t="shared" ca="1" si="45"/>
        <v>20</v>
      </c>
      <c r="AG136" s="546">
        <f t="shared" ca="1" si="45"/>
        <v>0</v>
      </c>
      <c r="AH136" s="546">
        <f t="shared" ca="1" si="45"/>
        <v>0</v>
      </c>
      <c r="AI136" s="546">
        <f t="shared" ca="1" si="45"/>
        <v>0</v>
      </c>
      <c r="AJ136" s="546">
        <f t="shared" ca="1" si="45"/>
        <v>0</v>
      </c>
      <c r="AK136" s="546">
        <f t="shared" ca="1" si="45"/>
        <v>0</v>
      </c>
      <c r="AL136" s="546">
        <f t="shared" ca="1" si="45"/>
        <v>0</v>
      </c>
      <c r="AM136" s="546">
        <f t="shared" ca="1" si="45"/>
        <v>0</v>
      </c>
      <c r="AN136" s="546">
        <f t="shared" ca="1" si="45"/>
        <v>0</v>
      </c>
      <c r="AO136" s="546">
        <f t="shared" ca="1" si="45"/>
        <v>0</v>
      </c>
      <c r="AP136" s="546">
        <f t="shared" ca="1" si="45"/>
        <v>0</v>
      </c>
      <c r="AQ136" s="546">
        <f t="shared" ca="1" si="45"/>
        <v>0</v>
      </c>
      <c r="AR136" s="546">
        <f t="shared" ca="1" si="45"/>
        <v>0</v>
      </c>
      <c r="AS136" s="546">
        <f t="shared" ca="1" si="45"/>
        <v>0</v>
      </c>
      <c r="AT136" s="546">
        <f t="shared" ca="1" si="45"/>
        <v>0</v>
      </c>
      <c r="AU136" s="546">
        <f t="shared" ca="1" si="45"/>
        <v>0</v>
      </c>
      <c r="AV136" s="546">
        <f t="shared" ca="1" si="45"/>
        <v>0</v>
      </c>
      <c r="AW136" s="546">
        <f t="shared" ca="1" si="45"/>
        <v>0</v>
      </c>
      <c r="AX136" s="546">
        <f t="shared" ca="1" si="45"/>
        <v>0</v>
      </c>
    </row>
    <row r="137" spans="1:50" ht="15" customHeight="1"/>
    <row r="138" spans="1:50" ht="15" customHeight="1">
      <c r="A138" s="169" t="str">
        <f xml:space="preserve"> Translate!E$15 &amp; ": " &amp; Inputs!F$85 &amp; ", " &amp; Translate!E$438</f>
        <v>Project cashflows: real, after ELT</v>
      </c>
      <c r="B138" s="169"/>
      <c r="C138" s="170"/>
      <c r="D138" s="171"/>
      <c r="E138" s="88"/>
      <c r="F138" s="86"/>
      <c r="G138" s="86"/>
      <c r="H138" s="86"/>
      <c r="I138" s="86"/>
      <c r="J138" s="86"/>
      <c r="K138" s="86"/>
      <c r="L138" s="86"/>
      <c r="M138" s="86"/>
      <c r="N138" s="86"/>
      <c r="O138" s="86"/>
      <c r="P138" s="86"/>
      <c r="Q138" s="86"/>
      <c r="R138" s="86"/>
      <c r="S138" s="86"/>
      <c r="T138" s="86"/>
      <c r="U138" s="86"/>
      <c r="V138" s="86"/>
      <c r="W138" s="86"/>
      <c r="X138" s="86"/>
      <c r="Y138" s="86"/>
      <c r="Z138" s="86"/>
      <c r="AA138" s="86"/>
      <c r="AB138" s="86"/>
      <c r="AC138" s="86"/>
      <c r="AD138" s="86"/>
      <c r="AE138" s="86"/>
      <c r="AF138" s="86"/>
      <c r="AG138" s="86"/>
      <c r="AH138" s="86"/>
      <c r="AI138" s="86"/>
      <c r="AJ138" s="86"/>
      <c r="AK138" s="86"/>
      <c r="AL138" s="86"/>
      <c r="AM138" s="86"/>
      <c r="AN138" s="86"/>
      <c r="AO138" s="86"/>
      <c r="AP138" s="86"/>
      <c r="AQ138" s="86"/>
      <c r="AR138" s="86"/>
      <c r="AS138" s="86"/>
      <c r="AT138" s="86"/>
      <c r="AU138" s="86"/>
      <c r="AV138" s="86"/>
      <c r="AW138" s="86"/>
      <c r="AX138" s="86"/>
    </row>
    <row r="139" spans="1:50" ht="15" customHeight="1">
      <c r="A139" s="73"/>
      <c r="B139" s="141"/>
      <c r="C139" s="75"/>
      <c r="D139" s="131"/>
      <c r="E139" s="45"/>
      <c r="F139" s="46"/>
      <c r="G139" s="43"/>
      <c r="H139" s="43"/>
      <c r="I139" s="76"/>
      <c r="J139" s="43"/>
      <c r="K139" s="174"/>
      <c r="L139" s="174"/>
      <c r="M139" s="174"/>
      <c r="N139" s="174"/>
      <c r="O139" s="174"/>
      <c r="P139" s="174"/>
      <c r="Q139" s="174"/>
      <c r="R139" s="174"/>
      <c r="S139" s="174"/>
      <c r="T139" s="174"/>
      <c r="U139" s="174"/>
      <c r="V139" s="174"/>
      <c r="W139" s="174"/>
      <c r="X139" s="174"/>
      <c r="Y139" s="174"/>
      <c r="Z139" s="174"/>
      <c r="AA139" s="174"/>
      <c r="AB139" s="174"/>
      <c r="AC139" s="174"/>
      <c r="AD139" s="174"/>
      <c r="AE139" s="174"/>
      <c r="AF139" s="174"/>
      <c r="AG139" s="174"/>
      <c r="AH139" s="174"/>
      <c r="AI139" s="174"/>
      <c r="AJ139" s="174"/>
      <c r="AK139" s="174"/>
      <c r="AL139" s="174"/>
      <c r="AM139" s="174"/>
      <c r="AN139" s="174"/>
      <c r="AO139" s="174"/>
      <c r="AP139" s="174"/>
      <c r="AQ139" s="174"/>
      <c r="AR139" s="174"/>
      <c r="AS139" s="174"/>
      <c r="AT139" s="174"/>
      <c r="AU139" s="174"/>
      <c r="AV139" s="174"/>
      <c r="AW139" s="174"/>
      <c r="AX139" s="174"/>
    </row>
    <row r="140" spans="1:50" ht="15" customHeight="1">
      <c r="A140" s="73"/>
      <c r="B140" s="141"/>
      <c r="C140" s="75"/>
      <c r="D140" s="131"/>
      <c r="E140" s="45" t="str">
        <f>E$120</f>
        <v>Project economic limit</v>
      </c>
      <c r="F140" s="45">
        <f t="shared" ref="F140:AX140" si="46">F$120</f>
        <v>0</v>
      </c>
      <c r="G140" s="45" t="str">
        <f t="shared" si="46"/>
        <v>Flag</v>
      </c>
      <c r="H140" s="45">
        <f t="shared" si="46"/>
        <v>0</v>
      </c>
      <c r="I140" s="45">
        <f t="shared" ca="1" si="46"/>
        <v>21</v>
      </c>
      <c r="J140" s="45">
        <f t="shared" si="46"/>
        <v>0</v>
      </c>
      <c r="K140" s="45">
        <f t="shared" ca="1" si="46"/>
        <v>1</v>
      </c>
      <c r="L140" s="45">
        <f t="shared" ca="1" si="46"/>
        <v>1</v>
      </c>
      <c r="M140" s="45">
        <f t="shared" ca="1" si="46"/>
        <v>1</v>
      </c>
      <c r="N140" s="45">
        <f t="shared" ca="1" si="46"/>
        <v>1</v>
      </c>
      <c r="O140" s="45">
        <f t="shared" ca="1" si="46"/>
        <v>1</v>
      </c>
      <c r="P140" s="45">
        <f t="shared" ca="1" si="46"/>
        <v>1</v>
      </c>
      <c r="Q140" s="45">
        <f t="shared" ca="1" si="46"/>
        <v>1</v>
      </c>
      <c r="R140" s="45">
        <f t="shared" ca="1" si="46"/>
        <v>1</v>
      </c>
      <c r="S140" s="45">
        <f t="shared" ca="1" si="46"/>
        <v>1</v>
      </c>
      <c r="T140" s="45">
        <f t="shared" ca="1" si="46"/>
        <v>1</v>
      </c>
      <c r="U140" s="45">
        <f t="shared" ca="1" si="46"/>
        <v>1</v>
      </c>
      <c r="V140" s="45">
        <f t="shared" ca="1" si="46"/>
        <v>1</v>
      </c>
      <c r="W140" s="45">
        <f t="shared" ca="1" si="46"/>
        <v>1</v>
      </c>
      <c r="X140" s="45">
        <f t="shared" ca="1" si="46"/>
        <v>1</v>
      </c>
      <c r="Y140" s="45">
        <f t="shared" ca="1" si="46"/>
        <v>1</v>
      </c>
      <c r="Z140" s="45">
        <f t="shared" ca="1" si="46"/>
        <v>1</v>
      </c>
      <c r="AA140" s="45">
        <f t="shared" ca="1" si="46"/>
        <v>1</v>
      </c>
      <c r="AB140" s="45">
        <f t="shared" ca="1" si="46"/>
        <v>1</v>
      </c>
      <c r="AC140" s="45">
        <f t="shared" ca="1" si="46"/>
        <v>1</v>
      </c>
      <c r="AD140" s="45">
        <f t="shared" ca="1" si="46"/>
        <v>1</v>
      </c>
      <c r="AE140" s="45">
        <f t="shared" ca="1" si="46"/>
        <v>1</v>
      </c>
      <c r="AF140" s="45">
        <f t="shared" ca="1" si="46"/>
        <v>0</v>
      </c>
      <c r="AG140" s="45">
        <f t="shared" ca="1" si="46"/>
        <v>0</v>
      </c>
      <c r="AH140" s="45">
        <f t="shared" ca="1" si="46"/>
        <v>0</v>
      </c>
      <c r="AI140" s="45">
        <f t="shared" ca="1" si="46"/>
        <v>0</v>
      </c>
      <c r="AJ140" s="45">
        <f t="shared" ca="1" si="46"/>
        <v>0</v>
      </c>
      <c r="AK140" s="45">
        <f t="shared" ca="1" si="46"/>
        <v>0</v>
      </c>
      <c r="AL140" s="45">
        <f t="shared" ca="1" si="46"/>
        <v>0</v>
      </c>
      <c r="AM140" s="45">
        <f t="shared" ca="1" si="46"/>
        <v>0</v>
      </c>
      <c r="AN140" s="45">
        <f t="shared" ca="1" si="46"/>
        <v>0</v>
      </c>
      <c r="AO140" s="45">
        <f t="shared" ca="1" si="46"/>
        <v>0</v>
      </c>
      <c r="AP140" s="45">
        <f t="shared" ca="1" si="46"/>
        <v>0</v>
      </c>
      <c r="AQ140" s="45">
        <f t="shared" ca="1" si="46"/>
        <v>0</v>
      </c>
      <c r="AR140" s="45">
        <f t="shared" ca="1" si="46"/>
        <v>0</v>
      </c>
      <c r="AS140" s="45">
        <f t="shared" ca="1" si="46"/>
        <v>0</v>
      </c>
      <c r="AT140" s="45">
        <f t="shared" ca="1" si="46"/>
        <v>0</v>
      </c>
      <c r="AU140" s="45">
        <f t="shared" ca="1" si="46"/>
        <v>0</v>
      </c>
      <c r="AV140" s="45">
        <f t="shared" ca="1" si="46"/>
        <v>0</v>
      </c>
      <c r="AW140" s="45">
        <f t="shared" ca="1" si="46"/>
        <v>0</v>
      </c>
      <c r="AX140" s="45">
        <f t="shared" ca="1" si="46"/>
        <v>0</v>
      </c>
    </row>
    <row r="141" spans="1:50" ht="15" customHeight="1">
      <c r="A141" s="73"/>
      <c r="B141" s="141"/>
      <c r="C141" s="75"/>
      <c r="D141" s="131"/>
      <c r="E141" s="45"/>
      <c r="F141" s="46"/>
      <c r="G141" s="43"/>
      <c r="H141" s="43"/>
      <c r="I141" s="76"/>
      <c r="J141" s="43"/>
      <c r="K141" s="174"/>
      <c r="L141" s="174"/>
      <c r="M141" s="174"/>
      <c r="N141" s="174"/>
      <c r="O141" s="174"/>
      <c r="P141" s="174"/>
      <c r="Q141" s="174"/>
      <c r="R141" s="174"/>
      <c r="S141" s="174"/>
      <c r="T141" s="174"/>
      <c r="U141" s="174"/>
      <c r="V141" s="174"/>
      <c r="W141" s="174"/>
      <c r="X141" s="174"/>
      <c r="Y141" s="174"/>
      <c r="Z141" s="174"/>
      <c r="AA141" s="174"/>
      <c r="AB141" s="174"/>
      <c r="AC141" s="174"/>
      <c r="AD141" s="174"/>
      <c r="AE141" s="174"/>
      <c r="AF141" s="174"/>
      <c r="AG141" s="174"/>
      <c r="AH141" s="174"/>
      <c r="AI141" s="174"/>
      <c r="AJ141" s="174"/>
      <c r="AK141" s="174"/>
      <c r="AL141" s="174"/>
      <c r="AM141" s="174"/>
      <c r="AN141" s="174"/>
      <c r="AO141" s="174"/>
      <c r="AP141" s="174"/>
      <c r="AQ141" s="174"/>
      <c r="AR141" s="174"/>
      <c r="AS141" s="174"/>
      <c r="AT141" s="174"/>
      <c r="AU141" s="174"/>
      <c r="AV141" s="174"/>
      <c r="AW141" s="174"/>
      <c r="AX141" s="174"/>
    </row>
    <row r="142" spans="1:50" ht="15" customHeight="1">
      <c r="A142" s="73"/>
      <c r="B142" s="141"/>
      <c r="C142" s="75"/>
      <c r="D142" s="131"/>
      <c r="E142" s="45" t="str">
        <f ca="1" xml:space="preserve"> E$12 &amp; ", " &amp; Translate!E$383</f>
        <v>Gold sales, before ELT</v>
      </c>
      <c r="F142" s="45"/>
      <c r="G142" s="45" t="str">
        <f t="shared" ref="G142:AX143" ca="1" si="47" xml:space="preserve"> G$12</f>
        <v>000 ounce</v>
      </c>
      <c r="H142" s="45">
        <f t="shared" si="47"/>
        <v>0</v>
      </c>
      <c r="I142" s="45">
        <f t="shared" ca="1" si="47"/>
        <v>2000</v>
      </c>
      <c r="J142" s="45">
        <f t="shared" si="47"/>
        <v>0</v>
      </c>
      <c r="K142" s="45">
        <f t="shared" ca="1" si="47"/>
        <v>0</v>
      </c>
      <c r="L142" s="45">
        <f t="shared" ca="1" si="47"/>
        <v>0</v>
      </c>
      <c r="M142" s="45">
        <f t="shared" ca="1" si="47"/>
        <v>0</v>
      </c>
      <c r="N142" s="45">
        <f t="shared" ca="1" si="47"/>
        <v>0</v>
      </c>
      <c r="O142" s="45">
        <f t="shared" ca="1" si="47"/>
        <v>10</v>
      </c>
      <c r="P142" s="45">
        <f t="shared" ca="1" si="47"/>
        <v>75</v>
      </c>
      <c r="Q142" s="45">
        <f t="shared" ca="1" si="47"/>
        <v>150</v>
      </c>
      <c r="R142" s="45">
        <f t="shared" ca="1" si="47"/>
        <v>150</v>
      </c>
      <c r="S142" s="45">
        <f t="shared" ca="1" si="47"/>
        <v>150</v>
      </c>
      <c r="T142" s="45">
        <f t="shared" ca="1" si="47"/>
        <v>150</v>
      </c>
      <c r="U142" s="45">
        <f t="shared" ca="1" si="47"/>
        <v>150</v>
      </c>
      <c r="V142" s="45">
        <f t="shared" ca="1" si="47"/>
        <v>150</v>
      </c>
      <c r="W142" s="45">
        <f t="shared" ca="1" si="47"/>
        <v>150</v>
      </c>
      <c r="X142" s="45">
        <f t="shared" ca="1" si="47"/>
        <v>150</v>
      </c>
      <c r="Y142" s="45">
        <f t="shared" ca="1" si="47"/>
        <v>150</v>
      </c>
      <c r="Z142" s="45">
        <f t="shared" ca="1" si="47"/>
        <v>150</v>
      </c>
      <c r="AA142" s="45">
        <f t="shared" ca="1" si="47"/>
        <v>125</v>
      </c>
      <c r="AB142" s="45">
        <f t="shared" ca="1" si="47"/>
        <v>100</v>
      </c>
      <c r="AC142" s="45">
        <f t="shared" ca="1" si="47"/>
        <v>75</v>
      </c>
      <c r="AD142" s="45">
        <f t="shared" ca="1" si="47"/>
        <v>65</v>
      </c>
      <c r="AE142" s="45">
        <f t="shared" ca="1" si="47"/>
        <v>50</v>
      </c>
      <c r="AF142" s="45">
        <f t="shared" ca="1" si="47"/>
        <v>0</v>
      </c>
      <c r="AG142" s="45">
        <f t="shared" ca="1" si="47"/>
        <v>0</v>
      </c>
      <c r="AH142" s="45">
        <f t="shared" ca="1" si="47"/>
        <v>0</v>
      </c>
      <c r="AI142" s="45">
        <f t="shared" ca="1" si="47"/>
        <v>0</v>
      </c>
      <c r="AJ142" s="45">
        <f t="shared" ca="1" si="47"/>
        <v>0</v>
      </c>
      <c r="AK142" s="45">
        <f t="shared" ca="1" si="47"/>
        <v>0</v>
      </c>
      <c r="AL142" s="45">
        <f t="shared" ca="1" si="47"/>
        <v>0</v>
      </c>
      <c r="AM142" s="45">
        <f t="shared" ca="1" si="47"/>
        <v>0</v>
      </c>
      <c r="AN142" s="45">
        <f t="shared" ca="1" si="47"/>
        <v>0</v>
      </c>
      <c r="AO142" s="45">
        <f t="shared" ca="1" si="47"/>
        <v>0</v>
      </c>
      <c r="AP142" s="45">
        <f t="shared" ca="1" si="47"/>
        <v>0</v>
      </c>
      <c r="AQ142" s="45">
        <f t="shared" ca="1" si="47"/>
        <v>0</v>
      </c>
      <c r="AR142" s="45">
        <f t="shared" ca="1" si="47"/>
        <v>0</v>
      </c>
      <c r="AS142" s="45">
        <f t="shared" ca="1" si="47"/>
        <v>0</v>
      </c>
      <c r="AT142" s="45">
        <f t="shared" ca="1" si="47"/>
        <v>0</v>
      </c>
      <c r="AU142" s="45">
        <f t="shared" ca="1" si="47"/>
        <v>0</v>
      </c>
      <c r="AV142" s="45">
        <f t="shared" ca="1" si="47"/>
        <v>0</v>
      </c>
      <c r="AW142" s="45">
        <f t="shared" ca="1" si="47"/>
        <v>0</v>
      </c>
      <c r="AX142" s="45">
        <f t="shared" ca="1" si="47"/>
        <v>0</v>
      </c>
    </row>
    <row r="143" spans="1:50" s="66" customFormat="1" ht="15" customHeight="1">
      <c r="A143" s="168"/>
      <c r="B143" s="165"/>
      <c r="C143" s="166"/>
      <c r="D143" s="167"/>
      <c r="E143" s="142" t="str">
        <f ca="1">E12 &amp; ", " &amp; Translate!$E$438</f>
        <v>Gold sales, after ELT</v>
      </c>
      <c r="F143" s="142"/>
      <c r="G143" s="142" t="str">
        <f t="shared" ca="1" si="47"/>
        <v>000 ounce</v>
      </c>
      <c r="H143" s="142">
        <f t="shared" si="47"/>
        <v>0</v>
      </c>
      <c r="I143" s="142">
        <f ca="1" xml:space="preserve"> SUM(K143:AX143)</f>
        <v>2000</v>
      </c>
      <c r="J143" s="142"/>
      <c r="K143" s="142">
        <f t="shared" ref="K143:AX143" ca="1" si="48">K142 * K140</f>
        <v>0</v>
      </c>
      <c r="L143" s="142">
        <f t="shared" ca="1" si="48"/>
        <v>0</v>
      </c>
      <c r="M143" s="142">
        <f t="shared" ca="1" si="48"/>
        <v>0</v>
      </c>
      <c r="N143" s="142">
        <f t="shared" ca="1" si="48"/>
        <v>0</v>
      </c>
      <c r="O143" s="142">
        <f t="shared" ca="1" si="48"/>
        <v>10</v>
      </c>
      <c r="P143" s="142">
        <f t="shared" ca="1" si="48"/>
        <v>75</v>
      </c>
      <c r="Q143" s="142">
        <f t="shared" ca="1" si="48"/>
        <v>150</v>
      </c>
      <c r="R143" s="142">
        <f t="shared" ca="1" si="48"/>
        <v>150</v>
      </c>
      <c r="S143" s="142">
        <f t="shared" ca="1" si="48"/>
        <v>150</v>
      </c>
      <c r="T143" s="142">
        <f t="shared" ca="1" si="48"/>
        <v>150</v>
      </c>
      <c r="U143" s="142">
        <f t="shared" ca="1" si="48"/>
        <v>150</v>
      </c>
      <c r="V143" s="142">
        <f t="shared" ca="1" si="48"/>
        <v>150</v>
      </c>
      <c r="W143" s="142">
        <f t="shared" ca="1" si="48"/>
        <v>150</v>
      </c>
      <c r="X143" s="142">
        <f t="shared" ca="1" si="48"/>
        <v>150</v>
      </c>
      <c r="Y143" s="142">
        <f t="shared" ca="1" si="48"/>
        <v>150</v>
      </c>
      <c r="Z143" s="142">
        <f t="shared" ca="1" si="48"/>
        <v>150</v>
      </c>
      <c r="AA143" s="142">
        <f t="shared" ca="1" si="48"/>
        <v>125</v>
      </c>
      <c r="AB143" s="142">
        <f t="shared" ca="1" si="48"/>
        <v>100</v>
      </c>
      <c r="AC143" s="142">
        <f t="shared" ca="1" si="48"/>
        <v>75</v>
      </c>
      <c r="AD143" s="142">
        <f t="shared" ca="1" si="48"/>
        <v>65</v>
      </c>
      <c r="AE143" s="142">
        <f t="shared" ca="1" si="48"/>
        <v>50</v>
      </c>
      <c r="AF143" s="142">
        <f t="shared" ca="1" si="48"/>
        <v>0</v>
      </c>
      <c r="AG143" s="142">
        <f t="shared" ca="1" si="48"/>
        <v>0</v>
      </c>
      <c r="AH143" s="142">
        <f t="shared" ca="1" si="48"/>
        <v>0</v>
      </c>
      <c r="AI143" s="142">
        <f t="shared" ca="1" si="48"/>
        <v>0</v>
      </c>
      <c r="AJ143" s="142">
        <f t="shared" ca="1" si="48"/>
        <v>0</v>
      </c>
      <c r="AK143" s="142">
        <f t="shared" ca="1" si="48"/>
        <v>0</v>
      </c>
      <c r="AL143" s="142">
        <f t="shared" ca="1" si="48"/>
        <v>0</v>
      </c>
      <c r="AM143" s="142">
        <f t="shared" ca="1" si="48"/>
        <v>0</v>
      </c>
      <c r="AN143" s="142">
        <f t="shared" ca="1" si="48"/>
        <v>0</v>
      </c>
      <c r="AO143" s="142">
        <f t="shared" ca="1" si="48"/>
        <v>0</v>
      </c>
      <c r="AP143" s="142">
        <f t="shared" ca="1" si="48"/>
        <v>0</v>
      </c>
      <c r="AQ143" s="142">
        <f t="shared" ca="1" si="48"/>
        <v>0</v>
      </c>
      <c r="AR143" s="142">
        <f t="shared" ca="1" si="48"/>
        <v>0</v>
      </c>
      <c r="AS143" s="142">
        <f t="shared" ca="1" si="48"/>
        <v>0</v>
      </c>
      <c r="AT143" s="142">
        <f t="shared" ca="1" si="48"/>
        <v>0</v>
      </c>
      <c r="AU143" s="142">
        <f t="shared" ca="1" si="48"/>
        <v>0</v>
      </c>
      <c r="AV143" s="142">
        <f t="shared" ca="1" si="48"/>
        <v>0</v>
      </c>
      <c r="AW143" s="142">
        <f t="shared" ca="1" si="48"/>
        <v>0</v>
      </c>
      <c r="AX143" s="142">
        <f t="shared" ca="1" si="48"/>
        <v>0</v>
      </c>
    </row>
    <row r="144" spans="1:50" s="66" customFormat="1" ht="15" customHeight="1">
      <c r="A144" s="247"/>
      <c r="B144" s="248"/>
      <c r="C144" s="249"/>
      <c r="D144" s="250"/>
      <c r="E144" s="142" t="str">
        <f ca="1" xml:space="preserve"> E143 &amp; ", " &amp; Translate!$E$19</f>
        <v>Gold sales, after ELT, Total</v>
      </c>
      <c r="F144" s="143">
        <f ca="1" xml:space="preserve"> SUM(K143:AX143)</f>
        <v>2000</v>
      </c>
      <c r="G144" s="143" t="str">
        <f ca="1" xml:space="preserve"> G143</f>
        <v>000 ounce</v>
      </c>
      <c r="H144" s="183"/>
      <c r="I144" s="184"/>
      <c r="J144" s="162"/>
      <c r="K144" s="184"/>
      <c r="L144" s="184"/>
      <c r="M144" s="184"/>
      <c r="N144" s="184"/>
      <c r="O144" s="184"/>
      <c r="P144" s="184"/>
      <c r="Q144" s="184"/>
      <c r="R144" s="184"/>
      <c r="S144" s="184"/>
      <c r="T144" s="184"/>
      <c r="U144" s="184"/>
      <c r="V144" s="184"/>
      <c r="W144" s="184"/>
      <c r="X144" s="184"/>
      <c r="Y144" s="184"/>
      <c r="Z144" s="184"/>
      <c r="AA144" s="184"/>
      <c r="AB144" s="184"/>
      <c r="AC144" s="184"/>
      <c r="AD144" s="184"/>
      <c r="AE144" s="184"/>
      <c r="AF144" s="184"/>
      <c r="AG144" s="184"/>
      <c r="AH144" s="184"/>
      <c r="AI144" s="184"/>
      <c r="AJ144" s="184"/>
      <c r="AK144" s="184"/>
      <c r="AL144" s="184"/>
      <c r="AM144" s="184"/>
      <c r="AN144" s="184"/>
      <c r="AO144" s="184"/>
      <c r="AP144" s="184"/>
      <c r="AQ144" s="184"/>
      <c r="AR144" s="184"/>
      <c r="AS144" s="184"/>
      <c r="AT144" s="184"/>
      <c r="AU144" s="184"/>
      <c r="AV144" s="184"/>
      <c r="AW144" s="184"/>
      <c r="AX144" s="184"/>
    </row>
    <row r="145" spans="1:50" ht="15" customHeight="1">
      <c r="A145" s="73"/>
      <c r="B145" s="141"/>
      <c r="C145" s="75"/>
      <c r="D145" s="131"/>
      <c r="E145" s="45"/>
      <c r="F145" s="45"/>
      <c r="G145" s="45"/>
      <c r="H145" s="45"/>
      <c r="I145" s="45"/>
      <c r="J145" s="45"/>
      <c r="K145" s="45"/>
      <c r="L145" s="45"/>
      <c r="M145" s="45"/>
      <c r="N145" s="45"/>
      <c r="O145" s="45"/>
      <c r="P145" s="45"/>
      <c r="Q145" s="45"/>
      <c r="R145" s="45"/>
      <c r="S145" s="45"/>
      <c r="T145" s="45"/>
      <c r="U145" s="45"/>
      <c r="V145" s="45"/>
      <c r="W145" s="45"/>
      <c r="X145" s="45"/>
      <c r="Y145" s="45"/>
      <c r="Z145" s="45"/>
      <c r="AA145" s="45"/>
      <c r="AB145" s="45"/>
      <c r="AC145" s="45"/>
      <c r="AD145" s="45"/>
      <c r="AE145" s="45"/>
      <c r="AF145" s="45"/>
      <c r="AG145" s="45"/>
      <c r="AH145" s="45"/>
      <c r="AI145" s="45"/>
      <c r="AJ145" s="45"/>
      <c r="AK145" s="45"/>
      <c r="AL145" s="45"/>
      <c r="AM145" s="45"/>
      <c r="AN145" s="45"/>
      <c r="AO145" s="45"/>
      <c r="AP145" s="45"/>
      <c r="AQ145" s="45"/>
      <c r="AR145" s="45"/>
      <c r="AS145" s="45"/>
      <c r="AT145" s="45"/>
      <c r="AU145" s="45"/>
      <c r="AV145" s="45"/>
      <c r="AW145" s="45"/>
      <c r="AX145" s="45"/>
    </row>
    <row r="146" spans="1:50" ht="15" customHeight="1">
      <c r="A146" s="73"/>
      <c r="B146" s="172" t="str">
        <f xml:space="preserve"> Translate!E$15 &amp; ": " &amp; Inputs!F$85 &amp; ", " &amp; Translate!E$383</f>
        <v>Project cashflows: real, before ELT</v>
      </c>
      <c r="C146" s="75"/>
      <c r="D146" s="131"/>
      <c r="E146" s="45"/>
      <c r="F146" s="46"/>
      <c r="G146" s="43"/>
      <c r="H146" s="43"/>
      <c r="I146" s="76"/>
      <c r="J146" s="43"/>
      <c r="K146" s="174"/>
      <c r="L146" s="174"/>
      <c r="M146" s="174"/>
      <c r="N146" s="174"/>
      <c r="O146" s="174"/>
      <c r="P146" s="174"/>
      <c r="Q146" s="174"/>
      <c r="R146" s="174"/>
      <c r="S146" s="174"/>
      <c r="T146" s="174"/>
      <c r="U146" s="174"/>
      <c r="V146" s="174"/>
      <c r="W146" s="174"/>
      <c r="X146" s="174"/>
      <c r="Y146" s="174"/>
      <c r="Z146" s="174"/>
      <c r="AA146" s="174"/>
      <c r="AB146" s="174"/>
      <c r="AC146" s="174"/>
      <c r="AD146" s="174"/>
      <c r="AE146" s="174"/>
      <c r="AF146" s="174"/>
      <c r="AG146" s="174"/>
      <c r="AH146" s="174"/>
      <c r="AI146" s="174"/>
      <c r="AJ146" s="174"/>
      <c r="AK146" s="174"/>
      <c r="AL146" s="174"/>
      <c r="AM146" s="174"/>
      <c r="AN146" s="174"/>
      <c r="AO146" s="174"/>
      <c r="AP146" s="174"/>
      <c r="AQ146" s="174"/>
      <c r="AR146" s="174"/>
      <c r="AS146" s="174"/>
      <c r="AT146" s="174"/>
      <c r="AU146" s="174"/>
      <c r="AV146" s="174"/>
      <c r="AW146" s="174"/>
      <c r="AX146" s="174"/>
    </row>
    <row r="147" spans="1:50" ht="15" customHeight="1">
      <c r="A147" s="73"/>
      <c r="B147" s="172"/>
      <c r="C147" s="75"/>
      <c r="D147" s="131"/>
      <c r="E147" s="45" t="str">
        <f t="shared" ref="E147:AX147" ca="1" si="49" xml:space="preserve"> E$81</f>
        <v>Gold price realized from sales</v>
      </c>
      <c r="F147" s="45">
        <f t="shared" si="49"/>
        <v>0</v>
      </c>
      <c r="G147" s="45" t="str">
        <f t="shared" ca="1" si="49"/>
        <v>US$ / ounce const</v>
      </c>
      <c r="H147" s="45">
        <f t="shared" si="49"/>
        <v>0</v>
      </c>
      <c r="I147" s="45">
        <f t="shared" ca="1" si="49"/>
        <v>60000</v>
      </c>
      <c r="J147" s="45">
        <f t="shared" si="49"/>
        <v>0</v>
      </c>
      <c r="K147" s="45">
        <f t="shared" ca="1" si="49"/>
        <v>1500</v>
      </c>
      <c r="L147" s="45">
        <f t="shared" ca="1" si="49"/>
        <v>1500</v>
      </c>
      <c r="M147" s="45">
        <f t="shared" ca="1" si="49"/>
        <v>1500</v>
      </c>
      <c r="N147" s="45">
        <f t="shared" ca="1" si="49"/>
        <v>1500</v>
      </c>
      <c r="O147" s="45">
        <f t="shared" ca="1" si="49"/>
        <v>1500</v>
      </c>
      <c r="P147" s="45">
        <f t="shared" ca="1" si="49"/>
        <v>1500</v>
      </c>
      <c r="Q147" s="45">
        <f t="shared" ca="1" si="49"/>
        <v>1500</v>
      </c>
      <c r="R147" s="45">
        <f t="shared" ca="1" si="49"/>
        <v>1500</v>
      </c>
      <c r="S147" s="45">
        <f t="shared" ca="1" si="49"/>
        <v>1500</v>
      </c>
      <c r="T147" s="45">
        <f t="shared" ca="1" si="49"/>
        <v>1500</v>
      </c>
      <c r="U147" s="45">
        <f t="shared" ca="1" si="49"/>
        <v>1500</v>
      </c>
      <c r="V147" s="45">
        <f t="shared" ca="1" si="49"/>
        <v>1500</v>
      </c>
      <c r="W147" s="45">
        <f t="shared" ca="1" si="49"/>
        <v>1500</v>
      </c>
      <c r="X147" s="45">
        <f t="shared" ca="1" si="49"/>
        <v>1500</v>
      </c>
      <c r="Y147" s="45">
        <f t="shared" ca="1" si="49"/>
        <v>1500</v>
      </c>
      <c r="Z147" s="45">
        <f t="shared" ca="1" si="49"/>
        <v>1500</v>
      </c>
      <c r="AA147" s="45">
        <f t="shared" ca="1" si="49"/>
        <v>1500</v>
      </c>
      <c r="AB147" s="45">
        <f t="shared" ca="1" si="49"/>
        <v>1500</v>
      </c>
      <c r="AC147" s="45">
        <f t="shared" ca="1" si="49"/>
        <v>1500</v>
      </c>
      <c r="AD147" s="45">
        <f t="shared" ca="1" si="49"/>
        <v>1500</v>
      </c>
      <c r="AE147" s="45">
        <f t="shared" ca="1" si="49"/>
        <v>1500</v>
      </c>
      <c r="AF147" s="45">
        <f t="shared" ca="1" si="49"/>
        <v>1500</v>
      </c>
      <c r="AG147" s="45">
        <f t="shared" ca="1" si="49"/>
        <v>1500</v>
      </c>
      <c r="AH147" s="45">
        <f t="shared" ca="1" si="49"/>
        <v>1500</v>
      </c>
      <c r="AI147" s="45">
        <f t="shared" ca="1" si="49"/>
        <v>1500</v>
      </c>
      <c r="AJ147" s="45">
        <f t="shared" ca="1" si="49"/>
        <v>1500</v>
      </c>
      <c r="AK147" s="45">
        <f t="shared" ca="1" si="49"/>
        <v>1500</v>
      </c>
      <c r="AL147" s="45">
        <f t="shared" ca="1" si="49"/>
        <v>1500</v>
      </c>
      <c r="AM147" s="45">
        <f t="shared" ca="1" si="49"/>
        <v>1500</v>
      </c>
      <c r="AN147" s="45">
        <f t="shared" ca="1" si="49"/>
        <v>1500</v>
      </c>
      <c r="AO147" s="45">
        <f t="shared" ca="1" si="49"/>
        <v>1500</v>
      </c>
      <c r="AP147" s="45">
        <f t="shared" ca="1" si="49"/>
        <v>1500</v>
      </c>
      <c r="AQ147" s="45">
        <f t="shared" ca="1" si="49"/>
        <v>1500</v>
      </c>
      <c r="AR147" s="45">
        <f t="shared" ca="1" si="49"/>
        <v>1500</v>
      </c>
      <c r="AS147" s="45">
        <f t="shared" ca="1" si="49"/>
        <v>1500</v>
      </c>
      <c r="AT147" s="45">
        <f t="shared" ca="1" si="49"/>
        <v>1500</v>
      </c>
      <c r="AU147" s="45">
        <f t="shared" ca="1" si="49"/>
        <v>1500</v>
      </c>
      <c r="AV147" s="45">
        <f t="shared" ca="1" si="49"/>
        <v>1500</v>
      </c>
      <c r="AW147" s="45">
        <f t="shared" ca="1" si="49"/>
        <v>1500</v>
      </c>
      <c r="AX147" s="45">
        <f t="shared" ca="1" si="49"/>
        <v>1500</v>
      </c>
    </row>
    <row r="148" spans="1:50" ht="15" customHeight="1">
      <c r="A148" s="73"/>
      <c r="B148" s="172"/>
      <c r="C148" s="75"/>
      <c r="D148" s="131"/>
      <c r="E148" s="45"/>
      <c r="F148" s="45"/>
      <c r="G148" s="45"/>
      <c r="H148" s="45"/>
      <c r="I148" s="45"/>
      <c r="J148" s="45"/>
      <c r="K148" s="45"/>
      <c r="L148" s="45"/>
      <c r="M148" s="45"/>
      <c r="N148" s="45"/>
      <c r="O148" s="45"/>
      <c r="P148" s="45"/>
      <c r="Q148" s="45"/>
      <c r="R148" s="45"/>
      <c r="S148" s="45"/>
      <c r="T148" s="45"/>
      <c r="U148" s="45"/>
      <c r="V148" s="45"/>
      <c r="W148" s="45"/>
      <c r="X148" s="45"/>
      <c r="Y148" s="45"/>
      <c r="Z148" s="45"/>
      <c r="AA148" s="45"/>
      <c r="AB148" s="45"/>
      <c r="AC148" s="45"/>
      <c r="AD148" s="45"/>
      <c r="AE148" s="45"/>
      <c r="AF148" s="45"/>
      <c r="AG148" s="45"/>
      <c r="AH148" s="45"/>
      <c r="AI148" s="45"/>
      <c r="AJ148" s="45"/>
      <c r="AK148" s="45"/>
      <c r="AL148" s="45"/>
      <c r="AM148" s="45"/>
      <c r="AN148" s="45"/>
      <c r="AO148" s="45"/>
      <c r="AP148" s="45"/>
      <c r="AQ148" s="45"/>
      <c r="AR148" s="45"/>
      <c r="AS148" s="45"/>
      <c r="AT148" s="45"/>
      <c r="AU148" s="45"/>
      <c r="AV148" s="45"/>
      <c r="AW148" s="45"/>
      <c r="AX148" s="45"/>
    </row>
    <row r="149" spans="1:50" ht="15" customHeight="1">
      <c r="A149" s="73"/>
      <c r="B149" s="141"/>
      <c r="C149" s="75"/>
      <c r="D149" s="131"/>
      <c r="E149" s="45" t="str">
        <f t="shared" ref="E149:AX149" si="50" xml:space="preserve"> E$87</f>
        <v>Sales revenues: gross</v>
      </c>
      <c r="F149" s="45">
        <f t="shared" si="50"/>
        <v>0</v>
      </c>
      <c r="G149" s="45" t="str">
        <f t="shared" si="50"/>
        <v>US$ mn 2021</v>
      </c>
      <c r="H149" s="45">
        <f t="shared" si="50"/>
        <v>0</v>
      </c>
      <c r="I149" s="45">
        <f t="shared" ca="1" si="50"/>
        <v>3000</v>
      </c>
      <c r="J149" s="45">
        <f t="shared" si="50"/>
        <v>0</v>
      </c>
      <c r="K149" s="45">
        <f t="shared" ca="1" si="50"/>
        <v>0</v>
      </c>
      <c r="L149" s="45">
        <f t="shared" ca="1" si="50"/>
        <v>0</v>
      </c>
      <c r="M149" s="45">
        <f t="shared" ca="1" si="50"/>
        <v>0</v>
      </c>
      <c r="N149" s="45">
        <f t="shared" ca="1" si="50"/>
        <v>0</v>
      </c>
      <c r="O149" s="45">
        <f t="shared" ca="1" si="50"/>
        <v>15</v>
      </c>
      <c r="P149" s="45">
        <f t="shared" ca="1" si="50"/>
        <v>112.5</v>
      </c>
      <c r="Q149" s="45">
        <f t="shared" ca="1" si="50"/>
        <v>225</v>
      </c>
      <c r="R149" s="45">
        <f t="shared" ca="1" si="50"/>
        <v>225</v>
      </c>
      <c r="S149" s="45">
        <f t="shared" ca="1" si="50"/>
        <v>225</v>
      </c>
      <c r="T149" s="45">
        <f t="shared" ca="1" si="50"/>
        <v>225</v>
      </c>
      <c r="U149" s="45">
        <f t="shared" ca="1" si="50"/>
        <v>225</v>
      </c>
      <c r="V149" s="45">
        <f t="shared" ca="1" si="50"/>
        <v>225</v>
      </c>
      <c r="W149" s="45">
        <f t="shared" ca="1" si="50"/>
        <v>225</v>
      </c>
      <c r="X149" s="45">
        <f t="shared" ca="1" si="50"/>
        <v>225</v>
      </c>
      <c r="Y149" s="45">
        <f t="shared" ca="1" si="50"/>
        <v>225</v>
      </c>
      <c r="Z149" s="45">
        <f t="shared" ca="1" si="50"/>
        <v>225</v>
      </c>
      <c r="AA149" s="45">
        <f t="shared" ca="1" si="50"/>
        <v>187.5</v>
      </c>
      <c r="AB149" s="45">
        <f t="shared" ca="1" si="50"/>
        <v>150</v>
      </c>
      <c r="AC149" s="45">
        <f t="shared" ca="1" si="50"/>
        <v>112.5</v>
      </c>
      <c r="AD149" s="45">
        <f t="shared" ca="1" si="50"/>
        <v>97.5</v>
      </c>
      <c r="AE149" s="45">
        <f t="shared" ca="1" si="50"/>
        <v>75</v>
      </c>
      <c r="AF149" s="45">
        <f t="shared" ca="1" si="50"/>
        <v>0</v>
      </c>
      <c r="AG149" s="45">
        <f t="shared" ca="1" si="50"/>
        <v>0</v>
      </c>
      <c r="AH149" s="45">
        <f t="shared" ca="1" si="50"/>
        <v>0</v>
      </c>
      <c r="AI149" s="45">
        <f t="shared" ca="1" si="50"/>
        <v>0</v>
      </c>
      <c r="AJ149" s="45">
        <f t="shared" ca="1" si="50"/>
        <v>0</v>
      </c>
      <c r="AK149" s="45">
        <f t="shared" ca="1" si="50"/>
        <v>0</v>
      </c>
      <c r="AL149" s="45">
        <f t="shared" ca="1" si="50"/>
        <v>0</v>
      </c>
      <c r="AM149" s="45">
        <f t="shared" ca="1" si="50"/>
        <v>0</v>
      </c>
      <c r="AN149" s="45">
        <f t="shared" ca="1" si="50"/>
        <v>0</v>
      </c>
      <c r="AO149" s="45">
        <f t="shared" ca="1" si="50"/>
        <v>0</v>
      </c>
      <c r="AP149" s="45">
        <f t="shared" ca="1" si="50"/>
        <v>0</v>
      </c>
      <c r="AQ149" s="45">
        <f t="shared" ca="1" si="50"/>
        <v>0</v>
      </c>
      <c r="AR149" s="45">
        <f t="shared" ca="1" si="50"/>
        <v>0</v>
      </c>
      <c r="AS149" s="45">
        <f t="shared" ca="1" si="50"/>
        <v>0</v>
      </c>
      <c r="AT149" s="45">
        <f t="shared" ca="1" si="50"/>
        <v>0</v>
      </c>
      <c r="AU149" s="45">
        <f t="shared" ca="1" si="50"/>
        <v>0</v>
      </c>
      <c r="AV149" s="45">
        <f t="shared" ca="1" si="50"/>
        <v>0</v>
      </c>
      <c r="AW149" s="45">
        <f t="shared" ca="1" si="50"/>
        <v>0</v>
      </c>
      <c r="AX149" s="45">
        <f t="shared" ca="1" si="50"/>
        <v>0</v>
      </c>
    </row>
    <row r="150" spans="1:50" ht="15" customHeight="1">
      <c r="A150" s="73"/>
      <c r="B150" s="141"/>
      <c r="C150" s="75"/>
      <c r="D150" s="131"/>
      <c r="E150" s="45" t="str">
        <f t="shared" ref="E150:AX150" si="51" xml:space="preserve"> E$65</f>
        <v>Transport costs post-fiscal point</v>
      </c>
      <c r="F150" s="45">
        <f t="shared" si="51"/>
        <v>0</v>
      </c>
      <c r="G150" s="45" t="str">
        <f t="shared" si="51"/>
        <v>US$ mn 2021</v>
      </c>
      <c r="H150" s="45">
        <f t="shared" si="51"/>
        <v>0</v>
      </c>
      <c r="I150" s="45">
        <f t="shared" ca="1" si="51"/>
        <v>50</v>
      </c>
      <c r="J150" s="45">
        <f t="shared" si="51"/>
        <v>0</v>
      </c>
      <c r="K150" s="45">
        <f t="shared" ca="1" si="51"/>
        <v>0</v>
      </c>
      <c r="L150" s="45">
        <f t="shared" ca="1" si="51"/>
        <v>0</v>
      </c>
      <c r="M150" s="45">
        <f t="shared" ca="1" si="51"/>
        <v>0</v>
      </c>
      <c r="N150" s="45">
        <f t="shared" ca="1" si="51"/>
        <v>0</v>
      </c>
      <c r="O150" s="45">
        <f t="shared" ca="1" si="51"/>
        <v>0.25</v>
      </c>
      <c r="P150" s="45">
        <f t="shared" ca="1" si="51"/>
        <v>1.875</v>
      </c>
      <c r="Q150" s="45">
        <f t="shared" ca="1" si="51"/>
        <v>3.75</v>
      </c>
      <c r="R150" s="45">
        <f t="shared" ca="1" si="51"/>
        <v>3.75</v>
      </c>
      <c r="S150" s="45">
        <f t="shared" ca="1" si="51"/>
        <v>3.75</v>
      </c>
      <c r="T150" s="45">
        <f t="shared" ca="1" si="51"/>
        <v>3.75</v>
      </c>
      <c r="U150" s="45">
        <f t="shared" ca="1" si="51"/>
        <v>3.75</v>
      </c>
      <c r="V150" s="45">
        <f t="shared" ca="1" si="51"/>
        <v>3.75</v>
      </c>
      <c r="W150" s="45">
        <f t="shared" ca="1" si="51"/>
        <v>3.75</v>
      </c>
      <c r="X150" s="45">
        <f t="shared" ca="1" si="51"/>
        <v>3.75</v>
      </c>
      <c r="Y150" s="45">
        <f t="shared" ca="1" si="51"/>
        <v>3.75</v>
      </c>
      <c r="Z150" s="45">
        <f t="shared" ca="1" si="51"/>
        <v>3.75</v>
      </c>
      <c r="AA150" s="45">
        <f t="shared" ca="1" si="51"/>
        <v>3.125</v>
      </c>
      <c r="AB150" s="45">
        <f t="shared" ca="1" si="51"/>
        <v>2.5</v>
      </c>
      <c r="AC150" s="45">
        <f t="shared" ca="1" si="51"/>
        <v>1.875</v>
      </c>
      <c r="AD150" s="45">
        <f t="shared" ca="1" si="51"/>
        <v>1.625</v>
      </c>
      <c r="AE150" s="45">
        <f t="shared" ca="1" si="51"/>
        <v>1.25</v>
      </c>
      <c r="AF150" s="45">
        <f t="shared" ca="1" si="51"/>
        <v>0</v>
      </c>
      <c r="AG150" s="45">
        <f t="shared" ca="1" si="51"/>
        <v>0</v>
      </c>
      <c r="AH150" s="45">
        <f t="shared" ca="1" si="51"/>
        <v>0</v>
      </c>
      <c r="AI150" s="45">
        <f t="shared" ca="1" si="51"/>
        <v>0</v>
      </c>
      <c r="AJ150" s="45">
        <f t="shared" ca="1" si="51"/>
        <v>0</v>
      </c>
      <c r="AK150" s="45">
        <f t="shared" ca="1" si="51"/>
        <v>0</v>
      </c>
      <c r="AL150" s="45">
        <f t="shared" ca="1" si="51"/>
        <v>0</v>
      </c>
      <c r="AM150" s="45">
        <f t="shared" ca="1" si="51"/>
        <v>0</v>
      </c>
      <c r="AN150" s="45">
        <f t="shared" ca="1" si="51"/>
        <v>0</v>
      </c>
      <c r="AO150" s="45">
        <f t="shared" ca="1" si="51"/>
        <v>0</v>
      </c>
      <c r="AP150" s="45">
        <f t="shared" ca="1" si="51"/>
        <v>0</v>
      </c>
      <c r="AQ150" s="45">
        <f t="shared" ca="1" si="51"/>
        <v>0</v>
      </c>
      <c r="AR150" s="45">
        <f t="shared" ca="1" si="51"/>
        <v>0</v>
      </c>
      <c r="AS150" s="45">
        <f t="shared" ca="1" si="51"/>
        <v>0</v>
      </c>
      <c r="AT150" s="45">
        <f t="shared" ca="1" si="51"/>
        <v>0</v>
      </c>
      <c r="AU150" s="45">
        <f t="shared" ca="1" si="51"/>
        <v>0</v>
      </c>
      <c r="AV150" s="45">
        <f t="shared" ca="1" si="51"/>
        <v>0</v>
      </c>
      <c r="AW150" s="45">
        <f t="shared" ca="1" si="51"/>
        <v>0</v>
      </c>
      <c r="AX150" s="45">
        <f t="shared" ca="1" si="51"/>
        <v>0</v>
      </c>
    </row>
    <row r="151" spans="1:50" s="121" customFormat="1" ht="15" customHeight="1">
      <c r="A151" s="72"/>
      <c r="B151" s="178"/>
      <c r="C151" s="71"/>
      <c r="D151" s="179"/>
      <c r="E151" s="157" t="str">
        <f t="shared" ref="E151:AX151" si="52" xml:space="preserve"> E$89</f>
        <v>Sales revenues: net</v>
      </c>
      <c r="F151" s="157">
        <f t="shared" si="52"/>
        <v>0</v>
      </c>
      <c r="G151" s="157" t="str">
        <f t="shared" si="52"/>
        <v>US$ mn 2021</v>
      </c>
      <c r="H151" s="157">
        <f t="shared" si="52"/>
        <v>0</v>
      </c>
      <c r="I151" s="157">
        <f t="shared" ca="1" si="52"/>
        <v>2950</v>
      </c>
      <c r="J151" s="157">
        <f t="shared" si="52"/>
        <v>0</v>
      </c>
      <c r="K151" s="157">
        <f t="shared" ca="1" si="52"/>
        <v>0</v>
      </c>
      <c r="L151" s="157">
        <f t="shared" ca="1" si="52"/>
        <v>0</v>
      </c>
      <c r="M151" s="157">
        <f t="shared" ca="1" si="52"/>
        <v>0</v>
      </c>
      <c r="N151" s="157">
        <f t="shared" ca="1" si="52"/>
        <v>0</v>
      </c>
      <c r="O151" s="157">
        <f t="shared" ca="1" si="52"/>
        <v>14.75</v>
      </c>
      <c r="P151" s="157">
        <f t="shared" ca="1" si="52"/>
        <v>110.625</v>
      </c>
      <c r="Q151" s="157">
        <f t="shared" ca="1" si="52"/>
        <v>221.25</v>
      </c>
      <c r="R151" s="157">
        <f t="shared" ca="1" si="52"/>
        <v>221.25</v>
      </c>
      <c r="S151" s="157">
        <f t="shared" ca="1" si="52"/>
        <v>221.25</v>
      </c>
      <c r="T151" s="157">
        <f t="shared" ca="1" si="52"/>
        <v>221.25</v>
      </c>
      <c r="U151" s="157">
        <f t="shared" ca="1" si="52"/>
        <v>221.25</v>
      </c>
      <c r="V151" s="157">
        <f t="shared" ca="1" si="52"/>
        <v>221.25</v>
      </c>
      <c r="W151" s="157">
        <f t="shared" ca="1" si="52"/>
        <v>221.25</v>
      </c>
      <c r="X151" s="157">
        <f t="shared" ca="1" si="52"/>
        <v>221.25</v>
      </c>
      <c r="Y151" s="157">
        <f t="shared" ca="1" si="52"/>
        <v>221.25</v>
      </c>
      <c r="Z151" s="157">
        <f t="shared" ca="1" si="52"/>
        <v>221.25</v>
      </c>
      <c r="AA151" s="157">
        <f t="shared" ca="1" si="52"/>
        <v>184.375</v>
      </c>
      <c r="AB151" s="157">
        <f t="shared" ca="1" si="52"/>
        <v>147.5</v>
      </c>
      <c r="AC151" s="157">
        <f t="shared" ca="1" si="52"/>
        <v>110.625</v>
      </c>
      <c r="AD151" s="157">
        <f t="shared" ca="1" si="52"/>
        <v>95.875</v>
      </c>
      <c r="AE151" s="157">
        <f t="shared" ca="1" si="52"/>
        <v>73.75</v>
      </c>
      <c r="AF151" s="157">
        <f t="shared" ca="1" si="52"/>
        <v>0</v>
      </c>
      <c r="AG151" s="157">
        <f t="shared" ca="1" si="52"/>
        <v>0</v>
      </c>
      <c r="AH151" s="157">
        <f t="shared" ca="1" si="52"/>
        <v>0</v>
      </c>
      <c r="AI151" s="157">
        <f t="shared" ca="1" si="52"/>
        <v>0</v>
      </c>
      <c r="AJ151" s="157">
        <f t="shared" ca="1" si="52"/>
        <v>0</v>
      </c>
      <c r="AK151" s="157">
        <f t="shared" ca="1" si="52"/>
        <v>0</v>
      </c>
      <c r="AL151" s="157">
        <f t="shared" ca="1" si="52"/>
        <v>0</v>
      </c>
      <c r="AM151" s="157">
        <f t="shared" ca="1" si="52"/>
        <v>0</v>
      </c>
      <c r="AN151" s="157">
        <f t="shared" ca="1" si="52"/>
        <v>0</v>
      </c>
      <c r="AO151" s="157">
        <f t="shared" ca="1" si="52"/>
        <v>0</v>
      </c>
      <c r="AP151" s="157">
        <f t="shared" ca="1" si="52"/>
        <v>0</v>
      </c>
      <c r="AQ151" s="157">
        <f t="shared" ca="1" si="52"/>
        <v>0</v>
      </c>
      <c r="AR151" s="157">
        <f t="shared" ca="1" si="52"/>
        <v>0</v>
      </c>
      <c r="AS151" s="157">
        <f t="shared" ca="1" si="52"/>
        <v>0</v>
      </c>
      <c r="AT151" s="157">
        <f t="shared" ca="1" si="52"/>
        <v>0</v>
      </c>
      <c r="AU151" s="157">
        <f t="shared" ca="1" si="52"/>
        <v>0</v>
      </c>
      <c r="AV151" s="157">
        <f t="shared" ca="1" si="52"/>
        <v>0</v>
      </c>
      <c r="AW151" s="157">
        <f t="shared" ca="1" si="52"/>
        <v>0</v>
      </c>
      <c r="AX151" s="157">
        <f t="shared" ca="1" si="52"/>
        <v>0</v>
      </c>
    </row>
    <row r="152" spans="1:50" ht="15" customHeight="1">
      <c r="A152" s="73"/>
      <c r="B152" s="141"/>
      <c r="C152" s="75"/>
      <c r="D152" s="131"/>
      <c r="E152" s="45"/>
      <c r="F152" s="45"/>
      <c r="G152" s="45"/>
      <c r="H152" s="45"/>
      <c r="I152" s="45"/>
      <c r="J152" s="45"/>
      <c r="K152" s="45"/>
      <c r="L152" s="45"/>
      <c r="M152" s="45"/>
      <c r="N152" s="45"/>
      <c r="O152" s="45"/>
      <c r="P152" s="45"/>
      <c r="Q152" s="45"/>
      <c r="R152" s="45"/>
      <c r="S152" s="45"/>
      <c r="T152" s="45"/>
      <c r="U152" s="45"/>
      <c r="V152" s="45"/>
      <c r="W152" s="45"/>
      <c r="X152" s="45"/>
      <c r="Y152" s="45"/>
      <c r="Z152" s="45"/>
      <c r="AA152" s="45"/>
      <c r="AB152" s="45"/>
      <c r="AC152" s="45"/>
      <c r="AD152" s="45"/>
      <c r="AE152" s="45"/>
      <c r="AF152" s="45"/>
      <c r="AG152" s="45"/>
      <c r="AH152" s="45"/>
      <c r="AI152" s="45"/>
      <c r="AJ152" s="45"/>
      <c r="AK152" s="45"/>
      <c r="AL152" s="45"/>
      <c r="AM152" s="45"/>
      <c r="AN152" s="45"/>
      <c r="AO152" s="45"/>
      <c r="AP152" s="45"/>
      <c r="AQ152" s="45"/>
      <c r="AR152" s="45"/>
      <c r="AS152" s="45"/>
      <c r="AT152" s="45"/>
      <c r="AU152" s="45"/>
      <c r="AV152" s="45"/>
      <c r="AW152" s="45"/>
      <c r="AX152" s="45"/>
    </row>
    <row r="153" spans="1:50" ht="15" customHeight="1">
      <c r="A153" s="73"/>
      <c r="B153" s="141"/>
      <c r="C153" s="75"/>
      <c r="D153" s="131"/>
      <c r="E153" s="45" t="str">
        <f t="shared" ref="E153:AX153" si="53" xml:space="preserve"> E$66</f>
        <v>Exploration costs</v>
      </c>
      <c r="F153" s="45">
        <f t="shared" si="53"/>
        <v>0</v>
      </c>
      <c r="G153" s="45" t="str">
        <f t="shared" si="53"/>
        <v>US$ mn 2021</v>
      </c>
      <c r="H153" s="45">
        <f t="shared" si="53"/>
        <v>0</v>
      </c>
      <c r="I153" s="45">
        <f t="shared" ca="1" si="53"/>
        <v>30</v>
      </c>
      <c r="J153" s="45">
        <f t="shared" si="53"/>
        <v>0</v>
      </c>
      <c r="K153" s="45">
        <f t="shared" ca="1" si="53"/>
        <v>10</v>
      </c>
      <c r="L153" s="45">
        <f t="shared" ca="1" si="53"/>
        <v>10</v>
      </c>
      <c r="M153" s="45">
        <f t="shared" ca="1" si="53"/>
        <v>10</v>
      </c>
      <c r="N153" s="45">
        <f t="shared" ca="1" si="53"/>
        <v>0</v>
      </c>
      <c r="O153" s="45">
        <f t="shared" ca="1" si="53"/>
        <v>0</v>
      </c>
      <c r="P153" s="45">
        <f t="shared" ca="1" si="53"/>
        <v>0</v>
      </c>
      <c r="Q153" s="45">
        <f t="shared" ca="1" si="53"/>
        <v>0</v>
      </c>
      <c r="R153" s="45">
        <f t="shared" ca="1" si="53"/>
        <v>0</v>
      </c>
      <c r="S153" s="45">
        <f t="shared" ca="1" si="53"/>
        <v>0</v>
      </c>
      <c r="T153" s="45">
        <f t="shared" ca="1" si="53"/>
        <v>0</v>
      </c>
      <c r="U153" s="45">
        <f t="shared" ca="1" si="53"/>
        <v>0</v>
      </c>
      <c r="V153" s="45">
        <f t="shared" ca="1" si="53"/>
        <v>0</v>
      </c>
      <c r="W153" s="45">
        <f t="shared" ca="1" si="53"/>
        <v>0</v>
      </c>
      <c r="X153" s="45">
        <f t="shared" ca="1" si="53"/>
        <v>0</v>
      </c>
      <c r="Y153" s="45">
        <f t="shared" ca="1" si="53"/>
        <v>0</v>
      </c>
      <c r="Z153" s="45">
        <f t="shared" ca="1" si="53"/>
        <v>0</v>
      </c>
      <c r="AA153" s="45">
        <f t="shared" ca="1" si="53"/>
        <v>0</v>
      </c>
      <c r="AB153" s="45">
        <f t="shared" ca="1" si="53"/>
        <v>0</v>
      </c>
      <c r="AC153" s="45">
        <f t="shared" ca="1" si="53"/>
        <v>0</v>
      </c>
      <c r="AD153" s="45">
        <f t="shared" ca="1" si="53"/>
        <v>0</v>
      </c>
      <c r="AE153" s="45">
        <f t="shared" ca="1" si="53"/>
        <v>0</v>
      </c>
      <c r="AF153" s="45">
        <f t="shared" ca="1" si="53"/>
        <v>0</v>
      </c>
      <c r="AG153" s="45">
        <f t="shared" ca="1" si="53"/>
        <v>0</v>
      </c>
      <c r="AH153" s="45">
        <f t="shared" ca="1" si="53"/>
        <v>0</v>
      </c>
      <c r="AI153" s="45">
        <f t="shared" ca="1" si="53"/>
        <v>0</v>
      </c>
      <c r="AJ153" s="45">
        <f t="shared" ca="1" si="53"/>
        <v>0</v>
      </c>
      <c r="AK153" s="45">
        <f t="shared" ca="1" si="53"/>
        <v>0</v>
      </c>
      <c r="AL153" s="45">
        <f t="shared" ca="1" si="53"/>
        <v>0</v>
      </c>
      <c r="AM153" s="45">
        <f t="shared" ca="1" si="53"/>
        <v>0</v>
      </c>
      <c r="AN153" s="45">
        <f t="shared" ca="1" si="53"/>
        <v>0</v>
      </c>
      <c r="AO153" s="45">
        <f t="shared" ca="1" si="53"/>
        <v>0</v>
      </c>
      <c r="AP153" s="45">
        <f t="shared" ca="1" si="53"/>
        <v>0</v>
      </c>
      <c r="AQ153" s="45">
        <f t="shared" ca="1" si="53"/>
        <v>0</v>
      </c>
      <c r="AR153" s="45">
        <f t="shared" ca="1" si="53"/>
        <v>0</v>
      </c>
      <c r="AS153" s="45">
        <f t="shared" ca="1" si="53"/>
        <v>0</v>
      </c>
      <c r="AT153" s="45">
        <f t="shared" ca="1" si="53"/>
        <v>0</v>
      </c>
      <c r="AU153" s="45">
        <f t="shared" ca="1" si="53"/>
        <v>0</v>
      </c>
      <c r="AV153" s="45">
        <f t="shared" ca="1" si="53"/>
        <v>0</v>
      </c>
      <c r="AW153" s="45">
        <f t="shared" ca="1" si="53"/>
        <v>0</v>
      </c>
      <c r="AX153" s="45">
        <f t="shared" ca="1" si="53"/>
        <v>0</v>
      </c>
    </row>
    <row r="154" spans="1:50" ht="15" customHeight="1">
      <c r="A154" s="73"/>
      <c r="B154" s="141"/>
      <c r="C154" s="75"/>
      <c r="D154" s="131"/>
      <c r="E154" s="45" t="str">
        <f xml:space="preserve"> E$67</f>
        <v>Development costs</v>
      </c>
      <c r="F154" s="45">
        <f t="shared" ref="F154:AX154" si="54" xml:space="preserve"> F$93</f>
        <v>0</v>
      </c>
      <c r="G154" s="45" t="str">
        <f t="shared" si="54"/>
        <v>US$ mn 2021</v>
      </c>
      <c r="H154" s="45">
        <f t="shared" si="54"/>
        <v>0</v>
      </c>
      <c r="I154" s="45">
        <f t="shared" ca="1" si="54"/>
        <v>400</v>
      </c>
      <c r="J154" s="45">
        <f t="shared" si="54"/>
        <v>0</v>
      </c>
      <c r="K154" s="45">
        <f t="shared" ca="1" si="54"/>
        <v>0</v>
      </c>
      <c r="L154" s="45">
        <f t="shared" ca="1" si="54"/>
        <v>0</v>
      </c>
      <c r="M154" s="45">
        <f t="shared" ca="1" si="54"/>
        <v>0</v>
      </c>
      <c r="N154" s="45">
        <f t="shared" ca="1" si="54"/>
        <v>50</v>
      </c>
      <c r="O154" s="45">
        <f t="shared" ca="1" si="54"/>
        <v>250</v>
      </c>
      <c r="P154" s="45">
        <f t="shared" ca="1" si="54"/>
        <v>100</v>
      </c>
      <c r="Q154" s="45">
        <f t="shared" ca="1" si="54"/>
        <v>0</v>
      </c>
      <c r="R154" s="45">
        <f t="shared" ca="1" si="54"/>
        <v>0</v>
      </c>
      <c r="S154" s="45">
        <f t="shared" ca="1" si="54"/>
        <v>0</v>
      </c>
      <c r="T154" s="45">
        <f t="shared" ca="1" si="54"/>
        <v>0</v>
      </c>
      <c r="U154" s="45">
        <f t="shared" ca="1" si="54"/>
        <v>0</v>
      </c>
      <c r="V154" s="45">
        <f t="shared" ca="1" si="54"/>
        <v>0</v>
      </c>
      <c r="W154" s="45">
        <f t="shared" ca="1" si="54"/>
        <v>0</v>
      </c>
      <c r="X154" s="45">
        <f t="shared" ca="1" si="54"/>
        <v>0</v>
      </c>
      <c r="Y154" s="45">
        <f t="shared" ca="1" si="54"/>
        <v>0</v>
      </c>
      <c r="Z154" s="45">
        <f t="shared" ca="1" si="54"/>
        <v>0</v>
      </c>
      <c r="AA154" s="45">
        <f t="shared" ca="1" si="54"/>
        <v>0</v>
      </c>
      <c r="AB154" s="45">
        <f t="shared" ca="1" si="54"/>
        <v>0</v>
      </c>
      <c r="AC154" s="45">
        <f t="shared" ca="1" si="54"/>
        <v>0</v>
      </c>
      <c r="AD154" s="45">
        <f t="shared" ca="1" si="54"/>
        <v>0</v>
      </c>
      <c r="AE154" s="45">
        <f t="shared" ca="1" si="54"/>
        <v>0</v>
      </c>
      <c r="AF154" s="45">
        <f t="shared" ca="1" si="54"/>
        <v>0</v>
      </c>
      <c r="AG154" s="45">
        <f t="shared" ca="1" si="54"/>
        <v>0</v>
      </c>
      <c r="AH154" s="45">
        <f t="shared" ca="1" si="54"/>
        <v>0</v>
      </c>
      <c r="AI154" s="45">
        <f t="shared" ca="1" si="54"/>
        <v>0</v>
      </c>
      <c r="AJ154" s="45">
        <f t="shared" ca="1" si="54"/>
        <v>0</v>
      </c>
      <c r="AK154" s="45">
        <f t="shared" ca="1" si="54"/>
        <v>0</v>
      </c>
      <c r="AL154" s="45">
        <f t="shared" ca="1" si="54"/>
        <v>0</v>
      </c>
      <c r="AM154" s="45">
        <f t="shared" ca="1" si="54"/>
        <v>0</v>
      </c>
      <c r="AN154" s="45">
        <f t="shared" ca="1" si="54"/>
        <v>0</v>
      </c>
      <c r="AO154" s="45">
        <f t="shared" ca="1" si="54"/>
        <v>0</v>
      </c>
      <c r="AP154" s="45">
        <f t="shared" ca="1" si="54"/>
        <v>0</v>
      </c>
      <c r="AQ154" s="45">
        <f t="shared" ca="1" si="54"/>
        <v>0</v>
      </c>
      <c r="AR154" s="45">
        <f t="shared" ca="1" si="54"/>
        <v>0</v>
      </c>
      <c r="AS154" s="45">
        <f t="shared" ca="1" si="54"/>
        <v>0</v>
      </c>
      <c r="AT154" s="45">
        <f t="shared" ca="1" si="54"/>
        <v>0</v>
      </c>
      <c r="AU154" s="45">
        <f t="shared" ca="1" si="54"/>
        <v>0</v>
      </c>
      <c r="AV154" s="45">
        <f t="shared" ca="1" si="54"/>
        <v>0</v>
      </c>
      <c r="AW154" s="45">
        <f t="shared" ca="1" si="54"/>
        <v>0</v>
      </c>
      <c r="AX154" s="45">
        <f t="shared" ca="1" si="54"/>
        <v>0</v>
      </c>
    </row>
    <row r="155" spans="1:50" ht="15" customHeight="1">
      <c r="A155" s="73"/>
      <c r="B155" s="141"/>
      <c r="C155" s="75"/>
      <c r="D155" s="131"/>
      <c r="E155" s="45" t="str">
        <f xml:space="preserve"> E$68</f>
        <v>Replacement capital costs</v>
      </c>
      <c r="F155" s="45">
        <f t="shared" ref="F155:AX155" si="55" xml:space="preserve"> F$94</f>
        <v>0</v>
      </c>
      <c r="G155" s="45" t="str">
        <f t="shared" si="55"/>
        <v>US$ mn 2021</v>
      </c>
      <c r="H155" s="45">
        <f t="shared" si="55"/>
        <v>0</v>
      </c>
      <c r="I155" s="45">
        <f t="shared" ca="1" si="55"/>
        <v>96</v>
      </c>
      <c r="J155" s="45">
        <f t="shared" si="55"/>
        <v>0</v>
      </c>
      <c r="K155" s="45">
        <f t="shared" ca="1" si="55"/>
        <v>0</v>
      </c>
      <c r="L155" s="45">
        <f t="shared" ca="1" si="55"/>
        <v>0</v>
      </c>
      <c r="M155" s="45">
        <f t="shared" ca="1" si="55"/>
        <v>0</v>
      </c>
      <c r="N155" s="45">
        <f t="shared" ca="1" si="55"/>
        <v>0</v>
      </c>
      <c r="O155" s="45">
        <f t="shared" ca="1" si="55"/>
        <v>0</v>
      </c>
      <c r="P155" s="45">
        <f t="shared" ca="1" si="55"/>
        <v>8</v>
      </c>
      <c r="Q155" s="45">
        <f t="shared" ca="1" si="55"/>
        <v>8</v>
      </c>
      <c r="R155" s="45">
        <f t="shared" ca="1" si="55"/>
        <v>8</v>
      </c>
      <c r="S155" s="45">
        <f t="shared" ca="1" si="55"/>
        <v>8</v>
      </c>
      <c r="T155" s="45">
        <f t="shared" ca="1" si="55"/>
        <v>8</v>
      </c>
      <c r="U155" s="45">
        <f t="shared" ca="1" si="55"/>
        <v>8</v>
      </c>
      <c r="V155" s="45">
        <f t="shared" ca="1" si="55"/>
        <v>8</v>
      </c>
      <c r="W155" s="45">
        <f t="shared" ca="1" si="55"/>
        <v>8</v>
      </c>
      <c r="X155" s="45">
        <f t="shared" ca="1" si="55"/>
        <v>8</v>
      </c>
      <c r="Y155" s="45">
        <f t="shared" ca="1" si="55"/>
        <v>8</v>
      </c>
      <c r="Z155" s="45">
        <f t="shared" ca="1" si="55"/>
        <v>8</v>
      </c>
      <c r="AA155" s="45">
        <f t="shared" ca="1" si="55"/>
        <v>8</v>
      </c>
      <c r="AB155" s="45">
        <f t="shared" ca="1" si="55"/>
        <v>0</v>
      </c>
      <c r="AC155" s="45">
        <f t="shared" ca="1" si="55"/>
        <v>0</v>
      </c>
      <c r="AD155" s="45">
        <f t="shared" ca="1" si="55"/>
        <v>0</v>
      </c>
      <c r="AE155" s="45">
        <f t="shared" ca="1" si="55"/>
        <v>0</v>
      </c>
      <c r="AF155" s="45">
        <f t="shared" ca="1" si="55"/>
        <v>0</v>
      </c>
      <c r="AG155" s="45">
        <f t="shared" ca="1" si="55"/>
        <v>0</v>
      </c>
      <c r="AH155" s="45">
        <f t="shared" ca="1" si="55"/>
        <v>0</v>
      </c>
      <c r="AI155" s="45">
        <f t="shared" ca="1" si="55"/>
        <v>0</v>
      </c>
      <c r="AJ155" s="45">
        <f t="shared" ca="1" si="55"/>
        <v>0</v>
      </c>
      <c r="AK155" s="45">
        <f t="shared" ca="1" si="55"/>
        <v>0</v>
      </c>
      <c r="AL155" s="45">
        <f t="shared" ca="1" si="55"/>
        <v>0</v>
      </c>
      <c r="AM155" s="45">
        <f t="shared" ca="1" si="55"/>
        <v>0</v>
      </c>
      <c r="AN155" s="45">
        <f t="shared" ca="1" si="55"/>
        <v>0</v>
      </c>
      <c r="AO155" s="45">
        <f t="shared" ca="1" si="55"/>
        <v>0</v>
      </c>
      <c r="AP155" s="45">
        <f t="shared" ca="1" si="55"/>
        <v>0</v>
      </c>
      <c r="AQ155" s="45">
        <f t="shared" ca="1" si="55"/>
        <v>0</v>
      </c>
      <c r="AR155" s="45">
        <f t="shared" ca="1" si="55"/>
        <v>0</v>
      </c>
      <c r="AS155" s="45">
        <f t="shared" ca="1" si="55"/>
        <v>0</v>
      </c>
      <c r="AT155" s="45">
        <f t="shared" ca="1" si="55"/>
        <v>0</v>
      </c>
      <c r="AU155" s="45">
        <f t="shared" ca="1" si="55"/>
        <v>0</v>
      </c>
      <c r="AV155" s="45">
        <f t="shared" ca="1" si="55"/>
        <v>0</v>
      </c>
      <c r="AW155" s="45">
        <f t="shared" ca="1" si="55"/>
        <v>0</v>
      </c>
      <c r="AX155" s="45">
        <f t="shared" ca="1" si="55"/>
        <v>0</v>
      </c>
    </row>
    <row r="156" spans="1:50" ht="15" customHeight="1">
      <c r="A156" s="73"/>
      <c r="B156" s="141"/>
      <c r="C156" s="75"/>
      <c r="D156" s="131"/>
      <c r="E156" s="45" t="str">
        <f xml:space="preserve"> E$69</f>
        <v>Operating costs</v>
      </c>
      <c r="F156" s="45">
        <f t="shared" ref="F156:AX156" si="56" xml:space="preserve"> F$95</f>
        <v>0</v>
      </c>
      <c r="G156" s="45" t="str">
        <f t="shared" si="56"/>
        <v>US$ mn 2021</v>
      </c>
      <c r="H156" s="45">
        <f t="shared" si="56"/>
        <v>0</v>
      </c>
      <c r="I156" s="45">
        <f t="shared" ca="1" si="56"/>
        <v>900</v>
      </c>
      <c r="J156" s="45">
        <f t="shared" si="56"/>
        <v>0</v>
      </c>
      <c r="K156" s="45">
        <f t="shared" ca="1" si="56"/>
        <v>0</v>
      </c>
      <c r="L156" s="45">
        <f t="shared" ca="1" si="56"/>
        <v>0</v>
      </c>
      <c r="M156" s="45">
        <f t="shared" ca="1" si="56"/>
        <v>0</v>
      </c>
      <c r="N156" s="45">
        <f t="shared" ca="1" si="56"/>
        <v>0</v>
      </c>
      <c r="O156" s="45">
        <f t="shared" ca="1" si="56"/>
        <v>4.5</v>
      </c>
      <c r="P156" s="45">
        <f t="shared" ca="1" si="56"/>
        <v>33.75</v>
      </c>
      <c r="Q156" s="45">
        <f t="shared" ca="1" si="56"/>
        <v>67.5</v>
      </c>
      <c r="R156" s="45">
        <f t="shared" ca="1" si="56"/>
        <v>67.5</v>
      </c>
      <c r="S156" s="45">
        <f t="shared" ca="1" si="56"/>
        <v>67.5</v>
      </c>
      <c r="T156" s="45">
        <f t="shared" ca="1" si="56"/>
        <v>67.5</v>
      </c>
      <c r="U156" s="45">
        <f t="shared" ca="1" si="56"/>
        <v>67.5</v>
      </c>
      <c r="V156" s="45">
        <f t="shared" ca="1" si="56"/>
        <v>67.5</v>
      </c>
      <c r="W156" s="45">
        <f t="shared" ca="1" si="56"/>
        <v>67.5</v>
      </c>
      <c r="X156" s="45">
        <f t="shared" ca="1" si="56"/>
        <v>67.5</v>
      </c>
      <c r="Y156" s="45">
        <f t="shared" ca="1" si="56"/>
        <v>67.5</v>
      </c>
      <c r="Z156" s="45">
        <f t="shared" ca="1" si="56"/>
        <v>67.5</v>
      </c>
      <c r="AA156" s="45">
        <f t="shared" ca="1" si="56"/>
        <v>56.25</v>
      </c>
      <c r="AB156" s="45">
        <f t="shared" ca="1" si="56"/>
        <v>45</v>
      </c>
      <c r="AC156" s="45">
        <f t="shared" ca="1" si="56"/>
        <v>33.75</v>
      </c>
      <c r="AD156" s="45">
        <f t="shared" ca="1" si="56"/>
        <v>29.25</v>
      </c>
      <c r="AE156" s="45">
        <f t="shared" ca="1" si="56"/>
        <v>22.5</v>
      </c>
      <c r="AF156" s="45">
        <f t="shared" ca="1" si="56"/>
        <v>0</v>
      </c>
      <c r="AG156" s="45">
        <f t="shared" ca="1" si="56"/>
        <v>0</v>
      </c>
      <c r="AH156" s="45">
        <f t="shared" ca="1" si="56"/>
        <v>0</v>
      </c>
      <c r="AI156" s="45">
        <f t="shared" ca="1" si="56"/>
        <v>0</v>
      </c>
      <c r="AJ156" s="45">
        <f t="shared" ca="1" si="56"/>
        <v>0</v>
      </c>
      <c r="AK156" s="45">
        <f t="shared" ca="1" si="56"/>
        <v>0</v>
      </c>
      <c r="AL156" s="45">
        <f t="shared" ca="1" si="56"/>
        <v>0</v>
      </c>
      <c r="AM156" s="45">
        <f t="shared" ca="1" si="56"/>
        <v>0</v>
      </c>
      <c r="AN156" s="45">
        <f t="shared" ca="1" si="56"/>
        <v>0</v>
      </c>
      <c r="AO156" s="45">
        <f t="shared" ca="1" si="56"/>
        <v>0</v>
      </c>
      <c r="AP156" s="45">
        <f t="shared" ca="1" si="56"/>
        <v>0</v>
      </c>
      <c r="AQ156" s="45">
        <f t="shared" ca="1" si="56"/>
        <v>0</v>
      </c>
      <c r="AR156" s="45">
        <f t="shared" ca="1" si="56"/>
        <v>0</v>
      </c>
      <c r="AS156" s="45">
        <f t="shared" ca="1" si="56"/>
        <v>0</v>
      </c>
      <c r="AT156" s="45">
        <f t="shared" ca="1" si="56"/>
        <v>0</v>
      </c>
      <c r="AU156" s="45">
        <f t="shared" ca="1" si="56"/>
        <v>0</v>
      </c>
      <c r="AV156" s="45">
        <f t="shared" ca="1" si="56"/>
        <v>0</v>
      </c>
      <c r="AW156" s="45">
        <f t="shared" ca="1" si="56"/>
        <v>0</v>
      </c>
      <c r="AX156" s="45">
        <f t="shared" ca="1" si="56"/>
        <v>0</v>
      </c>
    </row>
    <row r="157" spans="1:50" ht="15" customHeight="1">
      <c r="A157" s="73"/>
      <c r="B157" s="141"/>
      <c r="C157" s="75"/>
      <c r="D157" s="131"/>
      <c r="E157" s="45" t="str">
        <f xml:space="preserve"> E$70</f>
        <v>Decommissioning costs</v>
      </c>
      <c r="F157" s="45">
        <f t="shared" ref="F157:AX157" si="57" xml:space="preserve"> F$96</f>
        <v>0</v>
      </c>
      <c r="G157" s="45" t="str">
        <f t="shared" si="57"/>
        <v>US$ mn 2021</v>
      </c>
      <c r="H157" s="45">
        <f t="shared" si="57"/>
        <v>0</v>
      </c>
      <c r="I157" s="45">
        <f t="shared" ca="1" si="57"/>
        <v>20</v>
      </c>
      <c r="J157" s="45">
        <f t="shared" si="57"/>
        <v>0</v>
      </c>
      <c r="K157" s="45">
        <f t="shared" ca="1" si="57"/>
        <v>0</v>
      </c>
      <c r="L157" s="45">
        <f t="shared" ca="1" si="57"/>
        <v>0</v>
      </c>
      <c r="M157" s="45">
        <f t="shared" ca="1" si="57"/>
        <v>0</v>
      </c>
      <c r="N157" s="45">
        <f t="shared" ca="1" si="57"/>
        <v>0</v>
      </c>
      <c r="O157" s="45">
        <f t="shared" ca="1" si="57"/>
        <v>0</v>
      </c>
      <c r="P157" s="45">
        <f t="shared" ca="1" si="57"/>
        <v>0</v>
      </c>
      <c r="Q157" s="45">
        <f t="shared" ca="1" si="57"/>
        <v>0</v>
      </c>
      <c r="R157" s="45">
        <f t="shared" ca="1" si="57"/>
        <v>0</v>
      </c>
      <c r="S157" s="45">
        <f t="shared" ca="1" si="57"/>
        <v>0</v>
      </c>
      <c r="T157" s="45">
        <f t="shared" ca="1" si="57"/>
        <v>0</v>
      </c>
      <c r="U157" s="45">
        <f t="shared" ca="1" si="57"/>
        <v>0</v>
      </c>
      <c r="V157" s="45">
        <f t="shared" ca="1" si="57"/>
        <v>0</v>
      </c>
      <c r="W157" s="45">
        <f t="shared" ca="1" si="57"/>
        <v>0</v>
      </c>
      <c r="X157" s="45">
        <f t="shared" ca="1" si="57"/>
        <v>0</v>
      </c>
      <c r="Y157" s="45">
        <f t="shared" ca="1" si="57"/>
        <v>0</v>
      </c>
      <c r="Z157" s="45">
        <f t="shared" ca="1" si="57"/>
        <v>0</v>
      </c>
      <c r="AA157" s="45">
        <f t="shared" ca="1" si="57"/>
        <v>0</v>
      </c>
      <c r="AB157" s="45">
        <f t="shared" ca="1" si="57"/>
        <v>0</v>
      </c>
      <c r="AC157" s="45">
        <f t="shared" ca="1" si="57"/>
        <v>0</v>
      </c>
      <c r="AD157" s="45">
        <f t="shared" ca="1" si="57"/>
        <v>0</v>
      </c>
      <c r="AE157" s="45">
        <f t="shared" ca="1" si="57"/>
        <v>0</v>
      </c>
      <c r="AF157" s="45">
        <f t="shared" ca="1" si="57"/>
        <v>20</v>
      </c>
      <c r="AG157" s="45">
        <f t="shared" ca="1" si="57"/>
        <v>0</v>
      </c>
      <c r="AH157" s="45">
        <f t="shared" ca="1" si="57"/>
        <v>0</v>
      </c>
      <c r="AI157" s="45">
        <f t="shared" ca="1" si="57"/>
        <v>0</v>
      </c>
      <c r="AJ157" s="45">
        <f t="shared" ca="1" si="57"/>
        <v>0</v>
      </c>
      <c r="AK157" s="45">
        <f t="shared" ca="1" si="57"/>
        <v>0</v>
      </c>
      <c r="AL157" s="45">
        <f t="shared" ca="1" si="57"/>
        <v>0</v>
      </c>
      <c r="AM157" s="45">
        <f t="shared" ca="1" si="57"/>
        <v>0</v>
      </c>
      <c r="AN157" s="45">
        <f t="shared" ca="1" si="57"/>
        <v>0</v>
      </c>
      <c r="AO157" s="45">
        <f t="shared" ca="1" si="57"/>
        <v>0</v>
      </c>
      <c r="AP157" s="45">
        <f t="shared" ca="1" si="57"/>
        <v>0</v>
      </c>
      <c r="AQ157" s="45">
        <f t="shared" ca="1" si="57"/>
        <v>0</v>
      </c>
      <c r="AR157" s="45">
        <f t="shared" ca="1" si="57"/>
        <v>0</v>
      </c>
      <c r="AS157" s="45">
        <f t="shared" ca="1" si="57"/>
        <v>0</v>
      </c>
      <c r="AT157" s="45">
        <f t="shared" ca="1" si="57"/>
        <v>0</v>
      </c>
      <c r="AU157" s="45">
        <f t="shared" ca="1" si="57"/>
        <v>0</v>
      </c>
      <c r="AV157" s="45">
        <f t="shared" ca="1" si="57"/>
        <v>0</v>
      </c>
      <c r="AW157" s="45">
        <f t="shared" ca="1" si="57"/>
        <v>0</v>
      </c>
      <c r="AX157" s="45">
        <f t="shared" ca="1" si="57"/>
        <v>0</v>
      </c>
    </row>
    <row r="158" spans="1:50" ht="15" customHeight="1">
      <c r="A158" s="73"/>
      <c r="B158" s="141"/>
      <c r="C158" s="75"/>
      <c r="D158" s="131"/>
      <c r="E158" s="45" t="str">
        <f>Translate!$E$379</f>
        <v>Project costs</v>
      </c>
      <c r="F158" s="45"/>
      <c r="G158" s="311" t="str">
        <f xml:space="preserve"> Inputs!F$53</f>
        <v>US$ mn 2021</v>
      </c>
      <c r="H158" s="45"/>
      <c r="I158" s="45">
        <f ca="1" xml:space="preserve"> SUM(K158:AX158)</f>
        <v>1446</v>
      </c>
      <c r="J158" s="45"/>
      <c r="K158" s="45">
        <f t="shared" ref="K158:AX158" ca="1" si="58">SUM(K153:K157)</f>
        <v>10</v>
      </c>
      <c r="L158" s="45">
        <f t="shared" ca="1" si="58"/>
        <v>10</v>
      </c>
      <c r="M158" s="45">
        <f t="shared" ca="1" si="58"/>
        <v>10</v>
      </c>
      <c r="N158" s="45">
        <f t="shared" ca="1" si="58"/>
        <v>50</v>
      </c>
      <c r="O158" s="45">
        <f t="shared" ca="1" si="58"/>
        <v>254.5</v>
      </c>
      <c r="P158" s="45">
        <f t="shared" ca="1" si="58"/>
        <v>141.75</v>
      </c>
      <c r="Q158" s="45">
        <f t="shared" ca="1" si="58"/>
        <v>75.5</v>
      </c>
      <c r="R158" s="45">
        <f t="shared" ca="1" si="58"/>
        <v>75.5</v>
      </c>
      <c r="S158" s="45">
        <f t="shared" ca="1" si="58"/>
        <v>75.5</v>
      </c>
      <c r="T158" s="45">
        <f t="shared" ca="1" si="58"/>
        <v>75.5</v>
      </c>
      <c r="U158" s="45">
        <f t="shared" ca="1" si="58"/>
        <v>75.5</v>
      </c>
      <c r="V158" s="45">
        <f t="shared" ca="1" si="58"/>
        <v>75.5</v>
      </c>
      <c r="W158" s="45">
        <f t="shared" ca="1" si="58"/>
        <v>75.5</v>
      </c>
      <c r="X158" s="45">
        <f t="shared" ca="1" si="58"/>
        <v>75.5</v>
      </c>
      <c r="Y158" s="45">
        <f t="shared" ca="1" si="58"/>
        <v>75.5</v>
      </c>
      <c r="Z158" s="45">
        <f t="shared" ca="1" si="58"/>
        <v>75.5</v>
      </c>
      <c r="AA158" s="45">
        <f t="shared" ca="1" si="58"/>
        <v>64.25</v>
      </c>
      <c r="AB158" s="45">
        <f t="shared" ca="1" si="58"/>
        <v>45</v>
      </c>
      <c r="AC158" s="45">
        <f t="shared" ca="1" si="58"/>
        <v>33.75</v>
      </c>
      <c r="AD158" s="45">
        <f t="shared" ca="1" si="58"/>
        <v>29.25</v>
      </c>
      <c r="AE158" s="45">
        <f t="shared" ca="1" si="58"/>
        <v>22.5</v>
      </c>
      <c r="AF158" s="45">
        <f t="shared" ca="1" si="58"/>
        <v>20</v>
      </c>
      <c r="AG158" s="45">
        <f t="shared" ca="1" si="58"/>
        <v>0</v>
      </c>
      <c r="AH158" s="45">
        <f t="shared" ca="1" si="58"/>
        <v>0</v>
      </c>
      <c r="AI158" s="45">
        <f t="shared" ca="1" si="58"/>
        <v>0</v>
      </c>
      <c r="AJ158" s="45">
        <f t="shared" ca="1" si="58"/>
        <v>0</v>
      </c>
      <c r="AK158" s="45">
        <f t="shared" ca="1" si="58"/>
        <v>0</v>
      </c>
      <c r="AL158" s="45">
        <f t="shared" ca="1" si="58"/>
        <v>0</v>
      </c>
      <c r="AM158" s="45">
        <f t="shared" ca="1" si="58"/>
        <v>0</v>
      </c>
      <c r="AN158" s="45">
        <f t="shared" ca="1" si="58"/>
        <v>0</v>
      </c>
      <c r="AO158" s="45">
        <f t="shared" ca="1" si="58"/>
        <v>0</v>
      </c>
      <c r="AP158" s="45">
        <f t="shared" ca="1" si="58"/>
        <v>0</v>
      </c>
      <c r="AQ158" s="45">
        <f t="shared" ca="1" si="58"/>
        <v>0</v>
      </c>
      <c r="AR158" s="45">
        <f t="shared" ca="1" si="58"/>
        <v>0</v>
      </c>
      <c r="AS158" s="45">
        <f t="shared" ca="1" si="58"/>
        <v>0</v>
      </c>
      <c r="AT158" s="45">
        <f t="shared" ca="1" si="58"/>
        <v>0</v>
      </c>
      <c r="AU158" s="45">
        <f t="shared" ca="1" si="58"/>
        <v>0</v>
      </c>
      <c r="AV158" s="45">
        <f t="shared" ca="1" si="58"/>
        <v>0</v>
      </c>
      <c r="AW158" s="45">
        <f t="shared" ca="1" si="58"/>
        <v>0</v>
      </c>
      <c r="AX158" s="45">
        <f t="shared" ca="1" si="58"/>
        <v>0</v>
      </c>
    </row>
    <row r="159" spans="1:50" ht="15" customHeight="1">
      <c r="A159" s="73"/>
      <c r="B159" s="141"/>
      <c r="C159" s="75"/>
      <c r="D159" s="131"/>
      <c r="E159" s="45"/>
      <c r="F159" s="45"/>
      <c r="G159" s="45"/>
      <c r="H159" s="45"/>
      <c r="I159" s="45"/>
      <c r="J159" s="45"/>
      <c r="K159" s="45"/>
      <c r="L159" s="45"/>
      <c r="M159" s="45"/>
      <c r="N159" s="45"/>
      <c r="O159" s="45"/>
      <c r="P159" s="45"/>
      <c r="Q159" s="45"/>
      <c r="R159" s="45"/>
      <c r="S159" s="45"/>
      <c r="T159" s="45"/>
      <c r="U159" s="45"/>
      <c r="V159" s="45"/>
      <c r="W159" s="45"/>
      <c r="X159" s="45"/>
      <c r="Y159" s="45"/>
      <c r="Z159" s="45"/>
      <c r="AA159" s="45"/>
      <c r="AB159" s="45"/>
      <c r="AC159" s="45"/>
      <c r="AD159" s="45"/>
      <c r="AE159" s="45"/>
      <c r="AF159" s="45"/>
      <c r="AG159" s="45"/>
      <c r="AH159" s="45"/>
      <c r="AI159" s="45"/>
      <c r="AJ159" s="45"/>
      <c r="AK159" s="45"/>
      <c r="AL159" s="45"/>
      <c r="AM159" s="45"/>
      <c r="AN159" s="45"/>
      <c r="AO159" s="45"/>
      <c r="AP159" s="45"/>
      <c r="AQ159" s="45"/>
      <c r="AR159" s="45"/>
      <c r="AS159" s="45"/>
      <c r="AT159" s="45"/>
      <c r="AU159" s="45"/>
      <c r="AV159" s="45"/>
      <c r="AW159" s="45"/>
      <c r="AX159" s="45"/>
    </row>
    <row r="160" spans="1:50" ht="15" customHeight="1">
      <c r="A160" s="73"/>
      <c r="B160" s="172" t="str">
        <f xml:space="preserve"> Translate!E$15 &amp; ": " &amp; Inputs!F$85 &amp; ", " &amp; Translate!E$438</f>
        <v>Project cashflows: real, after ELT</v>
      </c>
      <c r="C160" s="75"/>
      <c r="D160" s="131"/>
      <c r="E160" s="45"/>
      <c r="F160" s="46"/>
      <c r="G160" s="43"/>
      <c r="H160" s="43"/>
      <c r="I160" s="76"/>
      <c r="J160" s="43"/>
      <c r="K160" s="174"/>
      <c r="L160" s="174"/>
      <c r="M160" s="174"/>
      <c r="N160" s="174"/>
      <c r="O160" s="174"/>
      <c r="P160" s="174"/>
      <c r="Q160" s="174"/>
      <c r="R160" s="174"/>
      <c r="S160" s="174"/>
      <c r="T160" s="174"/>
      <c r="U160" s="174"/>
      <c r="V160" s="174"/>
      <c r="W160" s="174"/>
      <c r="X160" s="174"/>
      <c r="Y160" s="174"/>
      <c r="Z160" s="174"/>
      <c r="AA160" s="174"/>
      <c r="AB160" s="174"/>
      <c r="AC160" s="174"/>
      <c r="AD160" s="174"/>
      <c r="AE160" s="174"/>
      <c r="AF160" s="174"/>
      <c r="AG160" s="174"/>
      <c r="AH160" s="174"/>
      <c r="AI160" s="174"/>
      <c r="AJ160" s="174"/>
      <c r="AK160" s="174"/>
      <c r="AL160" s="174"/>
      <c r="AM160" s="174"/>
      <c r="AN160" s="174"/>
      <c r="AO160" s="174"/>
      <c r="AP160" s="174"/>
      <c r="AQ160" s="174"/>
      <c r="AR160" s="174"/>
      <c r="AS160" s="174"/>
      <c r="AT160" s="174"/>
      <c r="AU160" s="174"/>
      <c r="AV160" s="174"/>
      <c r="AW160" s="174"/>
      <c r="AX160" s="174"/>
    </row>
    <row r="161" spans="1:50" ht="15" customHeight="1">
      <c r="A161" s="73"/>
      <c r="B161" s="141"/>
      <c r="C161" s="75"/>
      <c r="D161" s="131"/>
      <c r="E161" s="45" t="str">
        <f>E$120 &amp; ", " &amp; Translate!$E$438</f>
        <v>Project economic limit, after ELT</v>
      </c>
      <c r="F161" s="45">
        <f t="shared" ref="F161:AX161" si="59">F$120</f>
        <v>0</v>
      </c>
      <c r="G161" s="45" t="str">
        <f t="shared" si="59"/>
        <v>Flag</v>
      </c>
      <c r="H161" s="45">
        <f t="shared" si="59"/>
        <v>0</v>
      </c>
      <c r="I161" s="45">
        <f t="shared" ca="1" si="59"/>
        <v>21</v>
      </c>
      <c r="J161" s="45">
        <f t="shared" si="59"/>
        <v>0</v>
      </c>
      <c r="K161" s="45">
        <f t="shared" ca="1" si="59"/>
        <v>1</v>
      </c>
      <c r="L161" s="45">
        <f t="shared" ca="1" si="59"/>
        <v>1</v>
      </c>
      <c r="M161" s="45">
        <f t="shared" ca="1" si="59"/>
        <v>1</v>
      </c>
      <c r="N161" s="45">
        <f t="shared" ca="1" si="59"/>
        <v>1</v>
      </c>
      <c r="O161" s="45">
        <f t="shared" ca="1" si="59"/>
        <v>1</v>
      </c>
      <c r="P161" s="45">
        <f t="shared" ca="1" si="59"/>
        <v>1</v>
      </c>
      <c r="Q161" s="45">
        <f t="shared" ca="1" si="59"/>
        <v>1</v>
      </c>
      <c r="R161" s="45">
        <f t="shared" ca="1" si="59"/>
        <v>1</v>
      </c>
      <c r="S161" s="45">
        <f t="shared" ca="1" si="59"/>
        <v>1</v>
      </c>
      <c r="T161" s="45">
        <f t="shared" ca="1" si="59"/>
        <v>1</v>
      </c>
      <c r="U161" s="45">
        <f t="shared" ca="1" si="59"/>
        <v>1</v>
      </c>
      <c r="V161" s="45">
        <f t="shared" ca="1" si="59"/>
        <v>1</v>
      </c>
      <c r="W161" s="45">
        <f t="shared" ca="1" si="59"/>
        <v>1</v>
      </c>
      <c r="X161" s="45">
        <f t="shared" ca="1" si="59"/>
        <v>1</v>
      </c>
      <c r="Y161" s="45">
        <f t="shared" ca="1" si="59"/>
        <v>1</v>
      </c>
      <c r="Z161" s="45">
        <f t="shared" ca="1" si="59"/>
        <v>1</v>
      </c>
      <c r="AA161" s="45">
        <f t="shared" ca="1" si="59"/>
        <v>1</v>
      </c>
      <c r="AB161" s="45">
        <f t="shared" ca="1" si="59"/>
        <v>1</v>
      </c>
      <c r="AC161" s="45">
        <f t="shared" ca="1" si="59"/>
        <v>1</v>
      </c>
      <c r="AD161" s="45">
        <f t="shared" ca="1" si="59"/>
        <v>1</v>
      </c>
      <c r="AE161" s="45">
        <f t="shared" ca="1" si="59"/>
        <v>1</v>
      </c>
      <c r="AF161" s="45">
        <f t="shared" ca="1" si="59"/>
        <v>0</v>
      </c>
      <c r="AG161" s="45">
        <f t="shared" ca="1" si="59"/>
        <v>0</v>
      </c>
      <c r="AH161" s="45">
        <f t="shared" ca="1" si="59"/>
        <v>0</v>
      </c>
      <c r="AI161" s="45">
        <f t="shared" ca="1" si="59"/>
        <v>0</v>
      </c>
      <c r="AJ161" s="45">
        <f t="shared" ca="1" si="59"/>
        <v>0</v>
      </c>
      <c r="AK161" s="45">
        <f t="shared" ca="1" si="59"/>
        <v>0</v>
      </c>
      <c r="AL161" s="45">
        <f t="shared" ca="1" si="59"/>
        <v>0</v>
      </c>
      <c r="AM161" s="45">
        <f t="shared" ca="1" si="59"/>
        <v>0</v>
      </c>
      <c r="AN161" s="45">
        <f t="shared" ca="1" si="59"/>
        <v>0</v>
      </c>
      <c r="AO161" s="45">
        <f t="shared" ca="1" si="59"/>
        <v>0</v>
      </c>
      <c r="AP161" s="45">
        <f t="shared" ca="1" si="59"/>
        <v>0</v>
      </c>
      <c r="AQ161" s="45">
        <f t="shared" ca="1" si="59"/>
        <v>0</v>
      </c>
      <c r="AR161" s="45">
        <f t="shared" ca="1" si="59"/>
        <v>0</v>
      </c>
      <c r="AS161" s="45">
        <f t="shared" ca="1" si="59"/>
        <v>0</v>
      </c>
      <c r="AT161" s="45">
        <f t="shared" ca="1" si="59"/>
        <v>0</v>
      </c>
      <c r="AU161" s="45">
        <f t="shared" ca="1" si="59"/>
        <v>0</v>
      </c>
      <c r="AV161" s="45">
        <f t="shared" ca="1" si="59"/>
        <v>0</v>
      </c>
      <c r="AW161" s="45">
        <f t="shared" ca="1" si="59"/>
        <v>0</v>
      </c>
      <c r="AX161" s="45">
        <f t="shared" ca="1" si="59"/>
        <v>0</v>
      </c>
    </row>
    <row r="162" spans="1:50" ht="15" customHeight="1">
      <c r="A162" s="73"/>
      <c r="B162" s="141"/>
      <c r="C162" s="75"/>
      <c r="D162" s="131"/>
      <c r="E162" s="45"/>
      <c r="F162" s="45"/>
      <c r="G162" s="45"/>
      <c r="H162" s="45"/>
      <c r="I162" s="45"/>
      <c r="J162" s="45"/>
      <c r="K162" s="45"/>
      <c r="L162" s="45"/>
      <c r="M162" s="45"/>
      <c r="N162" s="45"/>
      <c r="O162" s="45"/>
      <c r="P162" s="45"/>
      <c r="Q162" s="45"/>
      <c r="R162" s="45"/>
      <c r="S162" s="45"/>
      <c r="T162" s="45"/>
      <c r="U162" s="45"/>
      <c r="V162" s="45"/>
      <c r="W162" s="45"/>
      <c r="X162" s="45"/>
      <c r="Y162" s="45"/>
      <c r="Z162" s="45"/>
      <c r="AA162" s="45"/>
      <c r="AB162" s="45"/>
      <c r="AC162" s="45"/>
      <c r="AD162" s="45"/>
      <c r="AE162" s="45"/>
      <c r="AF162" s="45"/>
      <c r="AG162" s="45"/>
      <c r="AH162" s="45"/>
      <c r="AI162" s="45"/>
      <c r="AJ162" s="45"/>
      <c r="AK162" s="45"/>
      <c r="AL162" s="45"/>
      <c r="AM162" s="45"/>
      <c r="AN162" s="45"/>
      <c r="AO162" s="45"/>
      <c r="AP162" s="45"/>
      <c r="AQ162" s="45"/>
      <c r="AR162" s="45"/>
      <c r="AS162" s="45"/>
      <c r="AT162" s="45"/>
      <c r="AU162" s="45"/>
      <c r="AV162" s="45"/>
      <c r="AW162" s="45"/>
      <c r="AX162" s="45"/>
    </row>
    <row r="163" spans="1:50" ht="15" customHeight="1">
      <c r="A163" s="73"/>
      <c r="B163" s="172"/>
      <c r="C163" s="75"/>
      <c r="D163" s="131"/>
      <c r="E163" s="45" t="str">
        <f ca="1">E147 &amp; ", " &amp; Translate!$E$438</f>
        <v>Gold price realized from sales, after ELT</v>
      </c>
      <c r="F163" s="45"/>
      <c r="G163" s="45" t="str">
        <f ca="1">G147</f>
        <v>US$ / ounce const</v>
      </c>
      <c r="H163" s="45">
        <f xml:space="preserve"> H$81</f>
        <v>0</v>
      </c>
      <c r="I163" s="45">
        <f ca="1" xml:space="preserve"> SUM(K163:AX163)</f>
        <v>31500</v>
      </c>
      <c r="J163" s="45"/>
      <c r="K163" s="45">
        <f ca="1">K147 * K$161</f>
        <v>1500</v>
      </c>
      <c r="L163" s="45">
        <f t="shared" ref="L163:AX163" ca="1" si="60">L147 * L$161</f>
        <v>1500</v>
      </c>
      <c r="M163" s="45">
        <f t="shared" ca="1" si="60"/>
        <v>1500</v>
      </c>
      <c r="N163" s="45">
        <f t="shared" ca="1" si="60"/>
        <v>1500</v>
      </c>
      <c r="O163" s="45">
        <f t="shared" ca="1" si="60"/>
        <v>1500</v>
      </c>
      <c r="P163" s="45">
        <f t="shared" ca="1" si="60"/>
        <v>1500</v>
      </c>
      <c r="Q163" s="45">
        <f t="shared" ca="1" si="60"/>
        <v>1500</v>
      </c>
      <c r="R163" s="45">
        <f t="shared" ca="1" si="60"/>
        <v>1500</v>
      </c>
      <c r="S163" s="45">
        <f t="shared" ca="1" si="60"/>
        <v>1500</v>
      </c>
      <c r="T163" s="45">
        <f t="shared" ca="1" si="60"/>
        <v>1500</v>
      </c>
      <c r="U163" s="45">
        <f t="shared" ca="1" si="60"/>
        <v>1500</v>
      </c>
      <c r="V163" s="45">
        <f t="shared" ca="1" si="60"/>
        <v>1500</v>
      </c>
      <c r="W163" s="45">
        <f t="shared" ca="1" si="60"/>
        <v>1500</v>
      </c>
      <c r="X163" s="45">
        <f t="shared" ca="1" si="60"/>
        <v>1500</v>
      </c>
      <c r="Y163" s="45">
        <f t="shared" ca="1" si="60"/>
        <v>1500</v>
      </c>
      <c r="Z163" s="45">
        <f t="shared" ca="1" si="60"/>
        <v>1500</v>
      </c>
      <c r="AA163" s="45">
        <f t="shared" ca="1" si="60"/>
        <v>1500</v>
      </c>
      <c r="AB163" s="45">
        <f t="shared" ca="1" si="60"/>
        <v>1500</v>
      </c>
      <c r="AC163" s="45">
        <f t="shared" ca="1" si="60"/>
        <v>1500</v>
      </c>
      <c r="AD163" s="45">
        <f t="shared" ca="1" si="60"/>
        <v>1500</v>
      </c>
      <c r="AE163" s="45">
        <f t="shared" ca="1" si="60"/>
        <v>1500</v>
      </c>
      <c r="AF163" s="45">
        <f t="shared" ca="1" si="60"/>
        <v>0</v>
      </c>
      <c r="AG163" s="45">
        <f t="shared" ca="1" si="60"/>
        <v>0</v>
      </c>
      <c r="AH163" s="45">
        <f t="shared" ca="1" si="60"/>
        <v>0</v>
      </c>
      <c r="AI163" s="45">
        <f t="shared" ca="1" si="60"/>
        <v>0</v>
      </c>
      <c r="AJ163" s="45">
        <f t="shared" ca="1" si="60"/>
        <v>0</v>
      </c>
      <c r="AK163" s="45">
        <f t="shared" ca="1" si="60"/>
        <v>0</v>
      </c>
      <c r="AL163" s="45">
        <f t="shared" ca="1" si="60"/>
        <v>0</v>
      </c>
      <c r="AM163" s="45">
        <f t="shared" ca="1" si="60"/>
        <v>0</v>
      </c>
      <c r="AN163" s="45">
        <f t="shared" ca="1" si="60"/>
        <v>0</v>
      </c>
      <c r="AO163" s="45">
        <f t="shared" ca="1" si="60"/>
        <v>0</v>
      </c>
      <c r="AP163" s="45">
        <f t="shared" ca="1" si="60"/>
        <v>0</v>
      </c>
      <c r="AQ163" s="45">
        <f t="shared" ca="1" si="60"/>
        <v>0</v>
      </c>
      <c r="AR163" s="45">
        <f t="shared" ca="1" si="60"/>
        <v>0</v>
      </c>
      <c r="AS163" s="45">
        <f t="shared" ca="1" si="60"/>
        <v>0</v>
      </c>
      <c r="AT163" s="45">
        <f t="shared" ca="1" si="60"/>
        <v>0</v>
      </c>
      <c r="AU163" s="45">
        <f t="shared" ca="1" si="60"/>
        <v>0</v>
      </c>
      <c r="AV163" s="45">
        <f t="shared" ca="1" si="60"/>
        <v>0</v>
      </c>
      <c r="AW163" s="45">
        <f t="shared" ca="1" si="60"/>
        <v>0</v>
      </c>
      <c r="AX163" s="45">
        <f t="shared" ca="1" si="60"/>
        <v>0</v>
      </c>
    </row>
    <row r="164" spans="1:50" ht="15" customHeight="1">
      <c r="A164" s="73"/>
      <c r="B164" s="172"/>
      <c r="C164" s="75"/>
      <c r="D164" s="131"/>
      <c r="E164" s="45"/>
      <c r="F164" s="45"/>
      <c r="G164" s="45"/>
      <c r="H164" s="45"/>
      <c r="I164" s="45"/>
      <c r="J164" s="45"/>
      <c r="K164" s="45"/>
      <c r="L164" s="45"/>
      <c r="M164" s="45"/>
      <c r="N164" s="45"/>
      <c r="O164" s="45"/>
      <c r="P164" s="45"/>
      <c r="Q164" s="45"/>
      <c r="R164" s="45"/>
      <c r="S164" s="45"/>
      <c r="T164" s="45"/>
      <c r="U164" s="45"/>
      <c r="V164" s="45"/>
      <c r="W164" s="45"/>
      <c r="X164" s="45"/>
      <c r="Y164" s="45"/>
      <c r="Z164" s="45"/>
      <c r="AA164" s="45"/>
      <c r="AB164" s="45"/>
      <c r="AC164" s="45"/>
      <c r="AD164" s="45"/>
      <c r="AE164" s="45"/>
      <c r="AF164" s="45"/>
      <c r="AG164" s="45"/>
      <c r="AH164" s="45"/>
      <c r="AI164" s="45"/>
      <c r="AJ164" s="45"/>
      <c r="AK164" s="45"/>
      <c r="AL164" s="45"/>
      <c r="AM164" s="45"/>
      <c r="AN164" s="45"/>
      <c r="AO164" s="45"/>
      <c r="AP164" s="45"/>
      <c r="AQ164" s="45"/>
      <c r="AR164" s="45"/>
      <c r="AS164" s="45"/>
      <c r="AT164" s="45"/>
      <c r="AU164" s="45"/>
      <c r="AV164" s="45"/>
      <c r="AW164" s="45"/>
      <c r="AX164" s="45"/>
    </row>
    <row r="165" spans="1:50" ht="15" customHeight="1">
      <c r="A165" s="73"/>
      <c r="B165" s="141"/>
      <c r="C165" s="75"/>
      <c r="D165" s="131"/>
      <c r="E165" s="45" t="str">
        <f>E149 &amp; ", " &amp; Translate!$E$438</f>
        <v>Sales revenues: gross, after ELT</v>
      </c>
      <c r="F165" s="45"/>
      <c r="G165" s="45" t="str">
        <f>G149</f>
        <v>US$ mn 2021</v>
      </c>
      <c r="H165" s="45">
        <f xml:space="preserve"> H$87</f>
        <v>0</v>
      </c>
      <c r="I165" s="45">
        <f ca="1" xml:space="preserve"> SUM(K165:AX165)</f>
        <v>3000</v>
      </c>
      <c r="J165" s="45"/>
      <c r="K165" s="45">
        <f ca="1">K149 * K$161</f>
        <v>0</v>
      </c>
      <c r="L165" s="45">
        <f t="shared" ref="L165:AX165" ca="1" si="61">L149 * L$161</f>
        <v>0</v>
      </c>
      <c r="M165" s="45">
        <f t="shared" ca="1" si="61"/>
        <v>0</v>
      </c>
      <c r="N165" s="45">
        <f t="shared" ca="1" si="61"/>
        <v>0</v>
      </c>
      <c r="O165" s="45">
        <f t="shared" ca="1" si="61"/>
        <v>15</v>
      </c>
      <c r="P165" s="45">
        <f t="shared" ca="1" si="61"/>
        <v>112.5</v>
      </c>
      <c r="Q165" s="45">
        <f t="shared" ca="1" si="61"/>
        <v>225</v>
      </c>
      <c r="R165" s="45">
        <f t="shared" ca="1" si="61"/>
        <v>225</v>
      </c>
      <c r="S165" s="45">
        <f t="shared" ca="1" si="61"/>
        <v>225</v>
      </c>
      <c r="T165" s="45">
        <f t="shared" ca="1" si="61"/>
        <v>225</v>
      </c>
      <c r="U165" s="45">
        <f t="shared" ca="1" si="61"/>
        <v>225</v>
      </c>
      <c r="V165" s="45">
        <f t="shared" ca="1" si="61"/>
        <v>225</v>
      </c>
      <c r="W165" s="45">
        <f t="shared" ca="1" si="61"/>
        <v>225</v>
      </c>
      <c r="X165" s="45">
        <f t="shared" ca="1" si="61"/>
        <v>225</v>
      </c>
      <c r="Y165" s="45">
        <f t="shared" ca="1" si="61"/>
        <v>225</v>
      </c>
      <c r="Z165" s="45">
        <f t="shared" ca="1" si="61"/>
        <v>225</v>
      </c>
      <c r="AA165" s="45">
        <f t="shared" ca="1" si="61"/>
        <v>187.5</v>
      </c>
      <c r="AB165" s="45">
        <f t="shared" ca="1" si="61"/>
        <v>150</v>
      </c>
      <c r="AC165" s="45">
        <f t="shared" ca="1" si="61"/>
        <v>112.5</v>
      </c>
      <c r="AD165" s="45">
        <f t="shared" ca="1" si="61"/>
        <v>97.5</v>
      </c>
      <c r="AE165" s="45">
        <f t="shared" ca="1" si="61"/>
        <v>75</v>
      </c>
      <c r="AF165" s="45">
        <f t="shared" ca="1" si="61"/>
        <v>0</v>
      </c>
      <c r="AG165" s="45">
        <f t="shared" ca="1" si="61"/>
        <v>0</v>
      </c>
      <c r="AH165" s="45">
        <f t="shared" ca="1" si="61"/>
        <v>0</v>
      </c>
      <c r="AI165" s="45">
        <f t="shared" ca="1" si="61"/>
        <v>0</v>
      </c>
      <c r="AJ165" s="45">
        <f t="shared" ca="1" si="61"/>
        <v>0</v>
      </c>
      <c r="AK165" s="45">
        <f t="shared" ca="1" si="61"/>
        <v>0</v>
      </c>
      <c r="AL165" s="45">
        <f t="shared" ca="1" si="61"/>
        <v>0</v>
      </c>
      <c r="AM165" s="45">
        <f t="shared" ca="1" si="61"/>
        <v>0</v>
      </c>
      <c r="AN165" s="45">
        <f t="shared" ca="1" si="61"/>
        <v>0</v>
      </c>
      <c r="AO165" s="45">
        <f t="shared" ca="1" si="61"/>
        <v>0</v>
      </c>
      <c r="AP165" s="45">
        <f t="shared" ca="1" si="61"/>
        <v>0</v>
      </c>
      <c r="AQ165" s="45">
        <f t="shared" ca="1" si="61"/>
        <v>0</v>
      </c>
      <c r="AR165" s="45">
        <f t="shared" ca="1" si="61"/>
        <v>0</v>
      </c>
      <c r="AS165" s="45">
        <f t="shared" ca="1" si="61"/>
        <v>0</v>
      </c>
      <c r="AT165" s="45">
        <f t="shared" ca="1" si="61"/>
        <v>0</v>
      </c>
      <c r="AU165" s="45">
        <f t="shared" ca="1" si="61"/>
        <v>0</v>
      </c>
      <c r="AV165" s="45">
        <f t="shared" ca="1" si="61"/>
        <v>0</v>
      </c>
      <c r="AW165" s="45">
        <f t="shared" ca="1" si="61"/>
        <v>0</v>
      </c>
      <c r="AX165" s="45">
        <f t="shared" ca="1" si="61"/>
        <v>0</v>
      </c>
    </row>
    <row r="166" spans="1:50" ht="15" customHeight="1">
      <c r="A166" s="73"/>
      <c r="B166" s="141"/>
      <c r="C166" s="75"/>
      <c r="D166" s="131"/>
      <c r="E166" s="45" t="str">
        <f>E150 &amp; ", " &amp; Translate!$E$438</f>
        <v>Transport costs post-fiscal point, after ELT</v>
      </c>
      <c r="F166" s="45"/>
      <c r="G166" s="45" t="str">
        <f>G150</f>
        <v>US$ mn 2021</v>
      </c>
      <c r="H166" s="45">
        <f xml:space="preserve"> H$65</f>
        <v>0</v>
      </c>
      <c r="I166" s="45">
        <f t="shared" ref="I166:I174" ca="1" si="62" xml:space="preserve"> SUM(K166:AX166)</f>
        <v>50</v>
      </c>
      <c r="J166" s="45"/>
      <c r="K166" s="45">
        <f t="shared" ref="K166:AX166" ca="1" si="63">K150 * K$161</f>
        <v>0</v>
      </c>
      <c r="L166" s="45">
        <f t="shared" ca="1" si="63"/>
        <v>0</v>
      </c>
      <c r="M166" s="45">
        <f t="shared" ca="1" si="63"/>
        <v>0</v>
      </c>
      <c r="N166" s="45">
        <f t="shared" ca="1" si="63"/>
        <v>0</v>
      </c>
      <c r="O166" s="45">
        <f t="shared" ca="1" si="63"/>
        <v>0.25</v>
      </c>
      <c r="P166" s="45">
        <f t="shared" ca="1" si="63"/>
        <v>1.875</v>
      </c>
      <c r="Q166" s="45">
        <f t="shared" ca="1" si="63"/>
        <v>3.75</v>
      </c>
      <c r="R166" s="45">
        <f t="shared" ca="1" si="63"/>
        <v>3.75</v>
      </c>
      <c r="S166" s="45">
        <f t="shared" ca="1" si="63"/>
        <v>3.75</v>
      </c>
      <c r="T166" s="45">
        <f t="shared" ca="1" si="63"/>
        <v>3.75</v>
      </c>
      <c r="U166" s="45">
        <f t="shared" ca="1" si="63"/>
        <v>3.75</v>
      </c>
      <c r="V166" s="45">
        <f t="shared" ca="1" si="63"/>
        <v>3.75</v>
      </c>
      <c r="W166" s="45">
        <f t="shared" ca="1" si="63"/>
        <v>3.75</v>
      </c>
      <c r="X166" s="45">
        <f t="shared" ca="1" si="63"/>
        <v>3.75</v>
      </c>
      <c r="Y166" s="45">
        <f t="shared" ca="1" si="63"/>
        <v>3.75</v>
      </c>
      <c r="Z166" s="45">
        <f t="shared" ca="1" si="63"/>
        <v>3.75</v>
      </c>
      <c r="AA166" s="45">
        <f t="shared" ca="1" si="63"/>
        <v>3.125</v>
      </c>
      <c r="AB166" s="45">
        <f t="shared" ca="1" si="63"/>
        <v>2.5</v>
      </c>
      <c r="AC166" s="45">
        <f t="shared" ca="1" si="63"/>
        <v>1.875</v>
      </c>
      <c r="AD166" s="45">
        <f t="shared" ca="1" si="63"/>
        <v>1.625</v>
      </c>
      <c r="AE166" s="45">
        <f t="shared" ca="1" si="63"/>
        <v>1.25</v>
      </c>
      <c r="AF166" s="45">
        <f t="shared" ca="1" si="63"/>
        <v>0</v>
      </c>
      <c r="AG166" s="45">
        <f t="shared" ca="1" si="63"/>
        <v>0</v>
      </c>
      <c r="AH166" s="45">
        <f t="shared" ca="1" si="63"/>
        <v>0</v>
      </c>
      <c r="AI166" s="45">
        <f t="shared" ca="1" si="63"/>
        <v>0</v>
      </c>
      <c r="AJ166" s="45">
        <f t="shared" ca="1" si="63"/>
        <v>0</v>
      </c>
      <c r="AK166" s="45">
        <f t="shared" ca="1" si="63"/>
        <v>0</v>
      </c>
      <c r="AL166" s="45">
        <f t="shared" ca="1" si="63"/>
        <v>0</v>
      </c>
      <c r="AM166" s="45">
        <f t="shared" ca="1" si="63"/>
        <v>0</v>
      </c>
      <c r="AN166" s="45">
        <f t="shared" ca="1" si="63"/>
        <v>0</v>
      </c>
      <c r="AO166" s="45">
        <f t="shared" ca="1" si="63"/>
        <v>0</v>
      </c>
      <c r="AP166" s="45">
        <f t="shared" ca="1" si="63"/>
        <v>0</v>
      </c>
      <c r="AQ166" s="45">
        <f t="shared" ca="1" si="63"/>
        <v>0</v>
      </c>
      <c r="AR166" s="45">
        <f t="shared" ca="1" si="63"/>
        <v>0</v>
      </c>
      <c r="AS166" s="45">
        <f t="shared" ca="1" si="63"/>
        <v>0</v>
      </c>
      <c r="AT166" s="45">
        <f t="shared" ca="1" si="63"/>
        <v>0</v>
      </c>
      <c r="AU166" s="45">
        <f t="shared" ca="1" si="63"/>
        <v>0</v>
      </c>
      <c r="AV166" s="45">
        <f t="shared" ca="1" si="63"/>
        <v>0</v>
      </c>
      <c r="AW166" s="45">
        <f t="shared" ca="1" si="63"/>
        <v>0</v>
      </c>
      <c r="AX166" s="45">
        <f t="shared" ca="1" si="63"/>
        <v>0</v>
      </c>
    </row>
    <row r="167" spans="1:50" s="66" customFormat="1" ht="15" customHeight="1">
      <c r="A167" s="168"/>
      <c r="B167" s="165"/>
      <c r="C167" s="166"/>
      <c r="D167" s="167"/>
      <c r="E167" s="142" t="str">
        <f>E151 &amp; ", " &amp; Translate!$E$438</f>
        <v>Sales revenues: net, after ELT</v>
      </c>
      <c r="F167" s="142"/>
      <c r="G167" s="142" t="str">
        <f t="shared" ref="G167:G174" si="64">G151</f>
        <v>US$ mn 2021</v>
      </c>
      <c r="H167" s="142">
        <f xml:space="preserve"> H$89</f>
        <v>0</v>
      </c>
      <c r="I167" s="142">
        <f t="shared" ca="1" si="62"/>
        <v>2950</v>
      </c>
      <c r="J167" s="142"/>
      <c r="K167" s="142">
        <f ca="1" xml:space="preserve"> K165 - K166</f>
        <v>0</v>
      </c>
      <c r="L167" s="142">
        <f t="shared" ref="L167:AX167" ca="1" si="65" xml:space="preserve"> L165 - L166</f>
        <v>0</v>
      </c>
      <c r="M167" s="142">
        <f t="shared" ca="1" si="65"/>
        <v>0</v>
      </c>
      <c r="N167" s="142">
        <f t="shared" ca="1" si="65"/>
        <v>0</v>
      </c>
      <c r="O167" s="142">
        <f t="shared" ca="1" si="65"/>
        <v>14.75</v>
      </c>
      <c r="P167" s="142">
        <f t="shared" ca="1" si="65"/>
        <v>110.625</v>
      </c>
      <c r="Q167" s="142">
        <f t="shared" ca="1" si="65"/>
        <v>221.25</v>
      </c>
      <c r="R167" s="142">
        <f t="shared" ca="1" si="65"/>
        <v>221.25</v>
      </c>
      <c r="S167" s="142">
        <f t="shared" ca="1" si="65"/>
        <v>221.25</v>
      </c>
      <c r="T167" s="142">
        <f t="shared" ca="1" si="65"/>
        <v>221.25</v>
      </c>
      <c r="U167" s="142">
        <f t="shared" ca="1" si="65"/>
        <v>221.25</v>
      </c>
      <c r="V167" s="142">
        <f t="shared" ca="1" si="65"/>
        <v>221.25</v>
      </c>
      <c r="W167" s="142">
        <f t="shared" ca="1" si="65"/>
        <v>221.25</v>
      </c>
      <c r="X167" s="142">
        <f t="shared" ca="1" si="65"/>
        <v>221.25</v>
      </c>
      <c r="Y167" s="142">
        <f t="shared" ca="1" si="65"/>
        <v>221.25</v>
      </c>
      <c r="Z167" s="142">
        <f t="shared" ca="1" si="65"/>
        <v>221.25</v>
      </c>
      <c r="AA167" s="142">
        <f t="shared" ca="1" si="65"/>
        <v>184.375</v>
      </c>
      <c r="AB167" s="142">
        <f t="shared" ca="1" si="65"/>
        <v>147.5</v>
      </c>
      <c r="AC167" s="142">
        <f t="shared" ca="1" si="65"/>
        <v>110.625</v>
      </c>
      <c r="AD167" s="142">
        <f t="shared" ca="1" si="65"/>
        <v>95.875</v>
      </c>
      <c r="AE167" s="142">
        <f t="shared" ca="1" si="65"/>
        <v>73.75</v>
      </c>
      <c r="AF167" s="142">
        <f t="shared" ca="1" si="65"/>
        <v>0</v>
      </c>
      <c r="AG167" s="142">
        <f t="shared" ca="1" si="65"/>
        <v>0</v>
      </c>
      <c r="AH167" s="142">
        <f t="shared" ca="1" si="65"/>
        <v>0</v>
      </c>
      <c r="AI167" s="142">
        <f t="shared" ca="1" si="65"/>
        <v>0</v>
      </c>
      <c r="AJ167" s="142">
        <f t="shared" ca="1" si="65"/>
        <v>0</v>
      </c>
      <c r="AK167" s="142">
        <f t="shared" ca="1" si="65"/>
        <v>0</v>
      </c>
      <c r="AL167" s="142">
        <f t="shared" ca="1" si="65"/>
        <v>0</v>
      </c>
      <c r="AM167" s="142">
        <f t="shared" ca="1" si="65"/>
        <v>0</v>
      </c>
      <c r="AN167" s="142">
        <f t="shared" ca="1" si="65"/>
        <v>0</v>
      </c>
      <c r="AO167" s="142">
        <f t="shared" ca="1" si="65"/>
        <v>0</v>
      </c>
      <c r="AP167" s="142">
        <f t="shared" ca="1" si="65"/>
        <v>0</v>
      </c>
      <c r="AQ167" s="142">
        <f t="shared" ca="1" si="65"/>
        <v>0</v>
      </c>
      <c r="AR167" s="142">
        <f t="shared" ca="1" si="65"/>
        <v>0</v>
      </c>
      <c r="AS167" s="142">
        <f t="shared" ca="1" si="65"/>
        <v>0</v>
      </c>
      <c r="AT167" s="142">
        <f t="shared" ca="1" si="65"/>
        <v>0</v>
      </c>
      <c r="AU167" s="142">
        <f t="shared" ca="1" si="65"/>
        <v>0</v>
      </c>
      <c r="AV167" s="142">
        <f t="shared" ca="1" si="65"/>
        <v>0</v>
      </c>
      <c r="AW167" s="142">
        <f t="shared" ca="1" si="65"/>
        <v>0</v>
      </c>
      <c r="AX167" s="142">
        <f t="shared" ca="1" si="65"/>
        <v>0</v>
      </c>
    </row>
    <row r="168" spans="1:50" ht="15" customHeight="1">
      <c r="A168" s="73"/>
      <c r="B168" s="141"/>
      <c r="C168" s="75"/>
      <c r="D168" s="131"/>
      <c r="E168" s="45"/>
      <c r="F168" s="45"/>
      <c r="G168" s="45"/>
      <c r="H168" s="45"/>
      <c r="I168" s="45"/>
      <c r="J168" s="45"/>
      <c r="K168" s="45"/>
      <c r="L168" s="45"/>
      <c r="M168" s="45"/>
      <c r="N168" s="45"/>
      <c r="O168" s="45"/>
      <c r="P168" s="45"/>
      <c r="Q168" s="45"/>
      <c r="R168" s="45"/>
      <c r="S168" s="45"/>
      <c r="T168" s="45"/>
      <c r="U168" s="45"/>
      <c r="V168" s="45"/>
      <c r="W168" s="45"/>
      <c r="X168" s="45"/>
      <c r="Y168" s="45"/>
      <c r="Z168" s="45"/>
      <c r="AA168" s="45"/>
      <c r="AB168" s="45"/>
      <c r="AC168" s="45"/>
      <c r="AD168" s="45"/>
      <c r="AE168" s="45"/>
      <c r="AF168" s="45"/>
      <c r="AG168" s="45"/>
      <c r="AH168" s="45"/>
      <c r="AI168" s="45"/>
      <c r="AJ168" s="45"/>
      <c r="AK168" s="45"/>
      <c r="AL168" s="45"/>
      <c r="AM168" s="45"/>
      <c r="AN168" s="45"/>
      <c r="AO168" s="45"/>
      <c r="AP168" s="45"/>
      <c r="AQ168" s="45"/>
      <c r="AR168" s="45"/>
      <c r="AS168" s="45"/>
      <c r="AT168" s="45"/>
      <c r="AU168" s="45"/>
      <c r="AV168" s="45"/>
      <c r="AW168" s="45"/>
      <c r="AX168" s="45"/>
    </row>
    <row r="169" spans="1:50" s="66" customFormat="1" ht="15" customHeight="1">
      <c r="A169" s="168"/>
      <c r="B169" s="165"/>
      <c r="C169" s="166"/>
      <c r="D169" s="167"/>
      <c r="E169" s="142" t="str">
        <f>E153 &amp; ", " &amp; Translate!$E$438</f>
        <v>Exploration costs, after ELT</v>
      </c>
      <c r="F169" s="142"/>
      <c r="G169" s="142" t="str">
        <f t="shared" si="64"/>
        <v>US$ mn 2021</v>
      </c>
      <c r="H169" s="142">
        <f xml:space="preserve"> H$66</f>
        <v>0</v>
      </c>
      <c r="I169" s="142">
        <f t="shared" ca="1" si="62"/>
        <v>30</v>
      </c>
      <c r="J169" s="142"/>
      <c r="K169" s="142">
        <f ca="1">K153 * K$161</f>
        <v>10</v>
      </c>
      <c r="L169" s="142">
        <f t="shared" ref="L169:AX169" ca="1" si="66">L153 * L$161</f>
        <v>10</v>
      </c>
      <c r="M169" s="142">
        <f t="shared" ca="1" si="66"/>
        <v>10</v>
      </c>
      <c r="N169" s="142">
        <f t="shared" ca="1" si="66"/>
        <v>0</v>
      </c>
      <c r="O169" s="142">
        <f t="shared" ca="1" si="66"/>
        <v>0</v>
      </c>
      <c r="P169" s="142">
        <f t="shared" ca="1" si="66"/>
        <v>0</v>
      </c>
      <c r="Q169" s="142">
        <f t="shared" ca="1" si="66"/>
        <v>0</v>
      </c>
      <c r="R169" s="142">
        <f t="shared" ca="1" si="66"/>
        <v>0</v>
      </c>
      <c r="S169" s="142">
        <f t="shared" ca="1" si="66"/>
        <v>0</v>
      </c>
      <c r="T169" s="142">
        <f t="shared" ca="1" si="66"/>
        <v>0</v>
      </c>
      <c r="U169" s="142">
        <f t="shared" ca="1" si="66"/>
        <v>0</v>
      </c>
      <c r="V169" s="142">
        <f t="shared" ca="1" si="66"/>
        <v>0</v>
      </c>
      <c r="W169" s="142">
        <f t="shared" ca="1" si="66"/>
        <v>0</v>
      </c>
      <c r="X169" s="142">
        <f t="shared" ca="1" si="66"/>
        <v>0</v>
      </c>
      <c r="Y169" s="142">
        <f t="shared" ca="1" si="66"/>
        <v>0</v>
      </c>
      <c r="Z169" s="142">
        <f t="shared" ca="1" si="66"/>
        <v>0</v>
      </c>
      <c r="AA169" s="142">
        <f t="shared" ca="1" si="66"/>
        <v>0</v>
      </c>
      <c r="AB169" s="142">
        <f t="shared" ca="1" si="66"/>
        <v>0</v>
      </c>
      <c r="AC169" s="142">
        <f t="shared" ca="1" si="66"/>
        <v>0</v>
      </c>
      <c r="AD169" s="142">
        <f t="shared" ca="1" si="66"/>
        <v>0</v>
      </c>
      <c r="AE169" s="142">
        <f t="shared" ca="1" si="66"/>
        <v>0</v>
      </c>
      <c r="AF169" s="142">
        <f t="shared" ca="1" si="66"/>
        <v>0</v>
      </c>
      <c r="AG169" s="142">
        <f t="shared" ca="1" si="66"/>
        <v>0</v>
      </c>
      <c r="AH169" s="142">
        <f t="shared" ca="1" si="66"/>
        <v>0</v>
      </c>
      <c r="AI169" s="142">
        <f t="shared" ca="1" si="66"/>
        <v>0</v>
      </c>
      <c r="AJ169" s="142">
        <f t="shared" ca="1" si="66"/>
        <v>0</v>
      </c>
      <c r="AK169" s="142">
        <f t="shared" ca="1" si="66"/>
        <v>0</v>
      </c>
      <c r="AL169" s="142">
        <f t="shared" ca="1" si="66"/>
        <v>0</v>
      </c>
      <c r="AM169" s="142">
        <f t="shared" ca="1" si="66"/>
        <v>0</v>
      </c>
      <c r="AN169" s="142">
        <f t="shared" ca="1" si="66"/>
        <v>0</v>
      </c>
      <c r="AO169" s="142">
        <f t="shared" ca="1" si="66"/>
        <v>0</v>
      </c>
      <c r="AP169" s="142">
        <f t="shared" ca="1" si="66"/>
        <v>0</v>
      </c>
      <c r="AQ169" s="142">
        <f t="shared" ca="1" si="66"/>
        <v>0</v>
      </c>
      <c r="AR169" s="142">
        <f t="shared" ca="1" si="66"/>
        <v>0</v>
      </c>
      <c r="AS169" s="142">
        <f t="shared" ca="1" si="66"/>
        <v>0</v>
      </c>
      <c r="AT169" s="142">
        <f t="shared" ca="1" si="66"/>
        <v>0</v>
      </c>
      <c r="AU169" s="142">
        <f t="shared" ca="1" si="66"/>
        <v>0</v>
      </c>
      <c r="AV169" s="142">
        <f t="shared" ca="1" si="66"/>
        <v>0</v>
      </c>
      <c r="AW169" s="142">
        <f t="shared" ca="1" si="66"/>
        <v>0</v>
      </c>
      <c r="AX169" s="142">
        <f t="shared" ca="1" si="66"/>
        <v>0</v>
      </c>
    </row>
    <row r="170" spans="1:50" s="66" customFormat="1" ht="15" customHeight="1">
      <c r="A170" s="168"/>
      <c r="B170" s="165"/>
      <c r="C170" s="166"/>
      <c r="D170" s="167"/>
      <c r="E170" s="142" t="str">
        <f>E154 &amp; ", " &amp; Translate!$E$438</f>
        <v>Development costs, after ELT</v>
      </c>
      <c r="F170" s="142"/>
      <c r="G170" s="142" t="str">
        <f t="shared" si="64"/>
        <v>US$ mn 2021</v>
      </c>
      <c r="H170" s="142">
        <f xml:space="preserve"> H$93</f>
        <v>0</v>
      </c>
      <c r="I170" s="142">
        <f t="shared" ca="1" si="62"/>
        <v>400</v>
      </c>
      <c r="J170" s="142"/>
      <c r="K170" s="142">
        <f t="shared" ref="K170:AX170" ca="1" si="67">K154 * K$161</f>
        <v>0</v>
      </c>
      <c r="L170" s="142">
        <f t="shared" ca="1" si="67"/>
        <v>0</v>
      </c>
      <c r="M170" s="142">
        <f t="shared" ca="1" si="67"/>
        <v>0</v>
      </c>
      <c r="N170" s="142">
        <f t="shared" ca="1" si="67"/>
        <v>50</v>
      </c>
      <c r="O170" s="142">
        <f t="shared" ca="1" si="67"/>
        <v>250</v>
      </c>
      <c r="P170" s="142">
        <f t="shared" ca="1" si="67"/>
        <v>100</v>
      </c>
      <c r="Q170" s="142">
        <f t="shared" ca="1" si="67"/>
        <v>0</v>
      </c>
      <c r="R170" s="142">
        <f t="shared" ca="1" si="67"/>
        <v>0</v>
      </c>
      <c r="S170" s="142">
        <f t="shared" ca="1" si="67"/>
        <v>0</v>
      </c>
      <c r="T170" s="142">
        <f t="shared" ca="1" si="67"/>
        <v>0</v>
      </c>
      <c r="U170" s="142">
        <f t="shared" ca="1" si="67"/>
        <v>0</v>
      </c>
      <c r="V170" s="142">
        <f t="shared" ca="1" si="67"/>
        <v>0</v>
      </c>
      <c r="W170" s="142">
        <f t="shared" ca="1" si="67"/>
        <v>0</v>
      </c>
      <c r="X170" s="142">
        <f t="shared" ca="1" si="67"/>
        <v>0</v>
      </c>
      <c r="Y170" s="142">
        <f t="shared" ca="1" si="67"/>
        <v>0</v>
      </c>
      <c r="Z170" s="142">
        <f t="shared" ca="1" si="67"/>
        <v>0</v>
      </c>
      <c r="AA170" s="142">
        <f t="shared" ca="1" si="67"/>
        <v>0</v>
      </c>
      <c r="AB170" s="142">
        <f t="shared" ca="1" si="67"/>
        <v>0</v>
      </c>
      <c r="AC170" s="142">
        <f t="shared" ca="1" si="67"/>
        <v>0</v>
      </c>
      <c r="AD170" s="142">
        <f t="shared" ca="1" si="67"/>
        <v>0</v>
      </c>
      <c r="AE170" s="142">
        <f t="shared" ca="1" si="67"/>
        <v>0</v>
      </c>
      <c r="AF170" s="142">
        <f t="shared" ca="1" si="67"/>
        <v>0</v>
      </c>
      <c r="AG170" s="142">
        <f t="shared" ca="1" si="67"/>
        <v>0</v>
      </c>
      <c r="AH170" s="142">
        <f t="shared" ca="1" si="67"/>
        <v>0</v>
      </c>
      <c r="AI170" s="142">
        <f t="shared" ca="1" si="67"/>
        <v>0</v>
      </c>
      <c r="AJ170" s="142">
        <f t="shared" ca="1" si="67"/>
        <v>0</v>
      </c>
      <c r="AK170" s="142">
        <f t="shared" ca="1" si="67"/>
        <v>0</v>
      </c>
      <c r="AL170" s="142">
        <f t="shared" ca="1" si="67"/>
        <v>0</v>
      </c>
      <c r="AM170" s="142">
        <f t="shared" ca="1" si="67"/>
        <v>0</v>
      </c>
      <c r="AN170" s="142">
        <f t="shared" ca="1" si="67"/>
        <v>0</v>
      </c>
      <c r="AO170" s="142">
        <f t="shared" ca="1" si="67"/>
        <v>0</v>
      </c>
      <c r="AP170" s="142">
        <f t="shared" ca="1" si="67"/>
        <v>0</v>
      </c>
      <c r="AQ170" s="142">
        <f t="shared" ca="1" si="67"/>
        <v>0</v>
      </c>
      <c r="AR170" s="142">
        <f t="shared" ca="1" si="67"/>
        <v>0</v>
      </c>
      <c r="AS170" s="142">
        <f t="shared" ca="1" si="67"/>
        <v>0</v>
      </c>
      <c r="AT170" s="142">
        <f t="shared" ca="1" si="67"/>
        <v>0</v>
      </c>
      <c r="AU170" s="142">
        <f t="shared" ca="1" si="67"/>
        <v>0</v>
      </c>
      <c r="AV170" s="142">
        <f t="shared" ca="1" si="67"/>
        <v>0</v>
      </c>
      <c r="AW170" s="142">
        <f t="shared" ca="1" si="67"/>
        <v>0</v>
      </c>
      <c r="AX170" s="142">
        <f t="shared" ca="1" si="67"/>
        <v>0</v>
      </c>
    </row>
    <row r="171" spans="1:50" s="66" customFormat="1" ht="15" customHeight="1">
      <c r="A171" s="168"/>
      <c r="B171" s="165"/>
      <c r="C171" s="166"/>
      <c r="D171" s="167"/>
      <c r="E171" s="142" t="str">
        <f>E155 &amp; ", " &amp; Translate!$E$438</f>
        <v>Replacement capital costs, after ELT</v>
      </c>
      <c r="F171" s="142"/>
      <c r="G171" s="142" t="str">
        <f t="shared" si="64"/>
        <v>US$ mn 2021</v>
      </c>
      <c r="H171" s="142">
        <f xml:space="preserve"> H$94</f>
        <v>0</v>
      </c>
      <c r="I171" s="142">
        <f t="shared" ca="1" si="62"/>
        <v>96</v>
      </c>
      <c r="J171" s="142"/>
      <c r="K171" s="142">
        <f t="shared" ref="K171:AX171" ca="1" si="68">K155 * K$161</f>
        <v>0</v>
      </c>
      <c r="L171" s="142">
        <f t="shared" ca="1" si="68"/>
        <v>0</v>
      </c>
      <c r="M171" s="142">
        <f t="shared" ca="1" si="68"/>
        <v>0</v>
      </c>
      <c r="N171" s="142">
        <f t="shared" ca="1" si="68"/>
        <v>0</v>
      </c>
      <c r="O171" s="142">
        <f t="shared" ca="1" si="68"/>
        <v>0</v>
      </c>
      <c r="P171" s="142">
        <f t="shared" ca="1" si="68"/>
        <v>8</v>
      </c>
      <c r="Q171" s="142">
        <f t="shared" ca="1" si="68"/>
        <v>8</v>
      </c>
      <c r="R171" s="142">
        <f t="shared" ca="1" si="68"/>
        <v>8</v>
      </c>
      <c r="S171" s="142">
        <f t="shared" ca="1" si="68"/>
        <v>8</v>
      </c>
      <c r="T171" s="142">
        <f t="shared" ca="1" si="68"/>
        <v>8</v>
      </c>
      <c r="U171" s="142">
        <f t="shared" ca="1" si="68"/>
        <v>8</v>
      </c>
      <c r="V171" s="142">
        <f t="shared" ca="1" si="68"/>
        <v>8</v>
      </c>
      <c r="W171" s="142">
        <f t="shared" ca="1" si="68"/>
        <v>8</v>
      </c>
      <c r="X171" s="142">
        <f t="shared" ca="1" si="68"/>
        <v>8</v>
      </c>
      <c r="Y171" s="142">
        <f t="shared" ca="1" si="68"/>
        <v>8</v>
      </c>
      <c r="Z171" s="142">
        <f t="shared" ca="1" si="68"/>
        <v>8</v>
      </c>
      <c r="AA171" s="142">
        <f t="shared" ca="1" si="68"/>
        <v>8</v>
      </c>
      <c r="AB171" s="142">
        <f t="shared" ca="1" si="68"/>
        <v>0</v>
      </c>
      <c r="AC171" s="142">
        <f t="shared" ca="1" si="68"/>
        <v>0</v>
      </c>
      <c r="AD171" s="142">
        <f t="shared" ca="1" si="68"/>
        <v>0</v>
      </c>
      <c r="AE171" s="142">
        <f t="shared" ca="1" si="68"/>
        <v>0</v>
      </c>
      <c r="AF171" s="142">
        <f t="shared" ca="1" si="68"/>
        <v>0</v>
      </c>
      <c r="AG171" s="142">
        <f t="shared" ca="1" si="68"/>
        <v>0</v>
      </c>
      <c r="AH171" s="142">
        <f t="shared" ca="1" si="68"/>
        <v>0</v>
      </c>
      <c r="AI171" s="142">
        <f t="shared" ca="1" si="68"/>
        <v>0</v>
      </c>
      <c r="AJ171" s="142">
        <f t="shared" ca="1" si="68"/>
        <v>0</v>
      </c>
      <c r="AK171" s="142">
        <f t="shared" ca="1" si="68"/>
        <v>0</v>
      </c>
      <c r="AL171" s="142">
        <f t="shared" ca="1" si="68"/>
        <v>0</v>
      </c>
      <c r="AM171" s="142">
        <f t="shared" ca="1" si="68"/>
        <v>0</v>
      </c>
      <c r="AN171" s="142">
        <f t="shared" ca="1" si="68"/>
        <v>0</v>
      </c>
      <c r="AO171" s="142">
        <f t="shared" ca="1" si="68"/>
        <v>0</v>
      </c>
      <c r="AP171" s="142">
        <f t="shared" ca="1" si="68"/>
        <v>0</v>
      </c>
      <c r="AQ171" s="142">
        <f t="shared" ca="1" si="68"/>
        <v>0</v>
      </c>
      <c r="AR171" s="142">
        <f t="shared" ca="1" si="68"/>
        <v>0</v>
      </c>
      <c r="AS171" s="142">
        <f t="shared" ca="1" si="68"/>
        <v>0</v>
      </c>
      <c r="AT171" s="142">
        <f t="shared" ca="1" si="68"/>
        <v>0</v>
      </c>
      <c r="AU171" s="142">
        <f t="shared" ca="1" si="68"/>
        <v>0</v>
      </c>
      <c r="AV171" s="142">
        <f t="shared" ca="1" si="68"/>
        <v>0</v>
      </c>
      <c r="AW171" s="142">
        <f t="shared" ca="1" si="68"/>
        <v>0</v>
      </c>
      <c r="AX171" s="142">
        <f t="shared" ca="1" si="68"/>
        <v>0</v>
      </c>
    </row>
    <row r="172" spans="1:50" s="66" customFormat="1" ht="15" customHeight="1">
      <c r="A172" s="168"/>
      <c r="B172" s="165"/>
      <c r="C172" s="166"/>
      <c r="D172" s="167"/>
      <c r="E172" s="142" t="str">
        <f>E156 &amp; ", " &amp; Translate!$E$438</f>
        <v>Operating costs, after ELT</v>
      </c>
      <c r="F172" s="142"/>
      <c r="G172" s="142" t="str">
        <f t="shared" si="64"/>
        <v>US$ mn 2021</v>
      </c>
      <c r="H172" s="142">
        <f xml:space="preserve"> H$95</f>
        <v>0</v>
      </c>
      <c r="I172" s="142">
        <f t="shared" ca="1" si="62"/>
        <v>900</v>
      </c>
      <c r="J172" s="142"/>
      <c r="K172" s="142">
        <f t="shared" ref="K172:AX172" ca="1" si="69">K156 * K$161</f>
        <v>0</v>
      </c>
      <c r="L172" s="142">
        <f t="shared" ca="1" si="69"/>
        <v>0</v>
      </c>
      <c r="M172" s="142">
        <f t="shared" ca="1" si="69"/>
        <v>0</v>
      </c>
      <c r="N172" s="142">
        <f t="shared" ca="1" si="69"/>
        <v>0</v>
      </c>
      <c r="O172" s="142">
        <f t="shared" ca="1" si="69"/>
        <v>4.5</v>
      </c>
      <c r="P172" s="142">
        <f t="shared" ca="1" si="69"/>
        <v>33.75</v>
      </c>
      <c r="Q172" s="142">
        <f t="shared" ca="1" si="69"/>
        <v>67.5</v>
      </c>
      <c r="R172" s="142">
        <f t="shared" ca="1" si="69"/>
        <v>67.5</v>
      </c>
      <c r="S172" s="142">
        <f t="shared" ca="1" si="69"/>
        <v>67.5</v>
      </c>
      <c r="T172" s="142">
        <f t="shared" ca="1" si="69"/>
        <v>67.5</v>
      </c>
      <c r="U172" s="142">
        <f t="shared" ca="1" si="69"/>
        <v>67.5</v>
      </c>
      <c r="V172" s="142">
        <f t="shared" ca="1" si="69"/>
        <v>67.5</v>
      </c>
      <c r="W172" s="142">
        <f t="shared" ca="1" si="69"/>
        <v>67.5</v>
      </c>
      <c r="X172" s="142">
        <f t="shared" ca="1" si="69"/>
        <v>67.5</v>
      </c>
      <c r="Y172" s="142">
        <f t="shared" ca="1" si="69"/>
        <v>67.5</v>
      </c>
      <c r="Z172" s="142">
        <f t="shared" ca="1" si="69"/>
        <v>67.5</v>
      </c>
      <c r="AA172" s="142">
        <f t="shared" ca="1" si="69"/>
        <v>56.25</v>
      </c>
      <c r="AB172" s="142">
        <f t="shared" ca="1" si="69"/>
        <v>45</v>
      </c>
      <c r="AC172" s="142">
        <f t="shared" ca="1" si="69"/>
        <v>33.75</v>
      </c>
      <c r="AD172" s="142">
        <f t="shared" ca="1" si="69"/>
        <v>29.25</v>
      </c>
      <c r="AE172" s="142">
        <f t="shared" ca="1" si="69"/>
        <v>22.5</v>
      </c>
      <c r="AF172" s="142">
        <f t="shared" ca="1" si="69"/>
        <v>0</v>
      </c>
      <c r="AG172" s="142">
        <f t="shared" ca="1" si="69"/>
        <v>0</v>
      </c>
      <c r="AH172" s="142">
        <f t="shared" ca="1" si="69"/>
        <v>0</v>
      </c>
      <c r="AI172" s="142">
        <f t="shared" ca="1" si="69"/>
        <v>0</v>
      </c>
      <c r="AJ172" s="142">
        <f t="shared" ca="1" si="69"/>
        <v>0</v>
      </c>
      <c r="AK172" s="142">
        <f t="shared" ca="1" si="69"/>
        <v>0</v>
      </c>
      <c r="AL172" s="142">
        <f t="shared" ca="1" si="69"/>
        <v>0</v>
      </c>
      <c r="AM172" s="142">
        <f t="shared" ca="1" si="69"/>
        <v>0</v>
      </c>
      <c r="AN172" s="142">
        <f t="shared" ca="1" si="69"/>
        <v>0</v>
      </c>
      <c r="AO172" s="142">
        <f t="shared" ca="1" si="69"/>
        <v>0</v>
      </c>
      <c r="AP172" s="142">
        <f t="shared" ca="1" si="69"/>
        <v>0</v>
      </c>
      <c r="AQ172" s="142">
        <f t="shared" ca="1" si="69"/>
        <v>0</v>
      </c>
      <c r="AR172" s="142">
        <f t="shared" ca="1" si="69"/>
        <v>0</v>
      </c>
      <c r="AS172" s="142">
        <f t="shared" ca="1" si="69"/>
        <v>0</v>
      </c>
      <c r="AT172" s="142">
        <f t="shared" ca="1" si="69"/>
        <v>0</v>
      </c>
      <c r="AU172" s="142">
        <f t="shared" ca="1" si="69"/>
        <v>0</v>
      </c>
      <c r="AV172" s="142">
        <f t="shared" ca="1" si="69"/>
        <v>0</v>
      </c>
      <c r="AW172" s="142">
        <f t="shared" ca="1" si="69"/>
        <v>0</v>
      </c>
      <c r="AX172" s="142">
        <f t="shared" ca="1" si="69"/>
        <v>0</v>
      </c>
    </row>
    <row r="173" spans="1:50" s="66" customFormat="1" ht="15" customHeight="1">
      <c r="A173" s="168"/>
      <c r="B173" s="165"/>
      <c r="C173" s="166"/>
      <c r="D173" s="167"/>
      <c r="E173" s="142" t="str">
        <f>E157 &amp; ", " &amp; Translate!$E$438</f>
        <v>Decommissioning costs, after ELT</v>
      </c>
      <c r="F173" s="142">
        <f t="shared" ref="F173:AX173" si="70">F$136</f>
        <v>0</v>
      </c>
      <c r="G173" s="142" t="str">
        <f t="shared" si="70"/>
        <v>US$ mn 2021</v>
      </c>
      <c r="H173" s="142">
        <f t="shared" si="70"/>
        <v>0</v>
      </c>
      <c r="I173" s="142">
        <f t="shared" ca="1" si="70"/>
        <v>20</v>
      </c>
      <c r="J173" s="142">
        <f t="shared" si="70"/>
        <v>0</v>
      </c>
      <c r="K173" s="142">
        <f t="shared" ca="1" si="70"/>
        <v>0</v>
      </c>
      <c r="L173" s="142">
        <f t="shared" ca="1" si="70"/>
        <v>0</v>
      </c>
      <c r="M173" s="142">
        <f t="shared" ca="1" si="70"/>
        <v>0</v>
      </c>
      <c r="N173" s="142">
        <f t="shared" ca="1" si="70"/>
        <v>0</v>
      </c>
      <c r="O173" s="142">
        <f t="shared" ca="1" si="70"/>
        <v>0</v>
      </c>
      <c r="P173" s="142">
        <f t="shared" ca="1" si="70"/>
        <v>0</v>
      </c>
      <c r="Q173" s="142">
        <f t="shared" ca="1" si="70"/>
        <v>0</v>
      </c>
      <c r="R173" s="142">
        <f t="shared" ca="1" si="70"/>
        <v>0</v>
      </c>
      <c r="S173" s="142">
        <f t="shared" ca="1" si="70"/>
        <v>0</v>
      </c>
      <c r="T173" s="142">
        <f t="shared" ca="1" si="70"/>
        <v>0</v>
      </c>
      <c r="U173" s="142">
        <f t="shared" ca="1" si="70"/>
        <v>0</v>
      </c>
      <c r="V173" s="142">
        <f t="shared" ca="1" si="70"/>
        <v>0</v>
      </c>
      <c r="W173" s="142">
        <f t="shared" ca="1" si="70"/>
        <v>0</v>
      </c>
      <c r="X173" s="142">
        <f t="shared" ca="1" si="70"/>
        <v>0</v>
      </c>
      <c r="Y173" s="142">
        <f t="shared" ca="1" si="70"/>
        <v>0</v>
      </c>
      <c r="Z173" s="142">
        <f t="shared" ca="1" si="70"/>
        <v>0</v>
      </c>
      <c r="AA173" s="142">
        <f t="shared" ca="1" si="70"/>
        <v>0</v>
      </c>
      <c r="AB173" s="142">
        <f t="shared" ca="1" si="70"/>
        <v>0</v>
      </c>
      <c r="AC173" s="142">
        <f t="shared" ca="1" si="70"/>
        <v>0</v>
      </c>
      <c r="AD173" s="142">
        <f t="shared" ca="1" si="70"/>
        <v>0</v>
      </c>
      <c r="AE173" s="142">
        <f t="shared" ca="1" si="70"/>
        <v>0</v>
      </c>
      <c r="AF173" s="142">
        <f t="shared" ca="1" si="70"/>
        <v>20</v>
      </c>
      <c r="AG173" s="142">
        <f t="shared" ca="1" si="70"/>
        <v>0</v>
      </c>
      <c r="AH173" s="142">
        <f t="shared" ca="1" si="70"/>
        <v>0</v>
      </c>
      <c r="AI173" s="142">
        <f t="shared" ca="1" si="70"/>
        <v>0</v>
      </c>
      <c r="AJ173" s="142">
        <f t="shared" ca="1" si="70"/>
        <v>0</v>
      </c>
      <c r="AK173" s="142">
        <f t="shared" ca="1" si="70"/>
        <v>0</v>
      </c>
      <c r="AL173" s="142">
        <f t="shared" ca="1" si="70"/>
        <v>0</v>
      </c>
      <c r="AM173" s="142">
        <f t="shared" ca="1" si="70"/>
        <v>0</v>
      </c>
      <c r="AN173" s="142">
        <f t="shared" ca="1" si="70"/>
        <v>0</v>
      </c>
      <c r="AO173" s="142">
        <f t="shared" ca="1" si="70"/>
        <v>0</v>
      </c>
      <c r="AP173" s="142">
        <f t="shared" ca="1" si="70"/>
        <v>0</v>
      </c>
      <c r="AQ173" s="142">
        <f t="shared" ca="1" si="70"/>
        <v>0</v>
      </c>
      <c r="AR173" s="142">
        <f t="shared" ca="1" si="70"/>
        <v>0</v>
      </c>
      <c r="AS173" s="142">
        <f t="shared" ca="1" si="70"/>
        <v>0</v>
      </c>
      <c r="AT173" s="142">
        <f t="shared" ca="1" si="70"/>
        <v>0</v>
      </c>
      <c r="AU173" s="142">
        <f t="shared" ca="1" si="70"/>
        <v>0</v>
      </c>
      <c r="AV173" s="142">
        <f t="shared" ca="1" si="70"/>
        <v>0</v>
      </c>
      <c r="AW173" s="142">
        <f t="shared" ca="1" si="70"/>
        <v>0</v>
      </c>
      <c r="AX173" s="142">
        <f t="shared" ca="1" si="70"/>
        <v>0</v>
      </c>
    </row>
    <row r="174" spans="1:50" s="66" customFormat="1" ht="15" customHeight="1">
      <c r="A174" s="168"/>
      <c r="B174" s="165"/>
      <c r="C174" s="166"/>
      <c r="D174" s="167"/>
      <c r="E174" s="142" t="str">
        <f>E158 &amp; ", " &amp; Translate!$E$438</f>
        <v>Project costs, after ELT</v>
      </c>
      <c r="F174" s="142"/>
      <c r="G174" s="142" t="str">
        <f t="shared" si="64"/>
        <v>US$ mn 2021</v>
      </c>
      <c r="H174" s="142"/>
      <c r="I174" s="142">
        <f t="shared" ca="1" si="62"/>
        <v>1446</v>
      </c>
      <c r="J174" s="142"/>
      <c r="K174" s="142">
        <f ca="1">SUM(K169:K173)</f>
        <v>10</v>
      </c>
      <c r="L174" s="142">
        <f t="shared" ref="L174:AX174" ca="1" si="71">SUM(L169:L173)</f>
        <v>10</v>
      </c>
      <c r="M174" s="142">
        <f t="shared" ca="1" si="71"/>
        <v>10</v>
      </c>
      <c r="N174" s="142">
        <f t="shared" ca="1" si="71"/>
        <v>50</v>
      </c>
      <c r="O174" s="142">
        <f t="shared" ca="1" si="71"/>
        <v>254.5</v>
      </c>
      <c r="P174" s="142">
        <f t="shared" ca="1" si="71"/>
        <v>141.75</v>
      </c>
      <c r="Q174" s="142">
        <f t="shared" ca="1" si="71"/>
        <v>75.5</v>
      </c>
      <c r="R174" s="142">
        <f t="shared" ca="1" si="71"/>
        <v>75.5</v>
      </c>
      <c r="S174" s="142">
        <f t="shared" ca="1" si="71"/>
        <v>75.5</v>
      </c>
      <c r="T174" s="142">
        <f t="shared" ca="1" si="71"/>
        <v>75.5</v>
      </c>
      <c r="U174" s="142">
        <f t="shared" ca="1" si="71"/>
        <v>75.5</v>
      </c>
      <c r="V174" s="142">
        <f t="shared" ca="1" si="71"/>
        <v>75.5</v>
      </c>
      <c r="W174" s="142">
        <f t="shared" ca="1" si="71"/>
        <v>75.5</v>
      </c>
      <c r="X174" s="142">
        <f t="shared" ca="1" si="71"/>
        <v>75.5</v>
      </c>
      <c r="Y174" s="142">
        <f t="shared" ca="1" si="71"/>
        <v>75.5</v>
      </c>
      <c r="Z174" s="142">
        <f t="shared" ca="1" si="71"/>
        <v>75.5</v>
      </c>
      <c r="AA174" s="142">
        <f t="shared" ca="1" si="71"/>
        <v>64.25</v>
      </c>
      <c r="AB174" s="142">
        <f t="shared" ca="1" si="71"/>
        <v>45</v>
      </c>
      <c r="AC174" s="142">
        <f t="shared" ca="1" si="71"/>
        <v>33.75</v>
      </c>
      <c r="AD174" s="142">
        <f t="shared" ca="1" si="71"/>
        <v>29.25</v>
      </c>
      <c r="AE174" s="142">
        <f t="shared" ca="1" si="71"/>
        <v>22.5</v>
      </c>
      <c r="AF174" s="142">
        <f t="shared" ca="1" si="71"/>
        <v>20</v>
      </c>
      <c r="AG174" s="142">
        <f t="shared" ca="1" si="71"/>
        <v>0</v>
      </c>
      <c r="AH174" s="142">
        <f t="shared" ca="1" si="71"/>
        <v>0</v>
      </c>
      <c r="AI174" s="142">
        <f t="shared" ca="1" si="71"/>
        <v>0</v>
      </c>
      <c r="AJ174" s="142">
        <f t="shared" ca="1" si="71"/>
        <v>0</v>
      </c>
      <c r="AK174" s="142">
        <f t="shared" ca="1" si="71"/>
        <v>0</v>
      </c>
      <c r="AL174" s="142">
        <f t="shared" ca="1" si="71"/>
        <v>0</v>
      </c>
      <c r="AM174" s="142">
        <f t="shared" ca="1" si="71"/>
        <v>0</v>
      </c>
      <c r="AN174" s="142">
        <f t="shared" ca="1" si="71"/>
        <v>0</v>
      </c>
      <c r="AO174" s="142">
        <f t="shared" ca="1" si="71"/>
        <v>0</v>
      </c>
      <c r="AP174" s="142">
        <f t="shared" ca="1" si="71"/>
        <v>0</v>
      </c>
      <c r="AQ174" s="142">
        <f t="shared" ca="1" si="71"/>
        <v>0</v>
      </c>
      <c r="AR174" s="142">
        <f t="shared" ca="1" si="71"/>
        <v>0</v>
      </c>
      <c r="AS174" s="142">
        <f t="shared" ca="1" si="71"/>
        <v>0</v>
      </c>
      <c r="AT174" s="142">
        <f t="shared" ca="1" si="71"/>
        <v>0</v>
      </c>
      <c r="AU174" s="142">
        <f t="shared" ca="1" si="71"/>
        <v>0</v>
      </c>
      <c r="AV174" s="142">
        <f t="shared" ca="1" si="71"/>
        <v>0</v>
      </c>
      <c r="AW174" s="142">
        <f t="shared" ca="1" si="71"/>
        <v>0</v>
      </c>
      <c r="AX174" s="142">
        <f t="shared" ca="1" si="71"/>
        <v>0</v>
      </c>
    </row>
    <row r="175" spans="1:50" ht="15" customHeight="1">
      <c r="A175" s="73"/>
      <c r="B175" s="141"/>
      <c r="C175" s="75"/>
      <c r="D175" s="131"/>
      <c r="E175" s="45"/>
      <c r="F175" s="45"/>
      <c r="G175" s="45"/>
      <c r="H175" s="45"/>
      <c r="I175" s="45"/>
      <c r="J175" s="45"/>
      <c r="K175" s="45"/>
      <c r="L175" s="45"/>
      <c r="M175" s="45"/>
      <c r="N175" s="45"/>
      <c r="O175" s="45"/>
      <c r="P175" s="45"/>
      <c r="Q175" s="45"/>
      <c r="R175" s="45"/>
      <c r="S175" s="45"/>
      <c r="T175" s="45"/>
      <c r="U175" s="45"/>
      <c r="V175" s="45"/>
      <c r="W175" s="45"/>
      <c r="X175" s="45"/>
      <c r="Y175" s="45"/>
      <c r="Z175" s="45"/>
      <c r="AA175" s="45"/>
      <c r="AB175" s="45"/>
      <c r="AC175" s="45"/>
      <c r="AD175" s="45"/>
      <c r="AE175" s="45"/>
      <c r="AF175" s="45"/>
      <c r="AG175" s="45"/>
      <c r="AH175" s="45"/>
      <c r="AI175" s="45"/>
      <c r="AJ175" s="45"/>
      <c r="AK175" s="45"/>
      <c r="AL175" s="45"/>
      <c r="AM175" s="45"/>
      <c r="AN175" s="45"/>
      <c r="AO175" s="45"/>
      <c r="AP175" s="45"/>
      <c r="AQ175" s="45"/>
      <c r="AR175" s="45"/>
      <c r="AS175" s="45"/>
      <c r="AT175" s="45"/>
      <c r="AU175" s="45"/>
      <c r="AV175" s="45"/>
      <c r="AW175" s="45"/>
      <c r="AX175" s="45"/>
    </row>
    <row r="176" spans="1:50" ht="15" customHeight="1">
      <c r="A176" s="73"/>
      <c r="B176" s="172"/>
      <c r="C176" s="75"/>
      <c r="D176" s="131" t="str">
        <f>Translate!$E$605</f>
        <v>add</v>
      </c>
      <c r="E176" s="45" t="str">
        <f xml:space="preserve"> E$167</f>
        <v>Sales revenues: net, after ELT</v>
      </c>
      <c r="F176" s="45">
        <f t="shared" ref="F176:AX176" si="72" xml:space="preserve"> F$167</f>
        <v>0</v>
      </c>
      <c r="G176" s="45" t="str">
        <f t="shared" si="72"/>
        <v>US$ mn 2021</v>
      </c>
      <c r="H176" s="45">
        <f t="shared" si="72"/>
        <v>0</v>
      </c>
      <c r="I176" s="45">
        <f t="shared" ca="1" si="72"/>
        <v>2950</v>
      </c>
      <c r="J176" s="45">
        <f t="shared" si="72"/>
        <v>0</v>
      </c>
      <c r="K176" s="45">
        <f t="shared" ca="1" si="72"/>
        <v>0</v>
      </c>
      <c r="L176" s="45">
        <f t="shared" ca="1" si="72"/>
        <v>0</v>
      </c>
      <c r="M176" s="45">
        <f t="shared" ca="1" si="72"/>
        <v>0</v>
      </c>
      <c r="N176" s="45">
        <f t="shared" ca="1" si="72"/>
        <v>0</v>
      </c>
      <c r="O176" s="45">
        <f t="shared" ca="1" si="72"/>
        <v>14.75</v>
      </c>
      <c r="P176" s="45">
        <f t="shared" ca="1" si="72"/>
        <v>110.625</v>
      </c>
      <c r="Q176" s="45">
        <f t="shared" ca="1" si="72"/>
        <v>221.25</v>
      </c>
      <c r="R176" s="45">
        <f t="shared" ca="1" si="72"/>
        <v>221.25</v>
      </c>
      <c r="S176" s="45">
        <f t="shared" ca="1" si="72"/>
        <v>221.25</v>
      </c>
      <c r="T176" s="45">
        <f t="shared" ca="1" si="72"/>
        <v>221.25</v>
      </c>
      <c r="U176" s="45">
        <f t="shared" ca="1" si="72"/>
        <v>221.25</v>
      </c>
      <c r="V176" s="45">
        <f t="shared" ca="1" si="72"/>
        <v>221.25</v>
      </c>
      <c r="W176" s="45">
        <f t="shared" ca="1" si="72"/>
        <v>221.25</v>
      </c>
      <c r="X176" s="45">
        <f t="shared" ca="1" si="72"/>
        <v>221.25</v>
      </c>
      <c r="Y176" s="45">
        <f t="shared" ca="1" si="72"/>
        <v>221.25</v>
      </c>
      <c r="Z176" s="45">
        <f t="shared" ca="1" si="72"/>
        <v>221.25</v>
      </c>
      <c r="AA176" s="45">
        <f t="shared" ca="1" si="72"/>
        <v>184.375</v>
      </c>
      <c r="AB176" s="45">
        <f t="shared" ca="1" si="72"/>
        <v>147.5</v>
      </c>
      <c r="AC176" s="45">
        <f t="shared" ca="1" si="72"/>
        <v>110.625</v>
      </c>
      <c r="AD176" s="45">
        <f t="shared" ca="1" si="72"/>
        <v>95.875</v>
      </c>
      <c r="AE176" s="45">
        <f t="shared" ca="1" si="72"/>
        <v>73.75</v>
      </c>
      <c r="AF176" s="45">
        <f t="shared" ca="1" si="72"/>
        <v>0</v>
      </c>
      <c r="AG176" s="45">
        <f t="shared" ca="1" si="72"/>
        <v>0</v>
      </c>
      <c r="AH176" s="45">
        <f t="shared" ca="1" si="72"/>
        <v>0</v>
      </c>
      <c r="AI176" s="45">
        <f t="shared" ca="1" si="72"/>
        <v>0</v>
      </c>
      <c r="AJ176" s="45">
        <f t="shared" ca="1" si="72"/>
        <v>0</v>
      </c>
      <c r="AK176" s="45">
        <f t="shared" ca="1" si="72"/>
        <v>0</v>
      </c>
      <c r="AL176" s="45">
        <f t="shared" ca="1" si="72"/>
        <v>0</v>
      </c>
      <c r="AM176" s="45">
        <f t="shared" ca="1" si="72"/>
        <v>0</v>
      </c>
      <c r="AN176" s="45">
        <f t="shared" ca="1" si="72"/>
        <v>0</v>
      </c>
      <c r="AO176" s="45">
        <f t="shared" ca="1" si="72"/>
        <v>0</v>
      </c>
      <c r="AP176" s="45">
        <f t="shared" ca="1" si="72"/>
        <v>0</v>
      </c>
      <c r="AQ176" s="45">
        <f t="shared" ca="1" si="72"/>
        <v>0</v>
      </c>
      <c r="AR176" s="45">
        <f t="shared" ca="1" si="72"/>
        <v>0</v>
      </c>
      <c r="AS176" s="45">
        <f t="shared" ca="1" si="72"/>
        <v>0</v>
      </c>
      <c r="AT176" s="45">
        <f t="shared" ca="1" si="72"/>
        <v>0</v>
      </c>
      <c r="AU176" s="45">
        <f t="shared" ca="1" si="72"/>
        <v>0</v>
      </c>
      <c r="AV176" s="45">
        <f t="shared" ca="1" si="72"/>
        <v>0</v>
      </c>
      <c r="AW176" s="45">
        <f t="shared" ca="1" si="72"/>
        <v>0</v>
      </c>
      <c r="AX176" s="45">
        <f t="shared" ca="1" si="72"/>
        <v>0</v>
      </c>
    </row>
    <row r="177" spans="1:50" ht="15" customHeight="1">
      <c r="A177" s="73"/>
      <c r="B177" s="172"/>
      <c r="C177" s="75"/>
      <c r="D177" s="131" t="str">
        <f>Translate!$E$606</f>
        <v>less</v>
      </c>
      <c r="E177" s="45" t="str">
        <f xml:space="preserve"> E$174</f>
        <v>Project costs, after ELT</v>
      </c>
      <c r="F177" s="45">
        <f t="shared" ref="F177:AX177" si="73" xml:space="preserve"> F$174</f>
        <v>0</v>
      </c>
      <c r="G177" s="45" t="str">
        <f xml:space="preserve"> Inputs!F$53</f>
        <v>US$ mn 2021</v>
      </c>
      <c r="H177" s="45">
        <f t="shared" si="73"/>
        <v>0</v>
      </c>
      <c r="I177" s="45">
        <f t="shared" ca="1" si="73"/>
        <v>1446</v>
      </c>
      <c r="J177" s="45">
        <f t="shared" si="73"/>
        <v>0</v>
      </c>
      <c r="K177" s="45">
        <f t="shared" ca="1" si="73"/>
        <v>10</v>
      </c>
      <c r="L177" s="45">
        <f t="shared" ca="1" si="73"/>
        <v>10</v>
      </c>
      <c r="M177" s="45">
        <f t="shared" ca="1" si="73"/>
        <v>10</v>
      </c>
      <c r="N177" s="45">
        <f t="shared" ca="1" si="73"/>
        <v>50</v>
      </c>
      <c r="O177" s="45">
        <f t="shared" ca="1" si="73"/>
        <v>254.5</v>
      </c>
      <c r="P177" s="45">
        <f t="shared" ca="1" si="73"/>
        <v>141.75</v>
      </c>
      <c r="Q177" s="45">
        <f t="shared" ca="1" si="73"/>
        <v>75.5</v>
      </c>
      <c r="R177" s="45">
        <f t="shared" ca="1" si="73"/>
        <v>75.5</v>
      </c>
      <c r="S177" s="45">
        <f t="shared" ca="1" si="73"/>
        <v>75.5</v>
      </c>
      <c r="T177" s="45">
        <f t="shared" ca="1" si="73"/>
        <v>75.5</v>
      </c>
      <c r="U177" s="45">
        <f t="shared" ca="1" si="73"/>
        <v>75.5</v>
      </c>
      <c r="V177" s="45">
        <f t="shared" ca="1" si="73"/>
        <v>75.5</v>
      </c>
      <c r="W177" s="45">
        <f t="shared" ca="1" si="73"/>
        <v>75.5</v>
      </c>
      <c r="X177" s="45">
        <f t="shared" ca="1" si="73"/>
        <v>75.5</v>
      </c>
      <c r="Y177" s="45">
        <f t="shared" ca="1" si="73"/>
        <v>75.5</v>
      </c>
      <c r="Z177" s="45">
        <f t="shared" ca="1" si="73"/>
        <v>75.5</v>
      </c>
      <c r="AA177" s="45">
        <f t="shared" ca="1" si="73"/>
        <v>64.25</v>
      </c>
      <c r="AB177" s="45">
        <f t="shared" ca="1" si="73"/>
        <v>45</v>
      </c>
      <c r="AC177" s="45">
        <f t="shared" ca="1" si="73"/>
        <v>33.75</v>
      </c>
      <c r="AD177" s="45">
        <f t="shared" ca="1" si="73"/>
        <v>29.25</v>
      </c>
      <c r="AE177" s="45">
        <f t="shared" ca="1" si="73"/>
        <v>22.5</v>
      </c>
      <c r="AF177" s="45">
        <f t="shared" ca="1" si="73"/>
        <v>20</v>
      </c>
      <c r="AG177" s="45">
        <f t="shared" ca="1" si="73"/>
        <v>0</v>
      </c>
      <c r="AH177" s="45">
        <f t="shared" ca="1" si="73"/>
        <v>0</v>
      </c>
      <c r="AI177" s="45">
        <f t="shared" ca="1" si="73"/>
        <v>0</v>
      </c>
      <c r="AJ177" s="45">
        <f t="shared" ca="1" si="73"/>
        <v>0</v>
      </c>
      <c r="AK177" s="45">
        <f t="shared" ca="1" si="73"/>
        <v>0</v>
      </c>
      <c r="AL177" s="45">
        <f t="shared" ca="1" si="73"/>
        <v>0</v>
      </c>
      <c r="AM177" s="45">
        <f t="shared" ca="1" si="73"/>
        <v>0</v>
      </c>
      <c r="AN177" s="45">
        <f t="shared" ca="1" si="73"/>
        <v>0</v>
      </c>
      <c r="AO177" s="45">
        <f t="shared" ca="1" si="73"/>
        <v>0</v>
      </c>
      <c r="AP177" s="45">
        <f t="shared" ca="1" si="73"/>
        <v>0</v>
      </c>
      <c r="AQ177" s="45">
        <f t="shared" ca="1" si="73"/>
        <v>0</v>
      </c>
      <c r="AR177" s="45">
        <f t="shared" ca="1" si="73"/>
        <v>0</v>
      </c>
      <c r="AS177" s="45">
        <f t="shared" ca="1" si="73"/>
        <v>0</v>
      </c>
      <c r="AT177" s="45">
        <f t="shared" ca="1" si="73"/>
        <v>0</v>
      </c>
      <c r="AU177" s="45">
        <f t="shared" ca="1" si="73"/>
        <v>0</v>
      </c>
      <c r="AV177" s="45">
        <f t="shared" ca="1" si="73"/>
        <v>0</v>
      </c>
      <c r="AW177" s="45">
        <f t="shared" ca="1" si="73"/>
        <v>0</v>
      </c>
      <c r="AX177" s="45">
        <f t="shared" ca="1" si="73"/>
        <v>0</v>
      </c>
    </row>
    <row r="178" spans="1:50" s="546" customFormat="1" ht="15" customHeight="1">
      <c r="A178" s="540"/>
      <c r="B178" s="541"/>
      <c r="C178" s="542"/>
      <c r="D178" s="543"/>
      <c r="E178" s="544" t="str">
        <f xml:space="preserve"> Translate!E$15 &amp; ": " &amp; Inputs!F$85 &amp; ", " &amp; Translate!E$438</f>
        <v>Project cashflows: real, after ELT</v>
      </c>
      <c r="F178" s="545"/>
      <c r="G178" s="545" t="str">
        <f xml:space="preserve"> Inputs!F$53</f>
        <v>US$ mn 2021</v>
      </c>
      <c r="H178" s="545"/>
      <c r="I178" s="545">
        <f ca="1" xml:space="preserve"> SUM(K178:AX178)</f>
        <v>1504</v>
      </c>
      <c r="J178" s="545"/>
      <c r="K178" s="545">
        <f t="shared" ref="K178:AX178" ca="1" si="74" xml:space="preserve"> K176 - K177</f>
        <v>-10</v>
      </c>
      <c r="L178" s="545">
        <f t="shared" ca="1" si="74"/>
        <v>-10</v>
      </c>
      <c r="M178" s="545">
        <f t="shared" ca="1" si="74"/>
        <v>-10</v>
      </c>
      <c r="N178" s="545">
        <f t="shared" ca="1" si="74"/>
        <v>-50</v>
      </c>
      <c r="O178" s="545">
        <f t="shared" ca="1" si="74"/>
        <v>-239.75</v>
      </c>
      <c r="P178" s="545">
        <f t="shared" ca="1" si="74"/>
        <v>-31.125</v>
      </c>
      <c r="Q178" s="545">
        <f t="shared" ca="1" si="74"/>
        <v>145.75</v>
      </c>
      <c r="R178" s="545">
        <f t="shared" ca="1" si="74"/>
        <v>145.75</v>
      </c>
      <c r="S178" s="545">
        <f t="shared" ca="1" si="74"/>
        <v>145.75</v>
      </c>
      <c r="T178" s="545">
        <f t="shared" ca="1" si="74"/>
        <v>145.75</v>
      </c>
      <c r="U178" s="545">
        <f t="shared" ca="1" si="74"/>
        <v>145.75</v>
      </c>
      <c r="V178" s="545">
        <f t="shared" ca="1" si="74"/>
        <v>145.75</v>
      </c>
      <c r="W178" s="545">
        <f t="shared" ca="1" si="74"/>
        <v>145.75</v>
      </c>
      <c r="X178" s="545">
        <f t="shared" ca="1" si="74"/>
        <v>145.75</v>
      </c>
      <c r="Y178" s="545">
        <f t="shared" ca="1" si="74"/>
        <v>145.75</v>
      </c>
      <c r="Z178" s="545">
        <f t="shared" ca="1" si="74"/>
        <v>145.75</v>
      </c>
      <c r="AA178" s="545">
        <f t="shared" ca="1" si="74"/>
        <v>120.125</v>
      </c>
      <c r="AB178" s="545">
        <f t="shared" ca="1" si="74"/>
        <v>102.5</v>
      </c>
      <c r="AC178" s="545">
        <f t="shared" ca="1" si="74"/>
        <v>76.875</v>
      </c>
      <c r="AD178" s="545">
        <f t="shared" ca="1" si="74"/>
        <v>66.625</v>
      </c>
      <c r="AE178" s="545">
        <f t="shared" ca="1" si="74"/>
        <v>51.25</v>
      </c>
      <c r="AF178" s="545">
        <f t="shared" ca="1" si="74"/>
        <v>-20</v>
      </c>
      <c r="AG178" s="545">
        <f t="shared" ca="1" si="74"/>
        <v>0</v>
      </c>
      <c r="AH178" s="545">
        <f t="shared" ca="1" si="74"/>
        <v>0</v>
      </c>
      <c r="AI178" s="545">
        <f t="shared" ca="1" si="74"/>
        <v>0</v>
      </c>
      <c r="AJ178" s="545">
        <f t="shared" ca="1" si="74"/>
        <v>0</v>
      </c>
      <c r="AK178" s="545">
        <f t="shared" ca="1" si="74"/>
        <v>0</v>
      </c>
      <c r="AL178" s="545">
        <f t="shared" ca="1" si="74"/>
        <v>0</v>
      </c>
      <c r="AM178" s="545">
        <f t="shared" ca="1" si="74"/>
        <v>0</v>
      </c>
      <c r="AN178" s="545">
        <f t="shared" ca="1" si="74"/>
        <v>0</v>
      </c>
      <c r="AO178" s="545">
        <f t="shared" ca="1" si="74"/>
        <v>0</v>
      </c>
      <c r="AP178" s="545">
        <f t="shared" ca="1" si="74"/>
        <v>0</v>
      </c>
      <c r="AQ178" s="545">
        <f t="shared" ca="1" si="74"/>
        <v>0</v>
      </c>
      <c r="AR178" s="545">
        <f t="shared" ca="1" si="74"/>
        <v>0</v>
      </c>
      <c r="AS178" s="545">
        <f t="shared" ca="1" si="74"/>
        <v>0</v>
      </c>
      <c r="AT178" s="545">
        <f t="shared" ca="1" si="74"/>
        <v>0</v>
      </c>
      <c r="AU178" s="545">
        <f t="shared" ca="1" si="74"/>
        <v>0</v>
      </c>
      <c r="AV178" s="545">
        <f t="shared" ca="1" si="74"/>
        <v>0</v>
      </c>
      <c r="AW178" s="545">
        <f t="shared" ca="1" si="74"/>
        <v>0</v>
      </c>
      <c r="AX178" s="545">
        <f t="shared" ca="1" si="74"/>
        <v>0</v>
      </c>
    </row>
    <row r="179" spans="1:50" ht="15" customHeight="1">
      <c r="A179" s="73"/>
      <c r="B179" s="141"/>
      <c r="C179" s="75"/>
      <c r="D179" s="131"/>
      <c r="E179" s="45"/>
      <c r="F179" s="45"/>
      <c r="G179" s="45"/>
      <c r="H179" s="45"/>
      <c r="I179" s="45"/>
      <c r="J179" s="45"/>
      <c r="K179" s="45"/>
      <c r="L179" s="45"/>
      <c r="M179" s="45"/>
      <c r="N179" s="45"/>
      <c r="O179" s="45"/>
      <c r="P179" s="45"/>
      <c r="Q179" s="45"/>
      <c r="R179" s="45"/>
      <c r="S179" s="45"/>
      <c r="T179" s="45"/>
      <c r="U179" s="45"/>
      <c r="V179" s="45"/>
      <c r="W179" s="45"/>
      <c r="X179" s="45"/>
      <c r="Y179" s="45"/>
      <c r="Z179" s="45"/>
      <c r="AA179" s="45"/>
      <c r="AB179" s="45"/>
      <c r="AC179" s="45"/>
      <c r="AD179" s="45"/>
      <c r="AE179" s="45"/>
      <c r="AF179" s="45"/>
      <c r="AG179" s="45"/>
      <c r="AH179" s="45"/>
      <c r="AI179" s="45"/>
      <c r="AJ179" s="45"/>
      <c r="AK179" s="45"/>
      <c r="AL179" s="45"/>
      <c r="AM179" s="45"/>
      <c r="AN179" s="45"/>
      <c r="AO179" s="45"/>
      <c r="AP179" s="45"/>
      <c r="AQ179" s="45"/>
      <c r="AR179" s="45"/>
      <c r="AS179" s="45"/>
      <c r="AT179" s="45"/>
      <c r="AU179" s="45"/>
      <c r="AV179" s="45"/>
      <c r="AW179" s="45"/>
      <c r="AX179" s="45"/>
    </row>
    <row r="180" spans="1:50" ht="15" customHeight="1">
      <c r="A180" s="147" t="str">
        <f>Translate!$E$371</f>
        <v>Flags</v>
      </c>
      <c r="B180" s="147"/>
      <c r="C180" s="148"/>
      <c r="D180" s="149"/>
      <c r="E180" s="150"/>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row>
    <row r="181" spans="1:50" s="315" customFormat="1" ht="15" customHeight="1">
      <c r="A181" s="534"/>
      <c r="B181" s="535"/>
      <c r="C181" s="536"/>
      <c r="E181" s="537"/>
      <c r="F181" s="537"/>
      <c r="G181" s="537"/>
      <c r="H181" s="537"/>
      <c r="I181" s="537"/>
      <c r="J181" s="537"/>
      <c r="K181" s="537"/>
      <c r="L181" s="537"/>
      <c r="M181" s="537"/>
      <c r="N181" s="537"/>
      <c r="O181" s="537"/>
      <c r="P181" s="537"/>
      <c r="Q181" s="537"/>
      <c r="R181" s="537"/>
      <c r="S181" s="537"/>
      <c r="T181" s="537"/>
      <c r="U181" s="537"/>
      <c r="V181" s="537"/>
      <c r="W181" s="537"/>
      <c r="X181" s="537"/>
      <c r="Y181" s="537"/>
      <c r="Z181" s="537"/>
      <c r="AA181" s="537"/>
      <c r="AB181" s="537"/>
      <c r="AC181" s="537"/>
      <c r="AD181" s="537"/>
      <c r="AE181" s="537"/>
      <c r="AF181" s="537"/>
      <c r="AG181" s="537"/>
      <c r="AH181" s="537"/>
      <c r="AI181" s="537"/>
      <c r="AJ181" s="537"/>
      <c r="AK181" s="537"/>
      <c r="AL181" s="537"/>
      <c r="AM181" s="537"/>
      <c r="AN181" s="537"/>
      <c r="AO181" s="537"/>
      <c r="AP181" s="537"/>
      <c r="AQ181" s="537"/>
      <c r="AR181" s="537"/>
      <c r="AS181" s="537"/>
      <c r="AT181" s="537"/>
      <c r="AU181" s="537"/>
      <c r="AV181" s="537"/>
      <c r="AW181" s="537"/>
      <c r="AX181" s="537"/>
    </row>
    <row r="182" spans="1:50" ht="15" customHeight="1">
      <c r="A182" s="151"/>
      <c r="B182" s="155" t="str">
        <f>Translate!$E$384</f>
        <v>Project period</v>
      </c>
      <c r="C182" s="152"/>
      <c r="D182" s="153"/>
      <c r="E182" s="154"/>
      <c r="F182" s="151"/>
      <c r="G182" s="151"/>
      <c r="H182" s="151"/>
      <c r="I182" s="151"/>
      <c r="J182" s="151"/>
      <c r="K182" s="151"/>
      <c r="L182" s="151"/>
      <c r="M182" s="151"/>
      <c r="N182" s="151"/>
      <c r="O182" s="151"/>
      <c r="P182" s="151"/>
      <c r="Q182" s="151"/>
      <c r="R182" s="151"/>
      <c r="S182" s="151"/>
      <c r="T182" s="151"/>
      <c r="U182" s="151"/>
      <c r="V182" s="151"/>
      <c r="W182" s="151"/>
      <c r="X182" s="151"/>
      <c r="Y182" s="151"/>
      <c r="Z182" s="151"/>
      <c r="AA182" s="151"/>
      <c r="AB182" s="151"/>
      <c r="AC182" s="151"/>
      <c r="AD182" s="151"/>
      <c r="AE182" s="151"/>
      <c r="AF182" s="151"/>
      <c r="AG182" s="151"/>
      <c r="AH182" s="151"/>
      <c r="AI182" s="151"/>
      <c r="AJ182" s="151"/>
      <c r="AK182" s="151"/>
      <c r="AL182" s="151"/>
      <c r="AM182" s="151"/>
      <c r="AN182" s="151"/>
      <c r="AO182" s="151"/>
      <c r="AP182" s="151"/>
      <c r="AQ182" s="151"/>
      <c r="AR182" s="151"/>
      <c r="AS182" s="151"/>
      <c r="AT182" s="151"/>
      <c r="AU182" s="151"/>
      <c r="AV182" s="151"/>
      <c r="AW182" s="151"/>
      <c r="AX182" s="151"/>
    </row>
    <row r="183" spans="1:50" s="315" customFormat="1" ht="15" customHeight="1">
      <c r="A183" s="534"/>
      <c r="B183" s="535"/>
      <c r="C183" s="536"/>
      <c r="E183" s="537" t="str">
        <f t="shared" ref="E183:AX183" si="75" xml:space="preserve"> E$48</f>
        <v>Model calendar years</v>
      </c>
      <c r="F183" s="537">
        <f t="shared" si="75"/>
        <v>0</v>
      </c>
      <c r="G183" s="537" t="str">
        <f t="shared" si="75"/>
        <v>Years</v>
      </c>
      <c r="H183" s="537">
        <f t="shared" si="75"/>
        <v>0</v>
      </c>
      <c r="I183" s="537">
        <f t="shared" si="75"/>
        <v>0</v>
      </c>
      <c r="J183" s="537">
        <f t="shared" si="75"/>
        <v>0</v>
      </c>
      <c r="K183" s="537">
        <f t="shared" si="75"/>
        <v>2021</v>
      </c>
      <c r="L183" s="537">
        <f t="shared" si="75"/>
        <v>2022</v>
      </c>
      <c r="M183" s="537">
        <f t="shared" si="75"/>
        <v>2023</v>
      </c>
      <c r="N183" s="537">
        <f t="shared" si="75"/>
        <v>2024</v>
      </c>
      <c r="O183" s="537">
        <f t="shared" si="75"/>
        <v>2025</v>
      </c>
      <c r="P183" s="537">
        <f t="shared" si="75"/>
        <v>2026</v>
      </c>
      <c r="Q183" s="537">
        <f t="shared" si="75"/>
        <v>2027</v>
      </c>
      <c r="R183" s="537">
        <f t="shared" si="75"/>
        <v>2028</v>
      </c>
      <c r="S183" s="537">
        <f t="shared" si="75"/>
        <v>2029</v>
      </c>
      <c r="T183" s="537">
        <f t="shared" si="75"/>
        <v>2030</v>
      </c>
      <c r="U183" s="537">
        <f t="shared" si="75"/>
        <v>2031</v>
      </c>
      <c r="V183" s="537">
        <f t="shared" si="75"/>
        <v>2032</v>
      </c>
      <c r="W183" s="537">
        <f t="shared" si="75"/>
        <v>2033</v>
      </c>
      <c r="X183" s="537">
        <f t="shared" si="75"/>
        <v>2034</v>
      </c>
      <c r="Y183" s="537">
        <f t="shared" si="75"/>
        <v>2035</v>
      </c>
      <c r="Z183" s="537">
        <f t="shared" si="75"/>
        <v>2036</v>
      </c>
      <c r="AA183" s="537">
        <f t="shared" si="75"/>
        <v>2037</v>
      </c>
      <c r="AB183" s="537">
        <f t="shared" si="75"/>
        <v>2038</v>
      </c>
      <c r="AC183" s="537">
        <f t="shared" si="75"/>
        <v>2039</v>
      </c>
      <c r="AD183" s="537">
        <f t="shared" si="75"/>
        <v>2040</v>
      </c>
      <c r="AE183" s="537">
        <f t="shared" si="75"/>
        <v>2041</v>
      </c>
      <c r="AF183" s="537">
        <f t="shared" si="75"/>
        <v>2042</v>
      </c>
      <c r="AG183" s="537">
        <f t="shared" si="75"/>
        <v>2043</v>
      </c>
      <c r="AH183" s="537">
        <f t="shared" si="75"/>
        <v>2044</v>
      </c>
      <c r="AI183" s="537">
        <f t="shared" si="75"/>
        <v>2045</v>
      </c>
      <c r="AJ183" s="537">
        <f t="shared" si="75"/>
        <v>2046</v>
      </c>
      <c r="AK183" s="537">
        <f t="shared" si="75"/>
        <v>2047</v>
      </c>
      <c r="AL183" s="537">
        <f t="shared" si="75"/>
        <v>2048</v>
      </c>
      <c r="AM183" s="537">
        <f t="shared" si="75"/>
        <v>2049</v>
      </c>
      <c r="AN183" s="537">
        <f t="shared" si="75"/>
        <v>2050</v>
      </c>
      <c r="AO183" s="537">
        <f t="shared" si="75"/>
        <v>2051</v>
      </c>
      <c r="AP183" s="537">
        <f t="shared" si="75"/>
        <v>2052</v>
      </c>
      <c r="AQ183" s="537">
        <f t="shared" si="75"/>
        <v>2053</v>
      </c>
      <c r="AR183" s="537">
        <f t="shared" si="75"/>
        <v>2054</v>
      </c>
      <c r="AS183" s="537">
        <f t="shared" si="75"/>
        <v>2055</v>
      </c>
      <c r="AT183" s="537">
        <f t="shared" si="75"/>
        <v>2056</v>
      </c>
      <c r="AU183" s="537">
        <f t="shared" si="75"/>
        <v>2057</v>
      </c>
      <c r="AV183" s="537">
        <f t="shared" si="75"/>
        <v>2058</v>
      </c>
      <c r="AW183" s="537">
        <f t="shared" si="75"/>
        <v>2059</v>
      </c>
      <c r="AX183" s="537">
        <f t="shared" si="75"/>
        <v>2060</v>
      </c>
    </row>
    <row r="184" spans="1:50" s="533" customFormat="1" ht="15" customHeight="1">
      <c r="A184" s="531"/>
      <c r="B184" s="531"/>
      <c r="C184" s="532"/>
      <c r="D184" s="531"/>
      <c r="E184" s="531" t="str">
        <f>Translate!$E$416</f>
        <v>Project activity</v>
      </c>
      <c r="F184" s="531"/>
      <c r="G184" s="531" t="str">
        <f xml:space="preserve"> Translate!E$586</f>
        <v>Flag</v>
      </c>
      <c r="H184" s="531"/>
      <c r="I184" s="531">
        <f ca="1" xml:space="preserve"> SUM(K184:AX184)</f>
        <v>22</v>
      </c>
      <c r="J184" s="531"/>
      <c r="K184" s="531">
        <f ca="1" xml:space="preserve"> AND( SUM($K165:K174) &gt; 0, SUM(K165:$AX174) &gt; 0 ) * 1</f>
        <v>1</v>
      </c>
      <c r="L184" s="531">
        <f ca="1" xml:space="preserve"> AND( SUM($K165:L174) &gt; 0, SUM(L165:$AX174) &gt; 0 ) * 1</f>
        <v>1</v>
      </c>
      <c r="M184" s="531">
        <f ca="1" xml:space="preserve"> AND( SUM($K165:M174) &gt; 0, SUM(M165:$AX174) &gt; 0 ) * 1</f>
        <v>1</v>
      </c>
      <c r="N184" s="531">
        <f ca="1" xml:space="preserve"> AND( SUM($K165:N174) &gt; 0, SUM(N165:$AX174) &gt; 0 ) * 1</f>
        <v>1</v>
      </c>
      <c r="O184" s="531">
        <f ca="1" xml:space="preserve"> AND( SUM($K165:O174) &gt; 0, SUM(O165:$AX174) &gt; 0 ) * 1</f>
        <v>1</v>
      </c>
      <c r="P184" s="531">
        <f ca="1" xml:space="preserve"> AND( SUM($K165:P174) &gt; 0, SUM(P165:$AX174) &gt; 0 ) * 1</f>
        <v>1</v>
      </c>
      <c r="Q184" s="531">
        <f ca="1" xml:space="preserve"> AND( SUM($K165:Q174) &gt; 0, SUM(Q165:$AX174) &gt; 0 ) * 1</f>
        <v>1</v>
      </c>
      <c r="R184" s="531">
        <f ca="1" xml:space="preserve"> AND( SUM($K165:R174) &gt; 0, SUM(R165:$AX174) &gt; 0 ) * 1</f>
        <v>1</v>
      </c>
      <c r="S184" s="531">
        <f ca="1" xml:space="preserve"> AND( SUM($K165:S174) &gt; 0, SUM(S165:$AX174) &gt; 0 ) * 1</f>
        <v>1</v>
      </c>
      <c r="T184" s="531">
        <f ca="1" xml:space="preserve"> AND( SUM($K165:T174) &gt; 0, SUM(T165:$AX174) &gt; 0 ) * 1</f>
        <v>1</v>
      </c>
      <c r="U184" s="531">
        <f ca="1" xml:space="preserve"> AND( SUM($K165:U174) &gt; 0, SUM(U165:$AX174) &gt; 0 ) * 1</f>
        <v>1</v>
      </c>
      <c r="V184" s="531">
        <f ca="1" xml:space="preserve"> AND( SUM($K165:V174) &gt; 0, SUM(V165:$AX174) &gt; 0 ) * 1</f>
        <v>1</v>
      </c>
      <c r="W184" s="531">
        <f ca="1" xml:space="preserve"> AND( SUM($K165:W174) &gt; 0, SUM(W165:$AX174) &gt; 0 ) * 1</f>
        <v>1</v>
      </c>
      <c r="X184" s="531">
        <f ca="1" xml:space="preserve"> AND( SUM($K165:X174) &gt; 0, SUM(X165:$AX174) &gt; 0 ) * 1</f>
        <v>1</v>
      </c>
      <c r="Y184" s="531">
        <f ca="1" xml:space="preserve"> AND( SUM($K165:Y174) &gt; 0, SUM(Y165:$AX174) &gt; 0 ) * 1</f>
        <v>1</v>
      </c>
      <c r="Z184" s="531">
        <f ca="1" xml:space="preserve"> AND( SUM($K165:Z174) &gt; 0, SUM(Z165:$AX174) &gt; 0 ) * 1</f>
        <v>1</v>
      </c>
      <c r="AA184" s="531">
        <f ca="1" xml:space="preserve"> AND( SUM($K165:AA174) &gt; 0, SUM(AA165:$AX174) &gt; 0 ) * 1</f>
        <v>1</v>
      </c>
      <c r="AB184" s="531">
        <f ca="1" xml:space="preserve"> AND( SUM($K165:AB174) &gt; 0, SUM(AB165:$AX174) &gt; 0 ) * 1</f>
        <v>1</v>
      </c>
      <c r="AC184" s="531">
        <f ca="1" xml:space="preserve"> AND( SUM($K165:AC174) &gt; 0, SUM(AC165:$AX174) &gt; 0 ) * 1</f>
        <v>1</v>
      </c>
      <c r="AD184" s="531">
        <f ca="1" xml:space="preserve"> AND( SUM($K165:AD174) &gt; 0, SUM(AD165:$AX174) &gt; 0 ) * 1</f>
        <v>1</v>
      </c>
      <c r="AE184" s="531">
        <f ca="1" xml:space="preserve"> AND( SUM($K165:AE174) &gt; 0, SUM(AE165:$AX174) &gt; 0 ) * 1</f>
        <v>1</v>
      </c>
      <c r="AF184" s="531">
        <f ca="1" xml:space="preserve"> AND( SUM($K165:AF174) &gt; 0, SUM(AF165:$AX174) &gt; 0 ) * 1</f>
        <v>1</v>
      </c>
      <c r="AG184" s="531">
        <f ca="1" xml:space="preserve"> AND( SUM($K165:AG174) &gt; 0, SUM(AG165:$AX174) &gt; 0 ) * 1</f>
        <v>0</v>
      </c>
      <c r="AH184" s="531">
        <f ca="1" xml:space="preserve"> AND( SUM($K165:AH174) &gt; 0, SUM(AH165:$AX174) &gt; 0 ) * 1</f>
        <v>0</v>
      </c>
      <c r="AI184" s="531">
        <f ca="1" xml:space="preserve"> AND( SUM($K165:AI174) &gt; 0, SUM(AI165:$AX174) &gt; 0 ) * 1</f>
        <v>0</v>
      </c>
      <c r="AJ184" s="531">
        <f ca="1" xml:space="preserve"> AND( SUM($K165:AJ174) &gt; 0, SUM(AJ165:$AX174) &gt; 0 ) * 1</f>
        <v>0</v>
      </c>
      <c r="AK184" s="531">
        <f ca="1" xml:space="preserve"> AND( SUM($K165:AK174) &gt; 0, SUM(AK165:$AX174) &gt; 0 ) * 1</f>
        <v>0</v>
      </c>
      <c r="AL184" s="531">
        <f ca="1" xml:space="preserve"> AND( SUM($K165:AL174) &gt; 0, SUM(AL165:$AX174) &gt; 0 ) * 1</f>
        <v>0</v>
      </c>
      <c r="AM184" s="531">
        <f ca="1" xml:space="preserve"> AND( SUM($K165:AM174) &gt; 0, SUM(AM165:$AX174) &gt; 0 ) * 1</f>
        <v>0</v>
      </c>
      <c r="AN184" s="531">
        <f ca="1" xml:space="preserve"> AND( SUM($K165:AN174) &gt; 0, SUM(AN165:$AX174) &gt; 0 ) * 1</f>
        <v>0</v>
      </c>
      <c r="AO184" s="531">
        <f ca="1" xml:space="preserve"> AND( SUM($K165:AO174) &gt; 0, SUM(AO165:$AX174) &gt; 0 ) * 1</f>
        <v>0</v>
      </c>
      <c r="AP184" s="531">
        <f ca="1" xml:space="preserve"> AND( SUM($K165:AP174) &gt; 0, SUM(AP165:$AX174) &gt; 0 ) * 1</f>
        <v>0</v>
      </c>
      <c r="AQ184" s="531">
        <f ca="1" xml:space="preserve"> AND( SUM($K165:AQ174) &gt; 0, SUM(AQ165:$AX174) &gt; 0 ) * 1</f>
        <v>0</v>
      </c>
      <c r="AR184" s="531">
        <f ca="1" xml:space="preserve"> AND( SUM($K165:AR174) &gt; 0, SUM(AR165:$AX174) &gt; 0 ) * 1</f>
        <v>0</v>
      </c>
      <c r="AS184" s="531">
        <f ca="1" xml:space="preserve"> AND( SUM($K165:AS174) &gt; 0, SUM(AS165:$AX174) &gt; 0 ) * 1</f>
        <v>0</v>
      </c>
      <c r="AT184" s="531">
        <f ca="1" xml:space="preserve"> AND( SUM($K165:AT174) &gt; 0, SUM(AT165:$AX174) &gt; 0 ) * 1</f>
        <v>0</v>
      </c>
      <c r="AU184" s="531">
        <f ca="1" xml:space="preserve"> AND( SUM($K165:AU174) &gt; 0, SUM(AU165:$AX174) &gt; 0 ) * 1</f>
        <v>0</v>
      </c>
      <c r="AV184" s="531">
        <f ca="1" xml:space="preserve"> AND( SUM($K165:AV174) &gt; 0, SUM(AV165:$AX174) &gt; 0 ) * 1</f>
        <v>0</v>
      </c>
      <c r="AW184" s="531">
        <f ca="1" xml:space="preserve"> AND( SUM($K165:AW174) &gt; 0, SUM(AW165:$AX174) &gt; 0 ) * 1</f>
        <v>0</v>
      </c>
      <c r="AX184" s="531">
        <f ca="1" xml:space="preserve"> AND( SUM($K165:AX174) &gt; 0, SUM(AX165:$AX174) &gt; 0 ) * 1</f>
        <v>0</v>
      </c>
    </row>
    <row r="185" spans="1:50" ht="15" customHeight="1">
      <c r="A185" s="158"/>
      <c r="B185" s="159"/>
      <c r="C185" s="160"/>
      <c r="D185" s="161"/>
      <c r="E185" s="142" t="str">
        <f>Translate!$E$417</f>
        <v>Cumulative project activity</v>
      </c>
      <c r="F185" s="143"/>
      <c r="G185" s="162" t="str">
        <f>Translate!$E$358</f>
        <v>Years</v>
      </c>
      <c r="H185" s="162"/>
      <c r="I185" s="158"/>
      <c r="J185" s="163"/>
      <c r="K185" s="142">
        <f t="shared" ref="K185:AX185" ca="1" si="76" xml:space="preserve"> ( J185 + K184 ) * K184</f>
        <v>1</v>
      </c>
      <c r="L185" s="142">
        <f t="shared" ca="1" si="76"/>
        <v>2</v>
      </c>
      <c r="M185" s="142">
        <f t="shared" ca="1" si="76"/>
        <v>3</v>
      </c>
      <c r="N185" s="142">
        <f t="shared" ca="1" si="76"/>
        <v>4</v>
      </c>
      <c r="O185" s="142">
        <f t="shared" ca="1" si="76"/>
        <v>5</v>
      </c>
      <c r="P185" s="142">
        <f t="shared" ca="1" si="76"/>
        <v>6</v>
      </c>
      <c r="Q185" s="142">
        <f t="shared" ca="1" si="76"/>
        <v>7</v>
      </c>
      <c r="R185" s="142">
        <f t="shared" ca="1" si="76"/>
        <v>8</v>
      </c>
      <c r="S185" s="142">
        <f t="shared" ca="1" si="76"/>
        <v>9</v>
      </c>
      <c r="T185" s="142">
        <f t="shared" ca="1" si="76"/>
        <v>10</v>
      </c>
      <c r="U185" s="142">
        <f t="shared" ca="1" si="76"/>
        <v>11</v>
      </c>
      <c r="V185" s="142">
        <f t="shared" ca="1" si="76"/>
        <v>12</v>
      </c>
      <c r="W185" s="142">
        <f t="shared" ca="1" si="76"/>
        <v>13</v>
      </c>
      <c r="X185" s="142">
        <f t="shared" ca="1" si="76"/>
        <v>14</v>
      </c>
      <c r="Y185" s="142">
        <f t="shared" ca="1" si="76"/>
        <v>15</v>
      </c>
      <c r="Z185" s="142">
        <f t="shared" ca="1" si="76"/>
        <v>16</v>
      </c>
      <c r="AA185" s="142">
        <f t="shared" ca="1" si="76"/>
        <v>17</v>
      </c>
      <c r="AB185" s="142">
        <f t="shared" ca="1" si="76"/>
        <v>18</v>
      </c>
      <c r="AC185" s="142">
        <f t="shared" ca="1" si="76"/>
        <v>19</v>
      </c>
      <c r="AD185" s="142">
        <f t="shared" ca="1" si="76"/>
        <v>20</v>
      </c>
      <c r="AE185" s="142">
        <f t="shared" ca="1" si="76"/>
        <v>21</v>
      </c>
      <c r="AF185" s="142">
        <f t="shared" ca="1" si="76"/>
        <v>22</v>
      </c>
      <c r="AG185" s="142">
        <f t="shared" ca="1" si="76"/>
        <v>0</v>
      </c>
      <c r="AH185" s="142">
        <f t="shared" ca="1" si="76"/>
        <v>0</v>
      </c>
      <c r="AI185" s="142">
        <f t="shared" ca="1" si="76"/>
        <v>0</v>
      </c>
      <c r="AJ185" s="142">
        <f t="shared" ca="1" si="76"/>
        <v>0</v>
      </c>
      <c r="AK185" s="142">
        <f t="shared" ca="1" si="76"/>
        <v>0</v>
      </c>
      <c r="AL185" s="142">
        <f t="shared" ca="1" si="76"/>
        <v>0</v>
      </c>
      <c r="AM185" s="142">
        <f t="shared" ca="1" si="76"/>
        <v>0</v>
      </c>
      <c r="AN185" s="142">
        <f t="shared" ca="1" si="76"/>
        <v>0</v>
      </c>
      <c r="AO185" s="142">
        <f t="shared" ca="1" si="76"/>
        <v>0</v>
      </c>
      <c r="AP185" s="142">
        <f t="shared" ca="1" si="76"/>
        <v>0</v>
      </c>
      <c r="AQ185" s="142">
        <f t="shared" ca="1" si="76"/>
        <v>0</v>
      </c>
      <c r="AR185" s="142">
        <f t="shared" ca="1" si="76"/>
        <v>0</v>
      </c>
      <c r="AS185" s="142">
        <f t="shared" ca="1" si="76"/>
        <v>0</v>
      </c>
      <c r="AT185" s="142">
        <f t="shared" ca="1" si="76"/>
        <v>0</v>
      </c>
      <c r="AU185" s="142">
        <f t="shared" ca="1" si="76"/>
        <v>0</v>
      </c>
      <c r="AV185" s="142">
        <f t="shared" ca="1" si="76"/>
        <v>0</v>
      </c>
      <c r="AW185" s="142">
        <f t="shared" ca="1" si="76"/>
        <v>0</v>
      </c>
      <c r="AX185" s="142">
        <f t="shared" ca="1" si="76"/>
        <v>0</v>
      </c>
    </row>
    <row r="186" spans="1:50" ht="15" customHeight="1">
      <c r="A186" s="90"/>
      <c r="B186" s="134"/>
      <c r="C186" s="92"/>
      <c r="D186" s="95"/>
      <c r="E186" s="45" t="str">
        <f>Translate!$E$418</f>
        <v>First project activity year</v>
      </c>
      <c r="F186" s="312">
        <f ca="1" xml:space="preserve"> INDEX(K183:AX183, , MATCH(1, K185:AX185, 0))</f>
        <v>2021</v>
      </c>
      <c r="G186" s="43" t="str">
        <f xml:space="preserve"> Translate!E$365</f>
        <v>Year</v>
      </c>
      <c r="H186" s="43"/>
      <c r="I186" s="93"/>
      <c r="K186" s="45"/>
      <c r="L186" s="45"/>
      <c r="M186" s="45"/>
      <c r="N186" s="45"/>
      <c r="O186" s="45"/>
      <c r="P186" s="45"/>
      <c r="Q186" s="45"/>
      <c r="R186" s="45"/>
      <c r="S186" s="45"/>
      <c r="T186" s="45"/>
      <c r="U186" s="45"/>
      <c r="V186" s="45"/>
      <c r="W186" s="45"/>
      <c r="X186" s="45"/>
      <c r="Y186" s="45"/>
      <c r="Z186" s="45"/>
      <c r="AA186" s="45"/>
      <c r="AB186" s="45"/>
      <c r="AC186" s="45"/>
      <c r="AD186" s="45"/>
      <c r="AE186" s="45"/>
      <c r="AF186" s="45"/>
      <c r="AG186" s="45"/>
      <c r="AH186" s="45"/>
      <c r="AI186" s="45"/>
      <c r="AJ186" s="45"/>
      <c r="AK186" s="45"/>
      <c r="AL186" s="45"/>
      <c r="AM186" s="45"/>
      <c r="AN186" s="45"/>
      <c r="AO186" s="45"/>
      <c r="AP186" s="45"/>
      <c r="AQ186" s="45"/>
      <c r="AR186" s="45"/>
      <c r="AS186" s="45"/>
      <c r="AT186" s="45"/>
      <c r="AU186" s="45"/>
      <c r="AV186" s="45"/>
      <c r="AW186" s="45"/>
      <c r="AX186" s="45"/>
    </row>
    <row r="187" spans="1:50" ht="15" customHeight="1">
      <c r="A187" s="90"/>
      <c r="B187" s="134"/>
      <c r="C187" s="92"/>
      <c r="D187" s="95"/>
      <c r="E187" s="45"/>
      <c r="F187" s="46"/>
      <c r="G187" s="43"/>
      <c r="H187" s="43"/>
      <c r="I187" s="93"/>
      <c r="K187" s="45"/>
      <c r="L187" s="45"/>
      <c r="M187" s="45"/>
      <c r="N187" s="45"/>
      <c r="O187" s="45"/>
      <c r="P187" s="45"/>
      <c r="Q187" s="45"/>
      <c r="R187" s="45"/>
      <c r="S187" s="45"/>
      <c r="T187" s="45"/>
      <c r="U187" s="45"/>
      <c r="V187" s="45"/>
      <c r="W187" s="45"/>
      <c r="X187" s="45"/>
      <c r="Y187" s="45"/>
      <c r="Z187" s="45"/>
      <c r="AA187" s="45"/>
      <c r="AB187" s="45"/>
      <c r="AC187" s="45"/>
      <c r="AD187" s="45"/>
      <c r="AE187" s="45"/>
      <c r="AF187" s="45"/>
      <c r="AG187" s="45"/>
      <c r="AH187" s="45"/>
      <c r="AI187" s="45"/>
      <c r="AJ187" s="45"/>
      <c r="AK187" s="45"/>
      <c r="AL187" s="45"/>
      <c r="AM187" s="45"/>
      <c r="AN187" s="45"/>
      <c r="AO187" s="45"/>
      <c r="AP187" s="45"/>
      <c r="AQ187" s="45"/>
      <c r="AR187" s="45"/>
      <c r="AS187" s="45"/>
      <c r="AT187" s="45"/>
      <c r="AU187" s="45"/>
      <c r="AV187" s="45"/>
      <c r="AW187" s="45"/>
      <c r="AX187" s="45"/>
    </row>
    <row r="188" spans="1:50" s="66" customFormat="1" ht="15" customHeight="1">
      <c r="A188" s="261"/>
      <c r="B188" s="261"/>
      <c r="C188" s="262"/>
      <c r="D188" s="263"/>
      <c r="E188" s="142" t="str">
        <f>Translate!$E$419</f>
        <v>Project activity (excl. decommissioning)</v>
      </c>
      <c r="F188" s="261"/>
      <c r="G188" s="261" t="str">
        <f xml:space="preserve"> Translate!E$586</f>
        <v>Flag</v>
      </c>
      <c r="H188" s="261"/>
      <c r="I188" s="143">
        <f ca="1" xml:space="preserve"> SUM(K188:AX188)</f>
        <v>21</v>
      </c>
      <c r="J188" s="261"/>
      <c r="K188" s="142">
        <f ca="1" xml:space="preserve"> AND( SUM($K165:K172) &gt; 0, SUM(K165:$AX172) &gt; 0 ) * 1</f>
        <v>1</v>
      </c>
      <c r="L188" s="142">
        <f ca="1" xml:space="preserve"> AND( SUM($K165:L172) &gt; 0, SUM(L165:$AX172) &gt; 0 ) * 1</f>
        <v>1</v>
      </c>
      <c r="M188" s="142">
        <f ca="1" xml:space="preserve"> AND( SUM($K165:M172) &gt; 0, SUM(M165:$AX172) &gt; 0 ) * 1</f>
        <v>1</v>
      </c>
      <c r="N188" s="142">
        <f ca="1" xml:space="preserve"> AND( SUM($K165:N172) &gt; 0, SUM(N165:$AX172) &gt; 0 ) * 1</f>
        <v>1</v>
      </c>
      <c r="O188" s="142">
        <f ca="1" xml:space="preserve"> AND( SUM($K165:O172) &gt; 0, SUM(O165:$AX172) &gt; 0 ) * 1</f>
        <v>1</v>
      </c>
      <c r="P188" s="142">
        <f ca="1" xml:space="preserve"> AND( SUM($K165:P172) &gt; 0, SUM(P165:$AX172) &gt; 0 ) * 1</f>
        <v>1</v>
      </c>
      <c r="Q188" s="142">
        <f ca="1" xml:space="preserve"> AND( SUM($K165:Q172) &gt; 0, SUM(Q165:$AX172) &gt; 0 ) * 1</f>
        <v>1</v>
      </c>
      <c r="R188" s="142">
        <f ca="1" xml:space="preserve"> AND( SUM($K165:R172) &gt; 0, SUM(R165:$AX172) &gt; 0 ) * 1</f>
        <v>1</v>
      </c>
      <c r="S188" s="142">
        <f ca="1" xml:space="preserve"> AND( SUM($K165:S172) &gt; 0, SUM(S165:$AX172) &gt; 0 ) * 1</f>
        <v>1</v>
      </c>
      <c r="T188" s="142">
        <f ca="1" xml:space="preserve"> AND( SUM($K165:T172) &gt; 0, SUM(T165:$AX172) &gt; 0 ) * 1</f>
        <v>1</v>
      </c>
      <c r="U188" s="142">
        <f ca="1" xml:space="preserve"> AND( SUM($K165:U172) &gt; 0, SUM(U165:$AX172) &gt; 0 ) * 1</f>
        <v>1</v>
      </c>
      <c r="V188" s="142">
        <f ca="1" xml:space="preserve"> AND( SUM($K165:V172) &gt; 0, SUM(V165:$AX172) &gt; 0 ) * 1</f>
        <v>1</v>
      </c>
      <c r="W188" s="142">
        <f ca="1" xml:space="preserve"> AND( SUM($K165:W172) &gt; 0, SUM(W165:$AX172) &gt; 0 ) * 1</f>
        <v>1</v>
      </c>
      <c r="X188" s="142">
        <f ca="1" xml:space="preserve"> AND( SUM($K165:X172) &gt; 0, SUM(X165:$AX172) &gt; 0 ) * 1</f>
        <v>1</v>
      </c>
      <c r="Y188" s="142">
        <f ca="1" xml:space="preserve"> AND( SUM($K165:Y172) &gt; 0, SUM(Y165:$AX172) &gt; 0 ) * 1</f>
        <v>1</v>
      </c>
      <c r="Z188" s="142">
        <f ca="1" xml:space="preserve"> AND( SUM($K165:Z172) &gt; 0, SUM(Z165:$AX172) &gt; 0 ) * 1</f>
        <v>1</v>
      </c>
      <c r="AA188" s="142">
        <f ca="1" xml:space="preserve"> AND( SUM($K165:AA172) &gt; 0, SUM(AA165:$AX172) &gt; 0 ) * 1</f>
        <v>1</v>
      </c>
      <c r="AB188" s="142">
        <f ca="1" xml:space="preserve"> AND( SUM($K165:AB172) &gt; 0, SUM(AB165:$AX172) &gt; 0 ) * 1</f>
        <v>1</v>
      </c>
      <c r="AC188" s="142">
        <f ca="1" xml:space="preserve"> AND( SUM($K165:AC172) &gt; 0, SUM(AC165:$AX172) &gt; 0 ) * 1</f>
        <v>1</v>
      </c>
      <c r="AD188" s="142">
        <f ca="1" xml:space="preserve"> AND( SUM($K165:AD172) &gt; 0, SUM(AD165:$AX172) &gt; 0 ) * 1</f>
        <v>1</v>
      </c>
      <c r="AE188" s="142">
        <f ca="1" xml:space="preserve"> AND( SUM($K165:AE172) &gt; 0, SUM(AE165:$AX172) &gt; 0 ) * 1</f>
        <v>1</v>
      </c>
      <c r="AF188" s="142">
        <f ca="1" xml:space="preserve"> AND( SUM($K165:AF172) &gt; 0, SUM(AF165:$AX172) &gt; 0 ) * 1</f>
        <v>0</v>
      </c>
      <c r="AG188" s="142">
        <f ca="1" xml:space="preserve"> AND( SUM($K165:AG172) &gt; 0, SUM(AG165:$AX172) &gt; 0 ) * 1</f>
        <v>0</v>
      </c>
      <c r="AH188" s="142">
        <f ca="1" xml:space="preserve"> AND( SUM($K165:AH172) &gt; 0, SUM(AH165:$AX172) &gt; 0 ) * 1</f>
        <v>0</v>
      </c>
      <c r="AI188" s="142">
        <f ca="1" xml:space="preserve"> AND( SUM($K165:AI172) &gt; 0, SUM(AI165:$AX172) &gt; 0 ) * 1</f>
        <v>0</v>
      </c>
      <c r="AJ188" s="142">
        <f ca="1" xml:space="preserve"> AND( SUM($K165:AJ172) &gt; 0, SUM(AJ165:$AX172) &gt; 0 ) * 1</f>
        <v>0</v>
      </c>
      <c r="AK188" s="142">
        <f ca="1" xml:space="preserve"> AND( SUM($K165:AK172) &gt; 0, SUM(AK165:$AX172) &gt; 0 ) * 1</f>
        <v>0</v>
      </c>
      <c r="AL188" s="142">
        <f ca="1" xml:space="preserve"> AND( SUM($K165:AL172) &gt; 0, SUM(AL165:$AX172) &gt; 0 ) * 1</f>
        <v>0</v>
      </c>
      <c r="AM188" s="142">
        <f ca="1" xml:space="preserve"> AND( SUM($K165:AM172) &gt; 0, SUM(AM165:$AX172) &gt; 0 ) * 1</f>
        <v>0</v>
      </c>
      <c r="AN188" s="142">
        <f ca="1" xml:space="preserve"> AND( SUM($K165:AN172) &gt; 0, SUM(AN165:$AX172) &gt; 0 ) * 1</f>
        <v>0</v>
      </c>
      <c r="AO188" s="142">
        <f ca="1" xml:space="preserve"> AND( SUM($K165:AO172) &gt; 0, SUM(AO165:$AX172) &gt; 0 ) * 1</f>
        <v>0</v>
      </c>
      <c r="AP188" s="142">
        <f ca="1" xml:space="preserve"> AND( SUM($K165:AP172) &gt; 0, SUM(AP165:$AX172) &gt; 0 ) * 1</f>
        <v>0</v>
      </c>
      <c r="AQ188" s="142">
        <f ca="1" xml:space="preserve"> AND( SUM($K165:AQ172) &gt; 0, SUM(AQ165:$AX172) &gt; 0 ) * 1</f>
        <v>0</v>
      </c>
      <c r="AR188" s="142">
        <f ca="1" xml:space="preserve"> AND( SUM($K165:AR172) &gt; 0, SUM(AR165:$AX172) &gt; 0 ) * 1</f>
        <v>0</v>
      </c>
      <c r="AS188" s="142">
        <f ca="1" xml:space="preserve"> AND( SUM($K165:AS172) &gt; 0, SUM(AS165:$AX172) &gt; 0 ) * 1</f>
        <v>0</v>
      </c>
      <c r="AT188" s="142">
        <f ca="1" xml:space="preserve"> AND( SUM($K165:AT172) &gt; 0, SUM(AT165:$AX172) &gt; 0 ) * 1</f>
        <v>0</v>
      </c>
      <c r="AU188" s="142">
        <f ca="1" xml:space="preserve"> AND( SUM($K165:AU172) &gt; 0, SUM(AU165:$AX172) &gt; 0 ) * 1</f>
        <v>0</v>
      </c>
      <c r="AV188" s="142">
        <f ca="1" xml:space="preserve"> AND( SUM($K165:AV172) &gt; 0, SUM(AV165:$AX172) &gt; 0 ) * 1</f>
        <v>0</v>
      </c>
      <c r="AW188" s="142">
        <f ca="1" xml:space="preserve"> AND( SUM($K165:AW172) &gt; 0, SUM(AW165:$AX172) &gt; 0 ) * 1</f>
        <v>0</v>
      </c>
      <c r="AX188" s="142">
        <f ca="1" xml:space="preserve"> AND( SUM($K165:AX172) &gt; 0, SUM(AX165:$AX172) &gt; 0 ) * 1</f>
        <v>0</v>
      </c>
    </row>
    <row r="189" spans="1:50" s="66" customFormat="1" ht="15" customHeight="1">
      <c r="A189" s="158"/>
      <c r="B189" s="159"/>
      <c r="C189" s="160"/>
      <c r="D189" s="161"/>
      <c r="E189" s="142" t="str">
        <f xml:space="preserve"> E188 &amp; ": " &amp; Translate!E$755</f>
        <v>Project activity (excl. decommissioning): cumulative</v>
      </c>
      <c r="F189" s="143"/>
      <c r="G189" s="162" t="str">
        <f xml:space="preserve"> Translate!E$586</f>
        <v>Flag</v>
      </c>
      <c r="H189" s="162"/>
      <c r="I189" s="158"/>
      <c r="J189" s="496"/>
      <c r="K189" s="142">
        <f t="shared" ref="K189:AC189" ca="1" si="77" xml:space="preserve"> (J189 + K188) * K188</f>
        <v>1</v>
      </c>
      <c r="L189" s="142">
        <f t="shared" ca="1" si="77"/>
        <v>2</v>
      </c>
      <c r="M189" s="142">
        <f t="shared" ca="1" si="77"/>
        <v>3</v>
      </c>
      <c r="N189" s="142">
        <f t="shared" ca="1" si="77"/>
        <v>4</v>
      </c>
      <c r="O189" s="142">
        <f t="shared" ca="1" si="77"/>
        <v>5</v>
      </c>
      <c r="P189" s="142">
        <f t="shared" ca="1" si="77"/>
        <v>6</v>
      </c>
      <c r="Q189" s="142">
        <f t="shared" ca="1" si="77"/>
        <v>7</v>
      </c>
      <c r="R189" s="142">
        <f t="shared" ca="1" si="77"/>
        <v>8</v>
      </c>
      <c r="S189" s="142">
        <f t="shared" ca="1" si="77"/>
        <v>9</v>
      </c>
      <c r="T189" s="142">
        <f t="shared" ca="1" si="77"/>
        <v>10</v>
      </c>
      <c r="U189" s="142">
        <f t="shared" ca="1" si="77"/>
        <v>11</v>
      </c>
      <c r="V189" s="142">
        <f t="shared" ca="1" si="77"/>
        <v>12</v>
      </c>
      <c r="W189" s="142">
        <f t="shared" ca="1" si="77"/>
        <v>13</v>
      </c>
      <c r="X189" s="142">
        <f t="shared" ca="1" si="77"/>
        <v>14</v>
      </c>
      <c r="Y189" s="142">
        <f t="shared" ca="1" si="77"/>
        <v>15</v>
      </c>
      <c r="Z189" s="142">
        <f t="shared" ca="1" si="77"/>
        <v>16</v>
      </c>
      <c r="AA189" s="142">
        <f t="shared" ca="1" si="77"/>
        <v>17</v>
      </c>
      <c r="AB189" s="142">
        <f t="shared" ca="1" si="77"/>
        <v>18</v>
      </c>
      <c r="AC189" s="142">
        <f t="shared" ca="1" si="77"/>
        <v>19</v>
      </c>
      <c r="AD189" s="142">
        <f ca="1" xml:space="preserve"> (AC189 + AD188) * AD188</f>
        <v>20</v>
      </c>
      <c r="AE189" s="142">
        <f t="shared" ref="AE189:AX189" ca="1" si="78" xml:space="preserve"> (AD189 + AE188) * AE188</f>
        <v>21</v>
      </c>
      <c r="AF189" s="142">
        <f t="shared" ca="1" si="78"/>
        <v>0</v>
      </c>
      <c r="AG189" s="142">
        <f t="shared" ca="1" si="78"/>
        <v>0</v>
      </c>
      <c r="AH189" s="142">
        <f t="shared" ca="1" si="78"/>
        <v>0</v>
      </c>
      <c r="AI189" s="142">
        <f t="shared" ca="1" si="78"/>
        <v>0</v>
      </c>
      <c r="AJ189" s="142">
        <f t="shared" ca="1" si="78"/>
        <v>0</v>
      </c>
      <c r="AK189" s="142">
        <f t="shared" ca="1" si="78"/>
        <v>0</v>
      </c>
      <c r="AL189" s="142">
        <f t="shared" ca="1" si="78"/>
        <v>0</v>
      </c>
      <c r="AM189" s="142">
        <f t="shared" ca="1" si="78"/>
        <v>0</v>
      </c>
      <c r="AN189" s="142">
        <f t="shared" ca="1" si="78"/>
        <v>0</v>
      </c>
      <c r="AO189" s="142">
        <f t="shared" ca="1" si="78"/>
        <v>0</v>
      </c>
      <c r="AP189" s="142">
        <f t="shared" ca="1" si="78"/>
        <v>0</v>
      </c>
      <c r="AQ189" s="142">
        <f t="shared" ca="1" si="78"/>
        <v>0</v>
      </c>
      <c r="AR189" s="142">
        <f t="shared" ca="1" si="78"/>
        <v>0</v>
      </c>
      <c r="AS189" s="142">
        <f t="shared" ca="1" si="78"/>
        <v>0</v>
      </c>
      <c r="AT189" s="142">
        <f t="shared" ca="1" si="78"/>
        <v>0</v>
      </c>
      <c r="AU189" s="142">
        <f t="shared" ca="1" si="78"/>
        <v>0</v>
      </c>
      <c r="AV189" s="142">
        <f t="shared" ca="1" si="78"/>
        <v>0</v>
      </c>
      <c r="AW189" s="142">
        <f t="shared" ca="1" si="78"/>
        <v>0</v>
      </c>
      <c r="AX189" s="142">
        <f t="shared" ca="1" si="78"/>
        <v>0</v>
      </c>
    </row>
    <row r="190" spans="1:50" ht="15" customHeight="1">
      <c r="A190" s="90"/>
      <c r="B190" s="134"/>
      <c r="C190" s="92"/>
      <c r="D190" s="95"/>
      <c r="E190" s="45"/>
      <c r="F190" s="46"/>
      <c r="G190" s="43"/>
      <c r="H190" s="43"/>
      <c r="I190" s="93"/>
      <c r="K190" s="45"/>
      <c r="L190" s="45"/>
      <c r="M190" s="45"/>
      <c r="N190" s="45"/>
      <c r="O190" s="45"/>
      <c r="P190" s="45"/>
      <c r="Q190" s="45"/>
      <c r="R190" s="45"/>
      <c r="S190" s="45"/>
      <c r="T190" s="45"/>
      <c r="U190" s="45"/>
      <c r="V190" s="45"/>
      <c r="W190" s="45"/>
      <c r="X190" s="45"/>
      <c r="Y190" s="45"/>
      <c r="Z190" s="45"/>
      <c r="AA190" s="45"/>
      <c r="AB190" s="45"/>
      <c r="AC190" s="45"/>
      <c r="AD190" s="45"/>
      <c r="AE190" s="45"/>
      <c r="AF190" s="45"/>
      <c r="AG190" s="45"/>
      <c r="AH190" s="45"/>
      <c r="AI190" s="45"/>
      <c r="AJ190" s="45"/>
      <c r="AK190" s="45"/>
      <c r="AL190" s="45"/>
      <c r="AM190" s="45"/>
      <c r="AN190" s="45"/>
      <c r="AO190" s="45"/>
      <c r="AP190" s="45"/>
      <c r="AQ190" s="45"/>
      <c r="AR190" s="45"/>
      <c r="AS190" s="45"/>
      <c r="AT190" s="45"/>
      <c r="AU190" s="45"/>
      <c r="AV190" s="45"/>
      <c r="AW190" s="45"/>
      <c r="AX190" s="45"/>
    </row>
    <row r="191" spans="1:50" ht="15" customHeight="1">
      <c r="A191" s="90"/>
      <c r="B191" s="164" t="str">
        <f>Translate!$E$385</f>
        <v>Production period</v>
      </c>
      <c r="C191" s="92"/>
      <c r="D191" s="95"/>
      <c r="E191" s="45"/>
      <c r="F191" s="46"/>
      <c r="G191" s="43"/>
      <c r="H191" s="43"/>
      <c r="I191" s="93"/>
      <c r="K191" s="45"/>
      <c r="L191" s="45"/>
      <c r="M191" s="45"/>
      <c r="N191" s="45"/>
      <c r="O191" s="45"/>
      <c r="P191" s="45"/>
      <c r="Q191" s="45"/>
      <c r="R191" s="45"/>
      <c r="S191" s="45"/>
      <c r="T191" s="45"/>
      <c r="U191" s="45"/>
      <c r="V191" s="45"/>
      <c r="W191" s="45"/>
      <c r="X191" s="45"/>
      <c r="Y191" s="45"/>
      <c r="Z191" s="45"/>
      <c r="AA191" s="45"/>
      <c r="AB191" s="45"/>
      <c r="AC191" s="45"/>
      <c r="AD191" s="45"/>
      <c r="AE191" s="45"/>
      <c r="AF191" s="45"/>
      <c r="AG191" s="45"/>
      <c r="AH191" s="45"/>
      <c r="AI191" s="45"/>
      <c r="AJ191" s="45"/>
      <c r="AK191" s="45"/>
      <c r="AL191" s="45"/>
      <c r="AM191" s="45"/>
      <c r="AN191" s="45"/>
      <c r="AO191" s="45"/>
      <c r="AP191" s="45"/>
      <c r="AQ191" s="45"/>
      <c r="AR191" s="45"/>
      <c r="AS191" s="45"/>
      <c r="AT191" s="45"/>
      <c r="AU191" s="45"/>
      <c r="AV191" s="45"/>
      <c r="AW191" s="45"/>
      <c r="AX191" s="45"/>
    </row>
    <row r="192" spans="1:50" s="66" customFormat="1" ht="15" customHeight="1">
      <c r="A192" s="158"/>
      <c r="B192" s="159"/>
      <c r="C192" s="160"/>
      <c r="D192" s="161"/>
      <c r="E192" s="142" t="str">
        <f>Translate!$E$420</f>
        <v>Production years after ELT</v>
      </c>
      <c r="F192" s="143"/>
      <c r="G192" s="162" t="str">
        <f xml:space="preserve"> Translate!E$586</f>
        <v>Flag</v>
      </c>
      <c r="H192" s="162"/>
      <c r="I192" s="158">
        <f ca="1" xml:space="preserve"> SUM(K192:AX192)</f>
        <v>17</v>
      </c>
      <c r="K192" s="142">
        <f ca="1" xml:space="preserve"> AND( SUM($K165:K165) &gt; 0, SUM(K165:$AX165) &gt; 0 ) * 1</f>
        <v>0</v>
      </c>
      <c r="L192" s="142">
        <f ca="1" xml:space="preserve"> AND( SUM($K165:L165) &gt; 0, SUM(L165:$AX165) &gt; 0 ) * 1</f>
        <v>0</v>
      </c>
      <c r="M192" s="142">
        <f ca="1" xml:space="preserve"> AND( SUM($K165:M165) &gt; 0, SUM(M165:$AX165) &gt; 0 ) * 1</f>
        <v>0</v>
      </c>
      <c r="N192" s="142">
        <f ca="1" xml:space="preserve"> AND( SUM($K165:N165) &gt; 0, SUM(N165:$AX165) &gt; 0 ) * 1</f>
        <v>0</v>
      </c>
      <c r="O192" s="142">
        <f ca="1" xml:space="preserve"> AND( SUM($K165:O165) &gt; 0, SUM(O165:$AX165) &gt; 0 ) * 1</f>
        <v>1</v>
      </c>
      <c r="P192" s="142">
        <f ca="1" xml:space="preserve"> AND( SUM($K165:P165) &gt; 0, SUM(P165:$AX165) &gt; 0 ) * 1</f>
        <v>1</v>
      </c>
      <c r="Q192" s="142">
        <f ca="1" xml:space="preserve"> AND( SUM($K165:Q165) &gt; 0, SUM(Q165:$AX165) &gt; 0 ) * 1</f>
        <v>1</v>
      </c>
      <c r="R192" s="142">
        <f ca="1" xml:space="preserve"> AND( SUM($K165:R165) &gt; 0, SUM(R165:$AX165) &gt; 0 ) * 1</f>
        <v>1</v>
      </c>
      <c r="S192" s="142">
        <f ca="1" xml:space="preserve"> AND( SUM($K165:S165) &gt; 0, SUM(S165:$AX165) &gt; 0 ) * 1</f>
        <v>1</v>
      </c>
      <c r="T192" s="142">
        <f ca="1" xml:space="preserve"> AND( SUM($K165:T165) &gt; 0, SUM(T165:$AX165) &gt; 0 ) * 1</f>
        <v>1</v>
      </c>
      <c r="U192" s="142">
        <f ca="1" xml:space="preserve"> AND( SUM($K165:U165) &gt; 0, SUM(U165:$AX165) &gt; 0 ) * 1</f>
        <v>1</v>
      </c>
      <c r="V192" s="142">
        <f ca="1" xml:space="preserve"> AND( SUM($K165:V165) &gt; 0, SUM(V165:$AX165) &gt; 0 ) * 1</f>
        <v>1</v>
      </c>
      <c r="W192" s="142">
        <f ca="1" xml:space="preserve"> AND( SUM($K165:W165) &gt; 0, SUM(W165:$AX165) &gt; 0 ) * 1</f>
        <v>1</v>
      </c>
      <c r="X192" s="142">
        <f ca="1" xml:space="preserve"> AND( SUM($K165:X165) &gt; 0, SUM(X165:$AX165) &gt; 0 ) * 1</f>
        <v>1</v>
      </c>
      <c r="Y192" s="142">
        <f ca="1" xml:space="preserve"> AND( SUM($K165:Y165) &gt; 0, SUM(Y165:$AX165) &gt; 0 ) * 1</f>
        <v>1</v>
      </c>
      <c r="Z192" s="142">
        <f ca="1" xml:space="preserve"> AND( SUM($K165:Z165) &gt; 0, SUM(Z165:$AX165) &gt; 0 ) * 1</f>
        <v>1</v>
      </c>
      <c r="AA192" s="142">
        <f ca="1" xml:space="preserve"> AND( SUM($K165:AA165) &gt; 0, SUM(AA165:$AX165) &gt; 0 ) * 1</f>
        <v>1</v>
      </c>
      <c r="AB192" s="142">
        <f ca="1" xml:space="preserve"> AND( SUM($K165:AB165) &gt; 0, SUM(AB165:$AX165) &gt; 0 ) * 1</f>
        <v>1</v>
      </c>
      <c r="AC192" s="142">
        <f ca="1" xml:space="preserve"> AND( SUM($K165:AC165) &gt; 0, SUM(AC165:$AX165) &gt; 0 ) * 1</f>
        <v>1</v>
      </c>
      <c r="AD192" s="142">
        <f ca="1" xml:space="preserve"> AND( SUM($K165:AD165) &gt; 0, SUM(AD165:$AX165) &gt; 0 ) * 1</f>
        <v>1</v>
      </c>
      <c r="AE192" s="142">
        <f ca="1" xml:space="preserve"> AND( SUM($K165:AE165) &gt; 0, SUM(AE165:$AX165) &gt; 0 ) * 1</f>
        <v>1</v>
      </c>
      <c r="AF192" s="142">
        <f ca="1" xml:space="preserve"> AND( SUM($K165:AF165) &gt; 0, SUM(AF165:$AX165) &gt; 0 ) * 1</f>
        <v>0</v>
      </c>
      <c r="AG192" s="142">
        <f ca="1" xml:space="preserve"> AND( SUM($K165:AG165) &gt; 0, SUM(AG165:$AX165) &gt; 0 ) * 1</f>
        <v>0</v>
      </c>
      <c r="AH192" s="142">
        <f ca="1" xml:space="preserve"> AND( SUM($K165:AH165) &gt; 0, SUM(AH165:$AX165) &gt; 0 ) * 1</f>
        <v>0</v>
      </c>
      <c r="AI192" s="142">
        <f ca="1" xml:space="preserve"> AND( SUM($K165:AI165) &gt; 0, SUM(AI165:$AX165) &gt; 0 ) * 1</f>
        <v>0</v>
      </c>
      <c r="AJ192" s="142">
        <f ca="1" xml:space="preserve"> AND( SUM($K165:AJ165) &gt; 0, SUM(AJ165:$AX165) &gt; 0 ) * 1</f>
        <v>0</v>
      </c>
      <c r="AK192" s="142">
        <f ca="1" xml:space="preserve"> AND( SUM($K165:AK165) &gt; 0, SUM(AK165:$AX165) &gt; 0 ) * 1</f>
        <v>0</v>
      </c>
      <c r="AL192" s="142">
        <f ca="1" xml:space="preserve"> AND( SUM($K165:AL165) &gt; 0, SUM(AL165:$AX165) &gt; 0 ) * 1</f>
        <v>0</v>
      </c>
      <c r="AM192" s="142">
        <f ca="1" xml:space="preserve"> AND( SUM($K165:AM165) &gt; 0, SUM(AM165:$AX165) &gt; 0 ) * 1</f>
        <v>0</v>
      </c>
      <c r="AN192" s="142">
        <f ca="1" xml:space="preserve"> AND( SUM($K165:AN165) &gt; 0, SUM(AN165:$AX165) &gt; 0 ) * 1</f>
        <v>0</v>
      </c>
      <c r="AO192" s="142">
        <f ca="1" xml:space="preserve"> AND( SUM($K165:AO165) &gt; 0, SUM(AO165:$AX165) &gt; 0 ) * 1</f>
        <v>0</v>
      </c>
      <c r="AP192" s="142">
        <f ca="1" xml:space="preserve"> AND( SUM($K165:AP165) &gt; 0, SUM(AP165:$AX165) &gt; 0 ) * 1</f>
        <v>0</v>
      </c>
      <c r="AQ192" s="142">
        <f ca="1" xml:space="preserve"> AND( SUM($K165:AQ165) &gt; 0, SUM(AQ165:$AX165) &gt; 0 ) * 1</f>
        <v>0</v>
      </c>
      <c r="AR192" s="142">
        <f ca="1" xml:space="preserve"> AND( SUM($K165:AR165) &gt; 0, SUM(AR165:$AX165) &gt; 0 ) * 1</f>
        <v>0</v>
      </c>
      <c r="AS192" s="142">
        <f ca="1" xml:space="preserve"> AND( SUM($K165:AS165) &gt; 0, SUM(AS165:$AX165) &gt; 0 ) * 1</f>
        <v>0</v>
      </c>
      <c r="AT192" s="142">
        <f ca="1" xml:space="preserve"> AND( SUM($K165:AT165) &gt; 0, SUM(AT165:$AX165) &gt; 0 ) * 1</f>
        <v>0</v>
      </c>
      <c r="AU192" s="142">
        <f ca="1" xml:space="preserve"> AND( SUM($K165:AU165) &gt; 0, SUM(AU165:$AX165) &gt; 0 ) * 1</f>
        <v>0</v>
      </c>
      <c r="AV192" s="142">
        <f ca="1" xml:space="preserve"> AND( SUM($K165:AV165) &gt; 0, SUM(AV165:$AX165) &gt; 0 ) * 1</f>
        <v>0</v>
      </c>
      <c r="AW192" s="142">
        <f ca="1" xml:space="preserve"> AND( SUM($K165:AW165) &gt; 0, SUM(AW165:$AX165) &gt; 0 ) * 1</f>
        <v>0</v>
      </c>
      <c r="AX192" s="142">
        <f ca="1" xml:space="preserve"> AND( SUM($K165:AX165) &gt; 0, SUM(AX165:$AX165) &gt; 0 ) * 1</f>
        <v>0</v>
      </c>
    </row>
    <row r="193" spans="1:50" s="66" customFormat="1" ht="15" customHeight="1">
      <c r="A193" s="158"/>
      <c r="B193" s="159"/>
      <c r="C193" s="160"/>
      <c r="D193" s="161"/>
      <c r="E193" s="142" t="str">
        <f>Translate!$E$421</f>
        <v>Cumulative production years</v>
      </c>
      <c r="F193" s="143"/>
      <c r="G193" s="162" t="str">
        <f>Translate!$E$358</f>
        <v>Years</v>
      </c>
      <c r="H193" s="162"/>
      <c r="I193" s="158"/>
      <c r="J193" s="163"/>
      <c r="K193" s="142">
        <f t="shared" ref="K193:AX193" ca="1" si="79" xml:space="preserve"> ( J193 + K192 ) * K192</f>
        <v>0</v>
      </c>
      <c r="L193" s="142">
        <f t="shared" ca="1" si="79"/>
        <v>0</v>
      </c>
      <c r="M193" s="142">
        <f t="shared" ca="1" si="79"/>
        <v>0</v>
      </c>
      <c r="N193" s="142">
        <f t="shared" ca="1" si="79"/>
        <v>0</v>
      </c>
      <c r="O193" s="142">
        <f t="shared" ca="1" si="79"/>
        <v>1</v>
      </c>
      <c r="P193" s="142">
        <f t="shared" ca="1" si="79"/>
        <v>2</v>
      </c>
      <c r="Q193" s="142">
        <f t="shared" ca="1" si="79"/>
        <v>3</v>
      </c>
      <c r="R193" s="142">
        <f t="shared" ca="1" si="79"/>
        <v>4</v>
      </c>
      <c r="S193" s="142">
        <f t="shared" ca="1" si="79"/>
        <v>5</v>
      </c>
      <c r="T193" s="142">
        <f t="shared" ca="1" si="79"/>
        <v>6</v>
      </c>
      <c r="U193" s="142">
        <f t="shared" ca="1" si="79"/>
        <v>7</v>
      </c>
      <c r="V193" s="142">
        <f t="shared" ca="1" si="79"/>
        <v>8</v>
      </c>
      <c r="W193" s="142">
        <f t="shared" ca="1" si="79"/>
        <v>9</v>
      </c>
      <c r="X193" s="142">
        <f t="shared" ca="1" si="79"/>
        <v>10</v>
      </c>
      <c r="Y193" s="142">
        <f t="shared" ca="1" si="79"/>
        <v>11</v>
      </c>
      <c r="Z193" s="142">
        <f t="shared" ca="1" si="79"/>
        <v>12</v>
      </c>
      <c r="AA193" s="142">
        <f t="shared" ca="1" si="79"/>
        <v>13</v>
      </c>
      <c r="AB193" s="142">
        <f t="shared" ca="1" si="79"/>
        <v>14</v>
      </c>
      <c r="AC193" s="142">
        <f t="shared" ca="1" si="79"/>
        <v>15</v>
      </c>
      <c r="AD193" s="142">
        <f t="shared" ca="1" si="79"/>
        <v>16</v>
      </c>
      <c r="AE193" s="142">
        <f t="shared" ca="1" si="79"/>
        <v>17</v>
      </c>
      <c r="AF193" s="142">
        <f t="shared" ca="1" si="79"/>
        <v>0</v>
      </c>
      <c r="AG193" s="142">
        <f t="shared" ca="1" si="79"/>
        <v>0</v>
      </c>
      <c r="AH193" s="142">
        <f t="shared" ca="1" si="79"/>
        <v>0</v>
      </c>
      <c r="AI193" s="142">
        <f t="shared" ca="1" si="79"/>
        <v>0</v>
      </c>
      <c r="AJ193" s="142">
        <f t="shared" ca="1" si="79"/>
        <v>0</v>
      </c>
      <c r="AK193" s="142">
        <f t="shared" ca="1" si="79"/>
        <v>0</v>
      </c>
      <c r="AL193" s="142">
        <f t="shared" ca="1" si="79"/>
        <v>0</v>
      </c>
      <c r="AM193" s="142">
        <f t="shared" ca="1" si="79"/>
        <v>0</v>
      </c>
      <c r="AN193" s="142">
        <f t="shared" ca="1" si="79"/>
        <v>0</v>
      </c>
      <c r="AO193" s="142">
        <f t="shared" ca="1" si="79"/>
        <v>0</v>
      </c>
      <c r="AP193" s="142">
        <f t="shared" ca="1" si="79"/>
        <v>0</v>
      </c>
      <c r="AQ193" s="142">
        <f t="shared" ca="1" si="79"/>
        <v>0</v>
      </c>
      <c r="AR193" s="142">
        <f t="shared" ca="1" si="79"/>
        <v>0</v>
      </c>
      <c r="AS193" s="142">
        <f t="shared" ca="1" si="79"/>
        <v>0</v>
      </c>
      <c r="AT193" s="142">
        <f t="shared" ca="1" si="79"/>
        <v>0</v>
      </c>
      <c r="AU193" s="142">
        <f t="shared" ca="1" si="79"/>
        <v>0</v>
      </c>
      <c r="AV193" s="142">
        <f t="shared" ca="1" si="79"/>
        <v>0</v>
      </c>
      <c r="AW193" s="142">
        <f t="shared" ca="1" si="79"/>
        <v>0</v>
      </c>
      <c r="AX193" s="142">
        <f t="shared" ca="1" si="79"/>
        <v>0</v>
      </c>
    </row>
    <row r="194" spans="1:50" s="66" customFormat="1" ht="15" customHeight="1">
      <c r="A194" s="158"/>
      <c r="B194" s="159"/>
      <c r="C194" s="160"/>
      <c r="D194" s="161"/>
      <c r="E194" s="142" t="str">
        <f>Translate!$E$422</f>
        <v>Remaining production years</v>
      </c>
      <c r="F194" s="143"/>
      <c r="G194" s="162" t="str">
        <f>Translate!$E$358</f>
        <v>Years</v>
      </c>
      <c r="H194" s="162"/>
      <c r="I194" s="158"/>
      <c r="J194" s="143"/>
      <c r="K194" s="142">
        <f ca="1" xml:space="preserve"> SUM( K192:$AX192) * K192</f>
        <v>0</v>
      </c>
      <c r="L194" s="142">
        <f ca="1" xml:space="preserve"> SUM( L192:$AX192) * L192</f>
        <v>0</v>
      </c>
      <c r="M194" s="142">
        <f ca="1" xml:space="preserve"> SUM( M192:$AX192) * M192</f>
        <v>0</v>
      </c>
      <c r="N194" s="142">
        <f ca="1" xml:space="preserve"> SUM( N192:$AX192) * N192</f>
        <v>0</v>
      </c>
      <c r="O194" s="142">
        <f ca="1" xml:space="preserve"> SUM( O192:$AX192) * O192</f>
        <v>17</v>
      </c>
      <c r="P194" s="142">
        <f ca="1" xml:space="preserve"> SUM( P192:$AX192) * P192</f>
        <v>16</v>
      </c>
      <c r="Q194" s="142">
        <f ca="1" xml:space="preserve"> SUM( Q192:$AX192) * Q192</f>
        <v>15</v>
      </c>
      <c r="R194" s="142">
        <f ca="1" xml:space="preserve"> SUM( R192:$AX192) * R192</f>
        <v>14</v>
      </c>
      <c r="S194" s="142">
        <f ca="1" xml:space="preserve"> SUM( S192:$AX192) * S192</f>
        <v>13</v>
      </c>
      <c r="T194" s="142">
        <f ca="1" xml:space="preserve"> SUM( T192:$AX192) * T192</f>
        <v>12</v>
      </c>
      <c r="U194" s="142">
        <f ca="1" xml:space="preserve"> SUM( U192:$AX192) * U192</f>
        <v>11</v>
      </c>
      <c r="V194" s="142">
        <f ca="1" xml:space="preserve"> SUM( V192:$AX192) * V192</f>
        <v>10</v>
      </c>
      <c r="W194" s="142">
        <f ca="1" xml:space="preserve"> SUM( W192:$AX192) * W192</f>
        <v>9</v>
      </c>
      <c r="X194" s="142">
        <f ca="1" xml:space="preserve"> SUM( X192:$AX192) * X192</f>
        <v>8</v>
      </c>
      <c r="Y194" s="142">
        <f ca="1" xml:space="preserve"> SUM( Y192:$AX192) * Y192</f>
        <v>7</v>
      </c>
      <c r="Z194" s="142">
        <f ca="1" xml:space="preserve"> SUM( Z192:$AX192) * Z192</f>
        <v>6</v>
      </c>
      <c r="AA194" s="142">
        <f ca="1" xml:space="preserve"> SUM( AA192:$AX192) * AA192</f>
        <v>5</v>
      </c>
      <c r="AB194" s="142">
        <f ca="1" xml:space="preserve"> SUM( AB192:$AX192) * AB192</f>
        <v>4</v>
      </c>
      <c r="AC194" s="142">
        <f ca="1" xml:space="preserve"> SUM( AC192:$AX192) * AC192</f>
        <v>3</v>
      </c>
      <c r="AD194" s="142">
        <f ca="1" xml:space="preserve"> SUM( AD192:$AX192) * AD192</f>
        <v>2</v>
      </c>
      <c r="AE194" s="142">
        <f ca="1" xml:space="preserve"> SUM( AE192:$AX192) * AE192</f>
        <v>1</v>
      </c>
      <c r="AF194" s="142">
        <f ca="1" xml:space="preserve"> SUM( AF192:$AX192) * AF192</f>
        <v>0</v>
      </c>
      <c r="AG194" s="142">
        <f ca="1" xml:space="preserve"> SUM( AG192:$AX192) * AG192</f>
        <v>0</v>
      </c>
      <c r="AH194" s="142">
        <f ca="1" xml:space="preserve"> SUM( AH192:$AX192) * AH192</f>
        <v>0</v>
      </c>
      <c r="AI194" s="142">
        <f ca="1" xml:space="preserve"> SUM( AI192:$AX192) * AI192</f>
        <v>0</v>
      </c>
      <c r="AJ194" s="142">
        <f ca="1" xml:space="preserve"> SUM( AJ192:$AX192) * AJ192</f>
        <v>0</v>
      </c>
      <c r="AK194" s="142">
        <f ca="1" xml:space="preserve"> SUM( AK192:$AX192) * AK192</f>
        <v>0</v>
      </c>
      <c r="AL194" s="142">
        <f ca="1" xml:space="preserve"> SUM( AL192:$AX192) * AL192</f>
        <v>0</v>
      </c>
      <c r="AM194" s="142">
        <f ca="1" xml:space="preserve"> SUM( AM192:$AX192) * AM192</f>
        <v>0</v>
      </c>
      <c r="AN194" s="142">
        <f ca="1" xml:space="preserve"> SUM( AN192:$AX192) * AN192</f>
        <v>0</v>
      </c>
      <c r="AO194" s="142">
        <f ca="1" xml:space="preserve"> SUM( AO192:$AX192) * AO192</f>
        <v>0</v>
      </c>
      <c r="AP194" s="142">
        <f ca="1" xml:space="preserve"> SUM( AP192:$AX192) * AP192</f>
        <v>0</v>
      </c>
      <c r="AQ194" s="142">
        <f ca="1" xml:space="preserve"> SUM( AQ192:$AX192) * AQ192</f>
        <v>0</v>
      </c>
      <c r="AR194" s="142">
        <f ca="1" xml:space="preserve"> SUM( AR192:$AX192) * AR192</f>
        <v>0</v>
      </c>
      <c r="AS194" s="142">
        <f ca="1" xml:space="preserve"> SUM( AS192:$AX192) * AS192</f>
        <v>0</v>
      </c>
      <c r="AT194" s="142">
        <f ca="1" xml:space="preserve"> SUM( AT192:$AX192) * AT192</f>
        <v>0</v>
      </c>
      <c r="AU194" s="142">
        <f ca="1" xml:space="preserve"> SUM( AU192:$AX192) * AU192</f>
        <v>0</v>
      </c>
      <c r="AV194" s="142">
        <f ca="1" xml:space="preserve"> SUM( AV192:$AX192) * AV192</f>
        <v>0</v>
      </c>
      <c r="AW194" s="142">
        <f ca="1" xml:space="preserve"> SUM( AW192:$AX192) * AW192</f>
        <v>0</v>
      </c>
      <c r="AX194" s="142">
        <f ca="1" xml:space="preserve"> SUM( AX192:$AX192) * AX192</f>
        <v>0</v>
      </c>
    </row>
    <row r="195" spans="1:50" ht="15" customHeight="1">
      <c r="A195" s="90"/>
      <c r="B195" s="134"/>
      <c r="C195" s="92"/>
      <c r="D195" s="95"/>
      <c r="E195" s="45" t="str">
        <f xml:space="preserve"> E192</f>
        <v>Production years after ELT</v>
      </c>
      <c r="F195" s="46">
        <f ca="1" xml:space="preserve"> SUM(K192:AX192)</f>
        <v>17</v>
      </c>
      <c r="G195" s="45" t="str">
        <f>Translate!$E$358</f>
        <v>Years</v>
      </c>
      <c r="H195" s="43"/>
      <c r="I195" s="93"/>
      <c r="J195" s="46"/>
      <c r="K195" s="45"/>
      <c r="L195" s="45"/>
      <c r="M195" s="45"/>
      <c r="N195" s="45"/>
      <c r="O195" s="45"/>
      <c r="P195" s="45"/>
      <c r="Q195" s="45"/>
      <c r="R195" s="45"/>
      <c r="S195" s="45"/>
      <c r="T195" s="45"/>
      <c r="U195" s="45"/>
      <c r="V195" s="45"/>
      <c r="W195" s="45"/>
      <c r="X195" s="45"/>
      <c r="Y195" s="45"/>
      <c r="Z195" s="45"/>
      <c r="AA195" s="45"/>
      <c r="AB195" s="45"/>
      <c r="AC195" s="45"/>
      <c r="AD195" s="45"/>
      <c r="AE195" s="45"/>
      <c r="AF195" s="45"/>
      <c r="AG195" s="45"/>
      <c r="AH195" s="45"/>
      <c r="AI195" s="45"/>
      <c r="AJ195" s="45"/>
      <c r="AK195" s="45"/>
      <c r="AL195" s="45"/>
      <c r="AM195" s="45"/>
      <c r="AN195" s="45"/>
      <c r="AO195" s="45"/>
      <c r="AP195" s="45"/>
      <c r="AQ195" s="45"/>
      <c r="AR195" s="45"/>
      <c r="AS195" s="45"/>
      <c r="AT195" s="45"/>
      <c r="AU195" s="45"/>
      <c r="AV195" s="45"/>
      <c r="AW195" s="45"/>
      <c r="AX195" s="45"/>
    </row>
    <row r="196" spans="1:50" ht="15" customHeight="1">
      <c r="A196" s="90"/>
      <c r="B196" s="134"/>
      <c r="C196" s="92"/>
      <c r="D196" s="95"/>
      <c r="H196" s="43"/>
      <c r="I196" s="93"/>
      <c r="J196" s="46"/>
      <c r="K196" s="45"/>
      <c r="L196" s="45"/>
      <c r="M196" s="45"/>
      <c r="N196" s="45"/>
      <c r="O196" s="45"/>
      <c r="P196" s="45"/>
      <c r="Q196" s="45"/>
      <c r="R196" s="45"/>
      <c r="S196" s="45"/>
      <c r="T196" s="45"/>
      <c r="U196" s="45"/>
      <c r="V196" s="45"/>
      <c r="W196" s="45"/>
      <c r="X196" s="45"/>
      <c r="Y196" s="45"/>
      <c r="Z196" s="45"/>
      <c r="AA196" s="45"/>
      <c r="AB196" s="45"/>
      <c r="AC196" s="45"/>
      <c r="AD196" s="45"/>
      <c r="AE196" s="45"/>
      <c r="AF196" s="45"/>
      <c r="AG196" s="45"/>
      <c r="AH196" s="45"/>
      <c r="AI196" s="45"/>
      <c r="AJ196" s="45"/>
      <c r="AK196" s="45"/>
      <c r="AL196" s="45"/>
      <c r="AM196" s="45"/>
      <c r="AN196" s="45"/>
      <c r="AO196" s="45"/>
      <c r="AP196" s="45"/>
      <c r="AQ196" s="45"/>
      <c r="AR196" s="45"/>
      <c r="AS196" s="45"/>
      <c r="AT196" s="45"/>
      <c r="AU196" s="45"/>
      <c r="AV196" s="45"/>
      <c r="AW196" s="45"/>
      <c r="AX196" s="45"/>
    </row>
    <row r="197" spans="1:50" ht="15" customHeight="1">
      <c r="A197" s="90"/>
      <c r="B197" s="134"/>
      <c r="C197" s="92"/>
      <c r="D197" s="95"/>
      <c r="E197" s="45"/>
      <c r="F197" s="46"/>
      <c r="G197" s="43"/>
      <c r="H197" s="43"/>
      <c r="I197" s="93"/>
      <c r="J197" s="46"/>
      <c r="K197" s="45"/>
      <c r="L197" s="45"/>
      <c r="M197" s="45"/>
      <c r="N197" s="45"/>
      <c r="O197" s="45"/>
      <c r="P197" s="45"/>
      <c r="Q197" s="45"/>
      <c r="R197" s="45"/>
      <c r="S197" s="45"/>
      <c r="T197" s="45"/>
      <c r="U197" s="45"/>
      <c r="V197" s="45"/>
      <c r="W197" s="45"/>
      <c r="X197" s="45"/>
      <c r="Y197" s="45"/>
      <c r="Z197" s="45"/>
      <c r="AA197" s="45"/>
      <c r="AB197" s="45"/>
      <c r="AC197" s="45"/>
      <c r="AD197" s="45"/>
      <c r="AE197" s="45"/>
      <c r="AF197" s="45"/>
      <c r="AG197" s="45"/>
      <c r="AH197" s="45"/>
      <c r="AI197" s="45"/>
      <c r="AJ197" s="45"/>
      <c r="AK197" s="45"/>
      <c r="AL197" s="45"/>
      <c r="AM197" s="45"/>
      <c r="AN197" s="45"/>
      <c r="AO197" s="45"/>
      <c r="AP197" s="45"/>
      <c r="AQ197" s="45"/>
      <c r="AR197" s="45"/>
      <c r="AS197" s="45"/>
      <c r="AT197" s="45"/>
      <c r="AU197" s="45"/>
      <c r="AV197" s="45"/>
      <c r="AW197" s="45"/>
      <c r="AX197" s="45"/>
    </row>
    <row r="198" spans="1:50" ht="15" customHeight="1">
      <c r="A198" s="90"/>
      <c r="B198" s="156" t="str">
        <f>Translate!$E$386</f>
        <v>Development period (used for depreciation calculations)</v>
      </c>
      <c r="C198" s="92"/>
      <c r="D198" s="95"/>
      <c r="E198" s="45"/>
      <c r="F198" s="46"/>
      <c r="G198" s="43"/>
      <c r="H198" s="43"/>
      <c r="I198" s="93"/>
      <c r="J198" s="46"/>
      <c r="K198" s="45"/>
      <c r="L198" s="45"/>
      <c r="M198" s="45"/>
      <c r="N198" s="45"/>
      <c r="O198" s="45"/>
      <c r="P198" s="45"/>
      <c r="Q198" s="45"/>
      <c r="R198" s="45"/>
      <c r="S198" s="45"/>
      <c r="T198" s="45"/>
      <c r="U198" s="45"/>
      <c r="V198" s="45"/>
      <c r="W198" s="45"/>
      <c r="X198" s="45"/>
      <c r="Y198" s="45"/>
      <c r="Z198" s="45"/>
      <c r="AA198" s="45"/>
      <c r="AB198" s="45"/>
      <c r="AC198" s="45"/>
      <c r="AD198" s="45"/>
      <c r="AE198" s="45"/>
      <c r="AF198" s="45"/>
      <c r="AG198" s="45"/>
      <c r="AH198" s="45"/>
      <c r="AI198" s="45"/>
      <c r="AJ198" s="45"/>
      <c r="AK198" s="45"/>
      <c r="AL198" s="45"/>
      <c r="AM198" s="45"/>
      <c r="AN198" s="45"/>
      <c r="AO198" s="45"/>
      <c r="AP198" s="45"/>
      <c r="AQ198" s="45"/>
      <c r="AR198" s="45"/>
      <c r="AS198" s="45"/>
      <c r="AT198" s="45"/>
      <c r="AU198" s="45"/>
      <c r="AV198" s="45"/>
      <c r="AW198" s="45"/>
      <c r="AX198" s="45"/>
    </row>
    <row r="199" spans="1:50" ht="15" customHeight="1">
      <c r="A199" s="73"/>
      <c r="B199" s="156"/>
      <c r="C199" s="92"/>
      <c r="D199" s="95"/>
      <c r="E199" s="39" t="str">
        <f t="shared" ref="E199:AX199" si="80" xml:space="preserve"> E$48</f>
        <v>Model calendar years</v>
      </c>
      <c r="F199" s="39">
        <f t="shared" si="80"/>
        <v>0</v>
      </c>
      <c r="G199" s="39" t="str">
        <f t="shared" si="80"/>
        <v>Years</v>
      </c>
      <c r="H199" s="39">
        <f t="shared" si="80"/>
        <v>0</v>
      </c>
      <c r="I199" s="39">
        <f t="shared" si="80"/>
        <v>0</v>
      </c>
      <c r="J199" s="39">
        <f t="shared" si="80"/>
        <v>0</v>
      </c>
      <c r="K199" s="238">
        <f t="shared" si="80"/>
        <v>2021</v>
      </c>
      <c r="L199" s="238">
        <f t="shared" si="80"/>
        <v>2022</v>
      </c>
      <c r="M199" s="238">
        <f t="shared" si="80"/>
        <v>2023</v>
      </c>
      <c r="N199" s="238">
        <f t="shared" si="80"/>
        <v>2024</v>
      </c>
      <c r="O199" s="238">
        <f t="shared" si="80"/>
        <v>2025</v>
      </c>
      <c r="P199" s="238">
        <f t="shared" si="80"/>
        <v>2026</v>
      </c>
      <c r="Q199" s="238">
        <f t="shared" si="80"/>
        <v>2027</v>
      </c>
      <c r="R199" s="238">
        <f t="shared" si="80"/>
        <v>2028</v>
      </c>
      <c r="S199" s="238">
        <f t="shared" si="80"/>
        <v>2029</v>
      </c>
      <c r="T199" s="238">
        <f t="shared" si="80"/>
        <v>2030</v>
      </c>
      <c r="U199" s="238">
        <f t="shared" si="80"/>
        <v>2031</v>
      </c>
      <c r="V199" s="238">
        <f t="shared" si="80"/>
        <v>2032</v>
      </c>
      <c r="W199" s="238">
        <f t="shared" si="80"/>
        <v>2033</v>
      </c>
      <c r="X199" s="238">
        <f t="shared" si="80"/>
        <v>2034</v>
      </c>
      <c r="Y199" s="238">
        <f t="shared" si="80"/>
        <v>2035</v>
      </c>
      <c r="Z199" s="238">
        <f t="shared" si="80"/>
        <v>2036</v>
      </c>
      <c r="AA199" s="238">
        <f t="shared" si="80"/>
        <v>2037</v>
      </c>
      <c r="AB199" s="238">
        <f t="shared" si="80"/>
        <v>2038</v>
      </c>
      <c r="AC199" s="238">
        <f t="shared" si="80"/>
        <v>2039</v>
      </c>
      <c r="AD199" s="238">
        <f t="shared" si="80"/>
        <v>2040</v>
      </c>
      <c r="AE199" s="238">
        <f t="shared" si="80"/>
        <v>2041</v>
      </c>
      <c r="AF199" s="238">
        <f t="shared" si="80"/>
        <v>2042</v>
      </c>
      <c r="AG199" s="238">
        <f t="shared" si="80"/>
        <v>2043</v>
      </c>
      <c r="AH199" s="238">
        <f t="shared" si="80"/>
        <v>2044</v>
      </c>
      <c r="AI199" s="238">
        <f t="shared" si="80"/>
        <v>2045</v>
      </c>
      <c r="AJ199" s="238">
        <f t="shared" si="80"/>
        <v>2046</v>
      </c>
      <c r="AK199" s="238">
        <f t="shared" si="80"/>
        <v>2047</v>
      </c>
      <c r="AL199" s="238">
        <f t="shared" si="80"/>
        <v>2048</v>
      </c>
      <c r="AM199" s="238">
        <f t="shared" si="80"/>
        <v>2049</v>
      </c>
      <c r="AN199" s="238">
        <f t="shared" si="80"/>
        <v>2050</v>
      </c>
      <c r="AO199" s="238">
        <f t="shared" si="80"/>
        <v>2051</v>
      </c>
      <c r="AP199" s="238">
        <f t="shared" si="80"/>
        <v>2052</v>
      </c>
      <c r="AQ199" s="238">
        <f t="shared" si="80"/>
        <v>2053</v>
      </c>
      <c r="AR199" s="238">
        <f t="shared" si="80"/>
        <v>2054</v>
      </c>
      <c r="AS199" s="238">
        <f t="shared" si="80"/>
        <v>2055</v>
      </c>
      <c r="AT199" s="238">
        <f t="shared" si="80"/>
        <v>2056</v>
      </c>
      <c r="AU199" s="238">
        <f t="shared" si="80"/>
        <v>2057</v>
      </c>
      <c r="AV199" s="238">
        <f t="shared" si="80"/>
        <v>2058</v>
      </c>
      <c r="AW199" s="238">
        <f t="shared" si="80"/>
        <v>2059</v>
      </c>
      <c r="AX199" s="238">
        <f t="shared" si="80"/>
        <v>2060</v>
      </c>
    </row>
    <row r="200" spans="1:50" ht="15" customHeight="1">
      <c r="A200" s="73"/>
      <c r="B200" s="156"/>
      <c r="C200" s="92"/>
      <c r="D200" s="95"/>
      <c r="E200" s="39" t="str">
        <f t="shared" ref="E200:AX200" si="81" xml:space="preserve"> E$67</f>
        <v>Development costs</v>
      </c>
      <c r="F200" s="39">
        <f t="shared" si="81"/>
        <v>0</v>
      </c>
      <c r="G200" s="39" t="str">
        <f t="shared" si="81"/>
        <v>US$ mn 2021</v>
      </c>
      <c r="H200" s="39">
        <f t="shared" si="81"/>
        <v>0</v>
      </c>
      <c r="I200" s="39">
        <f t="shared" ca="1" si="81"/>
        <v>400</v>
      </c>
      <c r="J200" s="124">
        <f t="shared" si="81"/>
        <v>0</v>
      </c>
      <c r="K200" s="39">
        <f t="shared" ca="1" si="81"/>
        <v>0</v>
      </c>
      <c r="L200" s="39">
        <f t="shared" ca="1" si="81"/>
        <v>0</v>
      </c>
      <c r="M200" s="39">
        <f t="shared" ca="1" si="81"/>
        <v>0</v>
      </c>
      <c r="N200" s="39">
        <f t="shared" ca="1" si="81"/>
        <v>50</v>
      </c>
      <c r="O200" s="39">
        <f t="shared" ca="1" si="81"/>
        <v>250</v>
      </c>
      <c r="P200" s="39">
        <f t="shared" ca="1" si="81"/>
        <v>100</v>
      </c>
      <c r="Q200" s="39">
        <f t="shared" ca="1" si="81"/>
        <v>0</v>
      </c>
      <c r="R200" s="39">
        <f t="shared" ca="1" si="81"/>
        <v>0</v>
      </c>
      <c r="S200" s="39">
        <f t="shared" ca="1" si="81"/>
        <v>0</v>
      </c>
      <c r="T200" s="39">
        <f t="shared" ca="1" si="81"/>
        <v>0</v>
      </c>
      <c r="U200" s="39">
        <f t="shared" ca="1" si="81"/>
        <v>0</v>
      </c>
      <c r="V200" s="39">
        <f t="shared" ca="1" si="81"/>
        <v>0</v>
      </c>
      <c r="W200" s="39">
        <f t="shared" ca="1" si="81"/>
        <v>0</v>
      </c>
      <c r="X200" s="39">
        <f t="shared" ca="1" si="81"/>
        <v>0</v>
      </c>
      <c r="Y200" s="39">
        <f t="shared" ca="1" si="81"/>
        <v>0</v>
      </c>
      <c r="Z200" s="39">
        <f t="shared" ca="1" si="81"/>
        <v>0</v>
      </c>
      <c r="AA200" s="39">
        <f t="shared" ca="1" si="81"/>
        <v>0</v>
      </c>
      <c r="AB200" s="39">
        <f t="shared" ca="1" si="81"/>
        <v>0</v>
      </c>
      <c r="AC200" s="39">
        <f t="shared" ca="1" si="81"/>
        <v>0</v>
      </c>
      <c r="AD200" s="39">
        <f t="shared" ca="1" si="81"/>
        <v>0</v>
      </c>
      <c r="AE200" s="39">
        <f t="shared" ca="1" si="81"/>
        <v>0</v>
      </c>
      <c r="AF200" s="39">
        <f t="shared" ca="1" si="81"/>
        <v>0</v>
      </c>
      <c r="AG200" s="39">
        <f t="shared" ca="1" si="81"/>
        <v>0</v>
      </c>
      <c r="AH200" s="39">
        <f t="shared" ca="1" si="81"/>
        <v>0</v>
      </c>
      <c r="AI200" s="39">
        <f t="shared" ca="1" si="81"/>
        <v>0</v>
      </c>
      <c r="AJ200" s="39">
        <f t="shared" ca="1" si="81"/>
        <v>0</v>
      </c>
      <c r="AK200" s="39">
        <f t="shared" ca="1" si="81"/>
        <v>0</v>
      </c>
      <c r="AL200" s="39">
        <f t="shared" ca="1" si="81"/>
        <v>0</v>
      </c>
      <c r="AM200" s="39">
        <f t="shared" ca="1" si="81"/>
        <v>0</v>
      </c>
      <c r="AN200" s="39">
        <f t="shared" ca="1" si="81"/>
        <v>0</v>
      </c>
      <c r="AO200" s="39">
        <f t="shared" ca="1" si="81"/>
        <v>0</v>
      </c>
      <c r="AP200" s="39">
        <f t="shared" ca="1" si="81"/>
        <v>0</v>
      </c>
      <c r="AQ200" s="39">
        <f t="shared" ca="1" si="81"/>
        <v>0</v>
      </c>
      <c r="AR200" s="39">
        <f t="shared" ca="1" si="81"/>
        <v>0</v>
      </c>
      <c r="AS200" s="39">
        <f t="shared" ca="1" si="81"/>
        <v>0</v>
      </c>
      <c r="AT200" s="39">
        <f t="shared" ca="1" si="81"/>
        <v>0</v>
      </c>
      <c r="AU200" s="39">
        <f t="shared" ca="1" si="81"/>
        <v>0</v>
      </c>
      <c r="AV200" s="39">
        <f t="shared" ca="1" si="81"/>
        <v>0</v>
      </c>
      <c r="AW200" s="39">
        <f t="shared" ca="1" si="81"/>
        <v>0</v>
      </c>
      <c r="AX200" s="39">
        <f t="shared" ca="1" si="81"/>
        <v>0</v>
      </c>
    </row>
    <row r="201" spans="1:50" s="315" customFormat="1" ht="15" customHeight="1">
      <c r="A201" s="538"/>
      <c r="C201" s="536"/>
      <c r="E201" s="312" t="str">
        <f>Translate!$E$336</f>
        <v>Final investment decision (start of development)</v>
      </c>
      <c r="F201" s="312"/>
      <c r="G201" s="856" t="str">
        <f xml:space="preserve"> Translate!E$586</f>
        <v>Flag</v>
      </c>
      <c r="H201" s="312"/>
      <c r="J201" s="539"/>
      <c r="K201" s="312">
        <f ca="1" xml:space="preserve"> AND( J200 = 0, K200 &gt; 0, (SUM($J201:J201) = 0)) * K199</f>
        <v>0</v>
      </c>
      <c r="L201" s="312">
        <f ca="1" xml:space="preserve"> AND( K200 = 0, L200 &gt; 0, (SUM($J201:K201) = 0)) * L199</f>
        <v>0</v>
      </c>
      <c r="M201" s="312">
        <f ca="1" xml:space="preserve"> AND( L200 = 0, M200 &gt; 0, (SUM($J201:L201) = 0)) * M199</f>
        <v>0</v>
      </c>
      <c r="N201" s="312">
        <f ca="1" xml:space="preserve"> AND( M200 = 0, N200 &gt; 0, (SUM($J201:M201) = 0)) * N199</f>
        <v>2024</v>
      </c>
      <c r="O201" s="312">
        <f ca="1" xml:space="preserve"> AND( N200 = 0, O200 &gt; 0, (SUM($J201:N201) = 0)) * O199</f>
        <v>0</v>
      </c>
      <c r="P201" s="312">
        <f ca="1" xml:space="preserve"> AND( O200 = 0, P200 &gt; 0, (SUM($J201:O201) = 0)) * P199</f>
        <v>0</v>
      </c>
      <c r="Q201" s="312">
        <f ca="1" xml:space="preserve"> AND( P200 = 0, Q200 &gt; 0, (SUM($J201:P201) = 0)) * Q199</f>
        <v>0</v>
      </c>
      <c r="R201" s="312">
        <f ca="1" xml:space="preserve"> AND( Q200 = 0, R200 &gt; 0, (SUM($J201:Q201) = 0)) * R199</f>
        <v>0</v>
      </c>
      <c r="S201" s="312">
        <f ca="1" xml:space="preserve"> AND( R200 = 0, S200 &gt; 0, (SUM($J201:R201) = 0)) * S199</f>
        <v>0</v>
      </c>
      <c r="T201" s="312">
        <f ca="1" xml:space="preserve"> AND( S200 = 0, T200 &gt; 0, (SUM($J201:S201) = 0)) * T199</f>
        <v>0</v>
      </c>
      <c r="U201" s="312">
        <f ca="1" xml:space="preserve"> AND( T200 = 0, U200 &gt; 0, (SUM($J201:T201) = 0)) * U199</f>
        <v>0</v>
      </c>
      <c r="V201" s="312">
        <f ca="1" xml:space="preserve"> AND( U200 = 0, V200 &gt; 0, (SUM($J201:U201) = 0)) * V199</f>
        <v>0</v>
      </c>
      <c r="W201" s="312">
        <f ca="1" xml:space="preserve"> AND( V200 = 0, W200 &gt; 0, (SUM($J201:V201) = 0)) * W199</f>
        <v>0</v>
      </c>
      <c r="X201" s="312">
        <f ca="1" xml:space="preserve"> AND( W200 = 0, X200 &gt; 0, (SUM($J201:W201) = 0)) * X199</f>
        <v>0</v>
      </c>
      <c r="Y201" s="312">
        <f ca="1" xml:space="preserve"> AND( X200 = 0, Y200 &gt; 0, (SUM($J201:X201) = 0)) * Y199</f>
        <v>0</v>
      </c>
      <c r="Z201" s="312">
        <f ca="1" xml:space="preserve"> AND( Y200 = 0, Z200 &gt; 0, (SUM($J201:Y201) = 0)) * Z199</f>
        <v>0</v>
      </c>
      <c r="AA201" s="312">
        <f ca="1" xml:space="preserve"> AND( Z200 = 0, AA200 &gt; 0, (SUM($J201:Z201) = 0)) * AA199</f>
        <v>0</v>
      </c>
      <c r="AB201" s="312">
        <f ca="1" xml:space="preserve"> AND( AA200 = 0, AB200 &gt; 0, (SUM($J201:AA201) = 0)) * AB199</f>
        <v>0</v>
      </c>
      <c r="AC201" s="312">
        <f ca="1" xml:space="preserve"> AND( AB200 = 0, AC200 &gt; 0, (SUM($J201:AB201) = 0)) * AC199</f>
        <v>0</v>
      </c>
      <c r="AD201" s="312">
        <f ca="1" xml:space="preserve"> AND( AC200 = 0, AD200 &gt; 0, (SUM($J201:AC201) = 0)) * AD199</f>
        <v>0</v>
      </c>
      <c r="AE201" s="312">
        <f ca="1" xml:space="preserve"> AND( AD200 = 0, AE200 &gt; 0, (SUM($J201:AD201) = 0)) * AE199</f>
        <v>0</v>
      </c>
      <c r="AF201" s="312">
        <f ca="1" xml:space="preserve"> AND( AE200 = 0, AF200 &gt; 0, (SUM($J201:AE201) = 0)) * AF199</f>
        <v>0</v>
      </c>
      <c r="AG201" s="312">
        <f ca="1" xml:space="preserve"> AND( AF200 = 0, AG200 &gt; 0, (SUM($J201:AF201) = 0)) * AG199</f>
        <v>0</v>
      </c>
      <c r="AH201" s="312">
        <f ca="1" xml:space="preserve"> AND( AG200 = 0, AH200 &gt; 0, (SUM($J201:AG201) = 0)) * AH199</f>
        <v>0</v>
      </c>
      <c r="AI201" s="312">
        <f ca="1" xml:space="preserve"> AND( AH200 = 0, AI200 &gt; 0, (SUM($J201:AH201) = 0)) * AI199</f>
        <v>0</v>
      </c>
      <c r="AJ201" s="312">
        <f ca="1" xml:space="preserve"> AND( AI200 = 0, AJ200 &gt; 0, (SUM($J201:AI201) = 0)) * AJ199</f>
        <v>0</v>
      </c>
      <c r="AK201" s="312">
        <f ca="1" xml:space="preserve"> AND( AJ200 = 0, AK200 &gt; 0, (SUM($J201:AJ201) = 0)) * AK199</f>
        <v>0</v>
      </c>
      <c r="AL201" s="312">
        <f ca="1" xml:space="preserve"> AND( AK200 = 0, AL200 &gt; 0, (SUM($J201:AK201) = 0)) * AL199</f>
        <v>0</v>
      </c>
      <c r="AM201" s="312">
        <f ca="1" xml:space="preserve"> AND( AL200 = 0, AM200 &gt; 0, (SUM($J201:AL201) = 0)) * AM199</f>
        <v>0</v>
      </c>
      <c r="AN201" s="312">
        <f ca="1" xml:space="preserve"> AND( AM200 = 0, AN200 &gt; 0, (SUM($J201:AM201) = 0)) * AN199</f>
        <v>0</v>
      </c>
      <c r="AO201" s="312">
        <f ca="1" xml:space="preserve"> AND( AN200 = 0, AO200 &gt; 0, (SUM($J201:AN201) = 0)) * AO199</f>
        <v>0</v>
      </c>
      <c r="AP201" s="312">
        <f ca="1" xml:space="preserve"> AND( AO200 = 0, AP200 &gt; 0, (SUM($J201:AO201) = 0)) * AP199</f>
        <v>0</v>
      </c>
      <c r="AQ201" s="312">
        <f ca="1" xml:space="preserve"> AND( AP200 = 0, AQ200 &gt; 0, (SUM($J201:AP201) = 0)) * AQ199</f>
        <v>0</v>
      </c>
      <c r="AR201" s="312">
        <f ca="1" xml:space="preserve"> AND( AQ200 = 0, AR200 &gt; 0, (SUM($J201:AQ201) = 0)) * AR199</f>
        <v>0</v>
      </c>
      <c r="AS201" s="312">
        <f ca="1" xml:space="preserve"> AND( AR200 = 0, AS200 &gt; 0, (SUM($J201:AR201) = 0)) * AS199</f>
        <v>0</v>
      </c>
      <c r="AT201" s="312">
        <f ca="1" xml:space="preserve"> AND( AS200 = 0, AT200 &gt; 0, (SUM($J201:AS201) = 0)) * AT199</f>
        <v>0</v>
      </c>
      <c r="AU201" s="312">
        <f ca="1" xml:space="preserve"> AND( AT200 = 0, AU200 &gt; 0, (SUM($J201:AT201) = 0)) * AU199</f>
        <v>0</v>
      </c>
      <c r="AV201" s="312">
        <f ca="1" xml:space="preserve"> AND( AU200 = 0, AV200 &gt; 0, (SUM($J201:AU201) = 0)) * AV199</f>
        <v>0</v>
      </c>
      <c r="AW201" s="312">
        <f ca="1" xml:space="preserve"> AND( AV200 = 0, AW200 &gt; 0, (SUM($J201:AV201) = 0)) * AW199</f>
        <v>0</v>
      </c>
      <c r="AX201" s="312">
        <f ca="1" xml:space="preserve"> AND( AW200 = 0, AX200 &gt; 0, (SUM($J201:AW201) = 0)) * AX199</f>
        <v>0</v>
      </c>
    </row>
    <row r="202" spans="1:50" s="315" customFormat="1" ht="15" customHeight="1">
      <c r="A202" s="538"/>
      <c r="C202" s="536"/>
      <c r="E202" s="312" t="str">
        <f>Translate!$E563</f>
        <v>FID</v>
      </c>
      <c r="F202" s="312">
        <f ca="1" xml:space="preserve"> SUM(K201:AX201)</f>
        <v>2024</v>
      </c>
      <c r="G202" s="856" t="str">
        <f xml:space="preserve"> Translate!E$365</f>
        <v>Year</v>
      </c>
      <c r="H202" s="312"/>
      <c r="J202" s="312"/>
      <c r="K202" s="312"/>
      <c r="L202" s="312"/>
      <c r="M202" s="312"/>
      <c r="N202" s="312"/>
      <c r="O202" s="312"/>
      <c r="P202" s="312"/>
      <c r="Q202" s="312"/>
      <c r="R202" s="312"/>
      <c r="S202" s="312"/>
      <c r="T202" s="312"/>
      <c r="U202" s="312"/>
      <c r="V202" s="312"/>
      <c r="W202" s="312"/>
      <c r="X202" s="312"/>
      <c r="Y202" s="312"/>
      <c r="Z202" s="312"/>
      <c r="AA202" s="312"/>
      <c r="AB202" s="312"/>
      <c r="AC202" s="312"/>
      <c r="AD202" s="312"/>
      <c r="AE202" s="312"/>
      <c r="AF202" s="312"/>
      <c r="AG202" s="312"/>
      <c r="AH202" s="312"/>
      <c r="AI202" s="312"/>
      <c r="AJ202" s="312"/>
      <c r="AK202" s="312"/>
      <c r="AL202" s="312"/>
      <c r="AM202" s="312"/>
      <c r="AN202" s="312"/>
      <c r="AO202" s="312"/>
      <c r="AP202" s="312"/>
      <c r="AQ202" s="312"/>
      <c r="AR202" s="312"/>
      <c r="AS202" s="312"/>
      <c r="AT202" s="312"/>
      <c r="AU202" s="312"/>
      <c r="AV202" s="312"/>
      <c r="AW202" s="312"/>
      <c r="AX202" s="312"/>
    </row>
    <row r="203" spans="1:50" ht="15" customHeight="1">
      <c r="A203" s="73"/>
      <c r="B203" s="134"/>
      <c r="C203" s="92"/>
      <c r="D203" s="95"/>
      <c r="E203" s="45"/>
      <c r="F203" s="46"/>
      <c r="G203" s="43"/>
      <c r="H203" s="43"/>
      <c r="I203" s="93"/>
      <c r="J203" s="46"/>
      <c r="K203" s="45"/>
      <c r="L203" s="45"/>
      <c r="M203" s="45"/>
      <c r="N203" s="45"/>
      <c r="O203" s="45"/>
      <c r="P203" s="45"/>
      <c r="Q203" s="45"/>
      <c r="R203" s="45"/>
      <c r="S203" s="45"/>
      <c r="T203" s="45"/>
      <c r="U203" s="45"/>
      <c r="V203" s="45"/>
      <c r="W203" s="45"/>
      <c r="X203" s="45"/>
      <c r="Y203" s="45"/>
      <c r="Z203" s="45"/>
      <c r="AA203" s="45"/>
      <c r="AB203" s="45"/>
      <c r="AC203" s="45"/>
      <c r="AD203" s="45"/>
      <c r="AE203" s="45"/>
      <c r="AF203" s="45"/>
      <c r="AG203" s="45"/>
      <c r="AH203" s="45"/>
      <c r="AI203" s="45"/>
      <c r="AJ203" s="45"/>
      <c r="AK203" s="45"/>
      <c r="AL203" s="45"/>
      <c r="AM203" s="45"/>
      <c r="AN203" s="45"/>
      <c r="AO203" s="45"/>
      <c r="AP203" s="45"/>
      <c r="AQ203" s="45"/>
      <c r="AR203" s="45"/>
      <c r="AS203" s="45"/>
      <c r="AT203" s="45"/>
      <c r="AU203" s="45"/>
      <c r="AV203" s="45"/>
      <c r="AW203" s="45"/>
      <c r="AX203" s="45"/>
    </row>
    <row r="204" spans="1:50" ht="15" customHeight="1">
      <c r="A204" s="73"/>
      <c r="B204" s="134"/>
      <c r="C204" s="92"/>
      <c r="D204" s="95"/>
      <c r="E204" s="45" t="str">
        <f t="shared" ref="E204:AX204" si="82" xml:space="preserve"> E$184</f>
        <v>Project activity</v>
      </c>
      <c r="F204" s="45">
        <f t="shared" si="82"/>
        <v>0</v>
      </c>
      <c r="G204" s="45" t="str">
        <f t="shared" si="82"/>
        <v>Flag</v>
      </c>
      <c r="H204" s="45">
        <f t="shared" si="82"/>
        <v>0</v>
      </c>
      <c r="I204" s="45">
        <f t="shared" ca="1" si="82"/>
        <v>22</v>
      </c>
      <c r="J204" s="45">
        <f t="shared" si="82"/>
        <v>0</v>
      </c>
      <c r="K204" s="45">
        <f t="shared" ca="1" si="82"/>
        <v>1</v>
      </c>
      <c r="L204" s="45">
        <f t="shared" ca="1" si="82"/>
        <v>1</v>
      </c>
      <c r="M204" s="45">
        <f t="shared" ca="1" si="82"/>
        <v>1</v>
      </c>
      <c r="N204" s="45">
        <f t="shared" ca="1" si="82"/>
        <v>1</v>
      </c>
      <c r="O204" s="45">
        <f t="shared" ca="1" si="82"/>
        <v>1</v>
      </c>
      <c r="P204" s="45">
        <f t="shared" ca="1" si="82"/>
        <v>1</v>
      </c>
      <c r="Q204" s="45">
        <f t="shared" ca="1" si="82"/>
        <v>1</v>
      </c>
      <c r="R204" s="45">
        <f t="shared" ca="1" si="82"/>
        <v>1</v>
      </c>
      <c r="S204" s="45">
        <f t="shared" ca="1" si="82"/>
        <v>1</v>
      </c>
      <c r="T204" s="45">
        <f t="shared" ca="1" si="82"/>
        <v>1</v>
      </c>
      <c r="U204" s="45">
        <f t="shared" ca="1" si="82"/>
        <v>1</v>
      </c>
      <c r="V204" s="45">
        <f t="shared" ca="1" si="82"/>
        <v>1</v>
      </c>
      <c r="W204" s="45">
        <f t="shared" ca="1" si="82"/>
        <v>1</v>
      </c>
      <c r="X204" s="45">
        <f t="shared" ca="1" si="82"/>
        <v>1</v>
      </c>
      <c r="Y204" s="45">
        <f t="shared" ca="1" si="82"/>
        <v>1</v>
      </c>
      <c r="Z204" s="45">
        <f t="shared" ca="1" si="82"/>
        <v>1</v>
      </c>
      <c r="AA204" s="45">
        <f t="shared" ca="1" si="82"/>
        <v>1</v>
      </c>
      <c r="AB204" s="45">
        <f t="shared" ca="1" si="82"/>
        <v>1</v>
      </c>
      <c r="AC204" s="45">
        <f t="shared" ca="1" si="82"/>
        <v>1</v>
      </c>
      <c r="AD204" s="45">
        <f t="shared" ca="1" si="82"/>
        <v>1</v>
      </c>
      <c r="AE204" s="45">
        <f t="shared" ca="1" si="82"/>
        <v>1</v>
      </c>
      <c r="AF204" s="45">
        <f t="shared" ca="1" si="82"/>
        <v>1</v>
      </c>
      <c r="AG204" s="45">
        <f t="shared" ca="1" si="82"/>
        <v>0</v>
      </c>
      <c r="AH204" s="45">
        <f t="shared" ca="1" si="82"/>
        <v>0</v>
      </c>
      <c r="AI204" s="45">
        <f t="shared" ca="1" si="82"/>
        <v>0</v>
      </c>
      <c r="AJ204" s="45">
        <f t="shared" ca="1" si="82"/>
        <v>0</v>
      </c>
      <c r="AK204" s="45">
        <f t="shared" ca="1" si="82"/>
        <v>0</v>
      </c>
      <c r="AL204" s="45">
        <f t="shared" ca="1" si="82"/>
        <v>0</v>
      </c>
      <c r="AM204" s="45">
        <f t="shared" ca="1" si="82"/>
        <v>0</v>
      </c>
      <c r="AN204" s="45">
        <f t="shared" ca="1" si="82"/>
        <v>0</v>
      </c>
      <c r="AO204" s="45">
        <f t="shared" ca="1" si="82"/>
        <v>0</v>
      </c>
      <c r="AP204" s="45">
        <f t="shared" ca="1" si="82"/>
        <v>0</v>
      </c>
      <c r="AQ204" s="45">
        <f t="shared" ca="1" si="82"/>
        <v>0</v>
      </c>
      <c r="AR204" s="45">
        <f t="shared" ca="1" si="82"/>
        <v>0</v>
      </c>
      <c r="AS204" s="45">
        <f t="shared" ca="1" si="82"/>
        <v>0</v>
      </c>
      <c r="AT204" s="45">
        <f t="shared" ca="1" si="82"/>
        <v>0</v>
      </c>
      <c r="AU204" s="45">
        <f t="shared" ca="1" si="82"/>
        <v>0</v>
      </c>
      <c r="AV204" s="45">
        <f t="shared" ca="1" si="82"/>
        <v>0</v>
      </c>
      <c r="AW204" s="45">
        <f t="shared" ca="1" si="82"/>
        <v>0</v>
      </c>
      <c r="AX204" s="45">
        <f t="shared" ca="1" si="82"/>
        <v>0</v>
      </c>
    </row>
    <row r="205" spans="1:50" ht="15" customHeight="1">
      <c r="A205" s="168"/>
      <c r="B205" s="165"/>
      <c r="C205" s="166"/>
      <c r="D205" s="167"/>
      <c r="E205" s="142" t="str">
        <f>Translate!$E$423</f>
        <v>Cumulative years from start of development</v>
      </c>
      <c r="F205" s="143"/>
      <c r="G205" s="162" t="str">
        <f>Translate!$E$358</f>
        <v>Years</v>
      </c>
      <c r="H205" s="162"/>
      <c r="I205" s="168"/>
      <c r="J205" s="163"/>
      <c r="K205" s="142">
        <f t="shared" ref="K205:AX205" ca="1" si="83" xml:space="preserve"> IF( K199 &gt;= $F202, J205 + 1, 0) * K204</f>
        <v>0</v>
      </c>
      <c r="L205" s="142">
        <f t="shared" ca="1" si="83"/>
        <v>0</v>
      </c>
      <c r="M205" s="142">
        <f t="shared" ca="1" si="83"/>
        <v>0</v>
      </c>
      <c r="N205" s="142">
        <f t="shared" ca="1" si="83"/>
        <v>1</v>
      </c>
      <c r="O205" s="142">
        <f t="shared" ca="1" si="83"/>
        <v>2</v>
      </c>
      <c r="P205" s="142">
        <f t="shared" ca="1" si="83"/>
        <v>3</v>
      </c>
      <c r="Q205" s="142">
        <f t="shared" ca="1" si="83"/>
        <v>4</v>
      </c>
      <c r="R205" s="142">
        <f t="shared" ca="1" si="83"/>
        <v>5</v>
      </c>
      <c r="S205" s="142">
        <f t="shared" ca="1" si="83"/>
        <v>6</v>
      </c>
      <c r="T205" s="142">
        <f t="shared" ca="1" si="83"/>
        <v>7</v>
      </c>
      <c r="U205" s="142">
        <f t="shared" ca="1" si="83"/>
        <v>8</v>
      </c>
      <c r="V205" s="142">
        <f t="shared" ca="1" si="83"/>
        <v>9</v>
      </c>
      <c r="W205" s="142">
        <f t="shared" ca="1" si="83"/>
        <v>10</v>
      </c>
      <c r="X205" s="142">
        <f t="shared" ca="1" si="83"/>
        <v>11</v>
      </c>
      <c r="Y205" s="142">
        <f t="shared" ca="1" si="83"/>
        <v>12</v>
      </c>
      <c r="Z205" s="142">
        <f t="shared" ca="1" si="83"/>
        <v>13</v>
      </c>
      <c r="AA205" s="142">
        <f t="shared" ca="1" si="83"/>
        <v>14</v>
      </c>
      <c r="AB205" s="142">
        <f t="shared" ca="1" si="83"/>
        <v>15</v>
      </c>
      <c r="AC205" s="142">
        <f t="shared" ca="1" si="83"/>
        <v>16</v>
      </c>
      <c r="AD205" s="142">
        <f t="shared" ca="1" si="83"/>
        <v>17</v>
      </c>
      <c r="AE205" s="142">
        <f t="shared" ca="1" si="83"/>
        <v>18</v>
      </c>
      <c r="AF205" s="142">
        <f t="shared" ca="1" si="83"/>
        <v>19</v>
      </c>
      <c r="AG205" s="142">
        <f t="shared" ca="1" si="83"/>
        <v>0</v>
      </c>
      <c r="AH205" s="142">
        <f t="shared" ca="1" si="83"/>
        <v>0</v>
      </c>
      <c r="AI205" s="142">
        <f t="shared" ca="1" si="83"/>
        <v>0</v>
      </c>
      <c r="AJ205" s="142">
        <f t="shared" ca="1" si="83"/>
        <v>0</v>
      </c>
      <c r="AK205" s="142">
        <f t="shared" ca="1" si="83"/>
        <v>0</v>
      </c>
      <c r="AL205" s="142">
        <f t="shared" ca="1" si="83"/>
        <v>0</v>
      </c>
      <c r="AM205" s="142">
        <f t="shared" ca="1" si="83"/>
        <v>0</v>
      </c>
      <c r="AN205" s="142">
        <f t="shared" ca="1" si="83"/>
        <v>0</v>
      </c>
      <c r="AO205" s="142">
        <f t="shared" ca="1" si="83"/>
        <v>0</v>
      </c>
      <c r="AP205" s="142">
        <f t="shared" ca="1" si="83"/>
        <v>0</v>
      </c>
      <c r="AQ205" s="142">
        <f t="shared" ca="1" si="83"/>
        <v>0</v>
      </c>
      <c r="AR205" s="142">
        <f t="shared" ca="1" si="83"/>
        <v>0</v>
      </c>
      <c r="AS205" s="142">
        <f t="shared" ca="1" si="83"/>
        <v>0</v>
      </c>
      <c r="AT205" s="142">
        <f t="shared" ca="1" si="83"/>
        <v>0</v>
      </c>
      <c r="AU205" s="142">
        <f t="shared" ca="1" si="83"/>
        <v>0</v>
      </c>
      <c r="AV205" s="142">
        <f t="shared" ca="1" si="83"/>
        <v>0</v>
      </c>
      <c r="AW205" s="142">
        <f t="shared" ca="1" si="83"/>
        <v>0</v>
      </c>
      <c r="AX205" s="142">
        <f t="shared" ca="1" si="83"/>
        <v>0</v>
      </c>
    </row>
    <row r="206" spans="1:50" ht="15" customHeight="1">
      <c r="A206" s="168"/>
      <c r="B206" s="165"/>
      <c r="C206" s="166"/>
      <c r="D206" s="167"/>
      <c r="E206" s="142" t="str">
        <f>Translate!$E$424</f>
        <v>FID forward flag</v>
      </c>
      <c r="F206" s="143"/>
      <c r="G206" s="143" t="str">
        <f xml:space="preserve"> Translate!E$586</f>
        <v>Flag</v>
      </c>
      <c r="H206" s="143"/>
      <c r="I206" s="168">
        <f ca="1" xml:space="preserve"> SUM(K206:AX206)</f>
        <v>37</v>
      </c>
      <c r="J206" s="143"/>
      <c r="K206" s="143">
        <f t="shared" ref="K206:AX206" ca="1" si="84" xml:space="preserve"> (K199 &gt;= $F202 ) * 1</f>
        <v>0</v>
      </c>
      <c r="L206" s="143">
        <f t="shared" ca="1" si="84"/>
        <v>0</v>
      </c>
      <c r="M206" s="143">
        <f t="shared" ca="1" si="84"/>
        <v>0</v>
      </c>
      <c r="N206" s="143">
        <f t="shared" ca="1" si="84"/>
        <v>1</v>
      </c>
      <c r="O206" s="143">
        <f t="shared" ca="1" si="84"/>
        <v>1</v>
      </c>
      <c r="P206" s="143">
        <f t="shared" ca="1" si="84"/>
        <v>1</v>
      </c>
      <c r="Q206" s="143">
        <f t="shared" ca="1" si="84"/>
        <v>1</v>
      </c>
      <c r="R206" s="143">
        <f t="shared" ca="1" si="84"/>
        <v>1</v>
      </c>
      <c r="S206" s="143">
        <f t="shared" ca="1" si="84"/>
        <v>1</v>
      </c>
      <c r="T206" s="143">
        <f t="shared" ca="1" si="84"/>
        <v>1</v>
      </c>
      <c r="U206" s="143">
        <f t="shared" ca="1" si="84"/>
        <v>1</v>
      </c>
      <c r="V206" s="143">
        <f t="shared" ca="1" si="84"/>
        <v>1</v>
      </c>
      <c r="W206" s="143">
        <f t="shared" ca="1" si="84"/>
        <v>1</v>
      </c>
      <c r="X206" s="143">
        <f t="shared" ca="1" si="84"/>
        <v>1</v>
      </c>
      <c r="Y206" s="143">
        <f t="shared" ca="1" si="84"/>
        <v>1</v>
      </c>
      <c r="Z206" s="143">
        <f t="shared" ca="1" si="84"/>
        <v>1</v>
      </c>
      <c r="AA206" s="143">
        <f t="shared" ca="1" si="84"/>
        <v>1</v>
      </c>
      <c r="AB206" s="143">
        <f t="shared" ca="1" si="84"/>
        <v>1</v>
      </c>
      <c r="AC206" s="143">
        <f t="shared" ca="1" si="84"/>
        <v>1</v>
      </c>
      <c r="AD206" s="143">
        <f t="shared" ca="1" si="84"/>
        <v>1</v>
      </c>
      <c r="AE206" s="143">
        <f t="shared" ca="1" si="84"/>
        <v>1</v>
      </c>
      <c r="AF206" s="143">
        <f t="shared" ca="1" si="84"/>
        <v>1</v>
      </c>
      <c r="AG206" s="143">
        <f t="shared" ca="1" si="84"/>
        <v>1</v>
      </c>
      <c r="AH206" s="143">
        <f t="shared" ca="1" si="84"/>
        <v>1</v>
      </c>
      <c r="AI206" s="143">
        <f t="shared" ca="1" si="84"/>
        <v>1</v>
      </c>
      <c r="AJ206" s="143">
        <f t="shared" ca="1" si="84"/>
        <v>1</v>
      </c>
      <c r="AK206" s="143">
        <f t="shared" ca="1" si="84"/>
        <v>1</v>
      </c>
      <c r="AL206" s="143">
        <f t="shared" ca="1" si="84"/>
        <v>1</v>
      </c>
      <c r="AM206" s="143">
        <f t="shared" ca="1" si="84"/>
        <v>1</v>
      </c>
      <c r="AN206" s="143">
        <f t="shared" ca="1" si="84"/>
        <v>1</v>
      </c>
      <c r="AO206" s="143">
        <f t="shared" ca="1" si="84"/>
        <v>1</v>
      </c>
      <c r="AP206" s="143">
        <f t="shared" ca="1" si="84"/>
        <v>1</v>
      </c>
      <c r="AQ206" s="143">
        <f t="shared" ca="1" si="84"/>
        <v>1</v>
      </c>
      <c r="AR206" s="143">
        <f t="shared" ca="1" si="84"/>
        <v>1</v>
      </c>
      <c r="AS206" s="143">
        <f t="shared" ca="1" si="84"/>
        <v>1</v>
      </c>
      <c r="AT206" s="143">
        <f t="shared" ca="1" si="84"/>
        <v>1</v>
      </c>
      <c r="AU206" s="143">
        <f t="shared" ca="1" si="84"/>
        <v>1</v>
      </c>
      <c r="AV206" s="143">
        <f t="shared" ca="1" si="84"/>
        <v>1</v>
      </c>
      <c r="AW206" s="143">
        <f t="shared" ca="1" si="84"/>
        <v>1</v>
      </c>
      <c r="AX206" s="143">
        <f t="shared" ca="1" si="84"/>
        <v>1</v>
      </c>
    </row>
    <row r="207" spans="1:50" ht="15" customHeight="1">
      <c r="A207" s="90"/>
      <c r="B207" s="141"/>
      <c r="C207" s="75"/>
      <c r="D207" s="131"/>
      <c r="E207" s="45"/>
      <c r="F207" s="46"/>
      <c r="G207" s="46"/>
      <c r="H207" s="46"/>
      <c r="I207" s="76"/>
      <c r="J207" s="46"/>
      <c r="K207" s="46"/>
      <c r="L207" s="46"/>
      <c r="M207" s="46"/>
      <c r="N207" s="46"/>
      <c r="O207" s="46"/>
      <c r="P207" s="46"/>
      <c r="Q207" s="46"/>
      <c r="R207" s="46"/>
      <c r="S207" s="46"/>
      <c r="T207" s="46"/>
      <c r="U207" s="46"/>
      <c r="V207" s="46"/>
      <c r="W207" s="46"/>
      <c r="X207" s="46"/>
      <c r="Y207" s="46"/>
      <c r="Z207" s="46"/>
      <c r="AA207" s="46"/>
      <c r="AB207" s="46"/>
      <c r="AC207" s="46"/>
      <c r="AD207" s="46"/>
      <c r="AE207" s="46"/>
      <c r="AF207" s="46"/>
      <c r="AG207" s="46"/>
      <c r="AH207" s="46"/>
      <c r="AI207" s="46"/>
      <c r="AJ207" s="46"/>
      <c r="AK207" s="46"/>
      <c r="AL207" s="46"/>
      <c r="AM207" s="46"/>
      <c r="AN207" s="46"/>
      <c r="AO207" s="46"/>
      <c r="AP207" s="46"/>
      <c r="AQ207" s="46"/>
      <c r="AR207" s="46"/>
      <c r="AS207" s="46"/>
      <c r="AT207" s="46"/>
      <c r="AU207" s="46"/>
      <c r="AV207" s="46"/>
      <c r="AW207" s="46"/>
      <c r="AX207" s="46"/>
    </row>
    <row r="208" spans="1:50" ht="15" customHeight="1">
      <c r="A208" s="169" t="str">
        <f>Translate!$E$372</f>
        <v>Inflation Indices</v>
      </c>
      <c r="B208" s="169"/>
      <c r="C208" s="170"/>
      <c r="D208" s="171"/>
      <c r="E208" s="88"/>
      <c r="F208" s="86"/>
      <c r="G208" s="86"/>
      <c r="H208" s="86"/>
      <c r="I208" s="86"/>
      <c r="J208" s="86"/>
      <c r="K208" s="86"/>
      <c r="L208" s="86"/>
      <c r="M208" s="86"/>
      <c r="N208" s="86"/>
      <c r="O208" s="86"/>
      <c r="P208" s="86"/>
      <c r="Q208" s="86"/>
      <c r="R208" s="86"/>
      <c r="S208" s="86"/>
      <c r="T208" s="86"/>
      <c r="U208" s="86"/>
      <c r="V208" s="86"/>
      <c r="W208" s="86"/>
      <c r="X208" s="86"/>
      <c r="Y208" s="86"/>
      <c r="Z208" s="86"/>
      <c r="AA208" s="86"/>
      <c r="AB208" s="86"/>
      <c r="AC208" s="86"/>
      <c r="AD208" s="86"/>
      <c r="AE208" s="86"/>
      <c r="AF208" s="86"/>
      <c r="AG208" s="86"/>
      <c r="AH208" s="86"/>
      <c r="AI208" s="86"/>
      <c r="AJ208" s="86"/>
      <c r="AK208" s="86"/>
      <c r="AL208" s="86"/>
      <c r="AM208" s="86"/>
      <c r="AN208" s="86"/>
      <c r="AO208" s="86"/>
      <c r="AP208" s="86"/>
      <c r="AQ208" s="86"/>
      <c r="AR208" s="86"/>
      <c r="AS208" s="86"/>
      <c r="AT208" s="86"/>
      <c r="AU208" s="86"/>
      <c r="AV208" s="86"/>
      <c r="AW208" s="86"/>
      <c r="AX208" s="86"/>
    </row>
    <row r="209" spans="1:50" ht="15" customHeight="1">
      <c r="A209" s="90"/>
      <c r="B209" s="93"/>
      <c r="C209" s="92"/>
      <c r="D209" s="95"/>
      <c r="F209" s="93"/>
      <c r="G209" s="94"/>
      <c r="H209" s="94"/>
      <c r="I209" s="94"/>
      <c r="J209" s="94"/>
      <c r="K209" s="93"/>
      <c r="L209" s="93"/>
      <c r="M209" s="93"/>
      <c r="N209" s="93"/>
      <c r="O209" s="93"/>
      <c r="P209" s="93"/>
      <c r="Q209" s="93"/>
      <c r="R209" s="93"/>
      <c r="S209" s="93"/>
      <c r="T209" s="93"/>
      <c r="U209" s="93"/>
      <c r="V209" s="93"/>
      <c r="W209" s="93"/>
      <c r="X209" s="93"/>
      <c r="Y209" s="93"/>
      <c r="Z209" s="93"/>
      <c r="AA209" s="93"/>
      <c r="AB209" s="93"/>
      <c r="AC209" s="93"/>
      <c r="AD209" s="93"/>
      <c r="AE209" s="93"/>
      <c r="AF209" s="93"/>
      <c r="AG209" s="93"/>
      <c r="AH209" s="93"/>
      <c r="AI209" s="93"/>
      <c r="AJ209" s="93"/>
      <c r="AK209" s="93"/>
      <c r="AL209" s="93"/>
      <c r="AM209" s="93"/>
      <c r="AN209" s="93"/>
      <c r="AO209" s="93"/>
      <c r="AP209" s="93"/>
      <c r="AQ209" s="93"/>
      <c r="AR209" s="93"/>
      <c r="AS209" s="93"/>
      <c r="AT209" s="93"/>
      <c r="AU209" s="93"/>
      <c r="AV209" s="93"/>
      <c r="AW209" s="93"/>
      <c r="AX209" s="93"/>
    </row>
    <row r="210" spans="1:50" ht="15" customHeight="1">
      <c r="A210" s="90"/>
      <c r="B210" s="91" t="str">
        <f>Translate!$E$387</f>
        <v>Index for escalating revenues and costs</v>
      </c>
      <c r="C210" s="92"/>
      <c r="D210" s="95"/>
      <c r="F210" s="93"/>
      <c r="G210" s="94"/>
      <c r="H210" s="94"/>
      <c r="I210" s="94"/>
      <c r="J210" s="94"/>
      <c r="K210" s="93"/>
      <c r="L210" s="93"/>
      <c r="M210" s="93"/>
      <c r="N210" s="93"/>
      <c r="O210" s="93"/>
      <c r="P210" s="93"/>
      <c r="Q210" s="93"/>
      <c r="R210" s="93"/>
      <c r="S210" s="93"/>
      <c r="T210" s="93"/>
      <c r="U210" s="93"/>
      <c r="V210" s="93"/>
      <c r="W210" s="93"/>
      <c r="X210" s="93"/>
      <c r="Y210" s="93"/>
      <c r="Z210" s="93"/>
      <c r="AA210" s="93"/>
      <c r="AB210" s="93"/>
      <c r="AC210" s="93"/>
      <c r="AD210" s="93"/>
      <c r="AE210" s="93"/>
      <c r="AF210" s="93"/>
      <c r="AG210" s="93"/>
      <c r="AH210" s="93"/>
      <c r="AI210" s="93"/>
      <c r="AJ210" s="93"/>
      <c r="AK210" s="93"/>
      <c r="AL210" s="93"/>
      <c r="AM210" s="93"/>
      <c r="AN210" s="93"/>
      <c r="AO210" s="93"/>
      <c r="AP210" s="93"/>
      <c r="AQ210" s="93"/>
      <c r="AR210" s="93"/>
      <c r="AS210" s="93"/>
      <c r="AT210" s="93"/>
      <c r="AU210" s="93"/>
      <c r="AV210" s="93"/>
      <c r="AW210" s="93"/>
      <c r="AX210" s="93"/>
    </row>
    <row r="211" spans="1:50" ht="15" customHeight="1">
      <c r="A211" s="90"/>
      <c r="B211" s="93"/>
      <c r="C211" s="92"/>
      <c r="D211" s="95"/>
      <c r="E211" s="34" t="str">
        <f xml:space="preserve"> Inputs!E$45</f>
        <v>Inflation rate</v>
      </c>
      <c r="F211" s="64">
        <f xml:space="preserve"> Inputs!F$45</f>
        <v>0.02</v>
      </c>
      <c r="G211" s="64" t="str">
        <f xml:space="preserve"> Inputs!G$45</f>
        <v>%</v>
      </c>
      <c r="H211" s="94"/>
      <c r="I211" s="94"/>
      <c r="J211" s="94"/>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row>
    <row r="212" spans="1:50" ht="15" customHeight="1">
      <c r="A212" s="90"/>
      <c r="B212" s="76"/>
      <c r="C212" s="75"/>
      <c r="D212" s="131"/>
      <c r="E212" s="41" t="str">
        <f t="shared" ref="E212:AX212" si="85" xml:space="preserve"> E$185</f>
        <v>Cumulative project activity</v>
      </c>
      <c r="F212" s="41">
        <f t="shared" si="85"/>
        <v>0</v>
      </c>
      <c r="G212" s="41" t="str">
        <f t="shared" si="85"/>
        <v>Years</v>
      </c>
      <c r="H212" s="41">
        <f t="shared" si="85"/>
        <v>0</v>
      </c>
      <c r="I212" s="41">
        <f t="shared" si="85"/>
        <v>0</v>
      </c>
      <c r="J212" s="41">
        <f t="shared" si="85"/>
        <v>0</v>
      </c>
      <c r="K212" s="41">
        <f t="shared" ca="1" si="85"/>
        <v>1</v>
      </c>
      <c r="L212" s="41">
        <f t="shared" ca="1" si="85"/>
        <v>2</v>
      </c>
      <c r="M212" s="41">
        <f t="shared" ca="1" si="85"/>
        <v>3</v>
      </c>
      <c r="N212" s="41">
        <f t="shared" ca="1" si="85"/>
        <v>4</v>
      </c>
      <c r="O212" s="41">
        <f t="shared" ca="1" si="85"/>
        <v>5</v>
      </c>
      <c r="P212" s="41">
        <f t="shared" ca="1" si="85"/>
        <v>6</v>
      </c>
      <c r="Q212" s="41">
        <f t="shared" ca="1" si="85"/>
        <v>7</v>
      </c>
      <c r="R212" s="41">
        <f t="shared" ca="1" si="85"/>
        <v>8</v>
      </c>
      <c r="S212" s="41">
        <f t="shared" ca="1" si="85"/>
        <v>9</v>
      </c>
      <c r="T212" s="41">
        <f t="shared" ca="1" si="85"/>
        <v>10</v>
      </c>
      <c r="U212" s="41">
        <f t="shared" ca="1" si="85"/>
        <v>11</v>
      </c>
      <c r="V212" s="41">
        <f t="shared" ca="1" si="85"/>
        <v>12</v>
      </c>
      <c r="W212" s="41">
        <f t="shared" ca="1" si="85"/>
        <v>13</v>
      </c>
      <c r="X212" s="41">
        <f t="shared" ca="1" si="85"/>
        <v>14</v>
      </c>
      <c r="Y212" s="41">
        <f t="shared" ca="1" si="85"/>
        <v>15</v>
      </c>
      <c r="Z212" s="41">
        <f t="shared" ca="1" si="85"/>
        <v>16</v>
      </c>
      <c r="AA212" s="41">
        <f t="shared" ca="1" si="85"/>
        <v>17</v>
      </c>
      <c r="AB212" s="41">
        <f t="shared" ca="1" si="85"/>
        <v>18</v>
      </c>
      <c r="AC212" s="41">
        <f t="shared" ca="1" si="85"/>
        <v>19</v>
      </c>
      <c r="AD212" s="41">
        <f t="shared" ca="1" si="85"/>
        <v>20</v>
      </c>
      <c r="AE212" s="41">
        <f t="shared" ca="1" si="85"/>
        <v>21</v>
      </c>
      <c r="AF212" s="41">
        <f t="shared" ca="1" si="85"/>
        <v>22</v>
      </c>
      <c r="AG212" s="41">
        <f t="shared" ca="1" si="85"/>
        <v>0</v>
      </c>
      <c r="AH212" s="41">
        <f t="shared" ca="1" si="85"/>
        <v>0</v>
      </c>
      <c r="AI212" s="41">
        <f t="shared" ca="1" si="85"/>
        <v>0</v>
      </c>
      <c r="AJ212" s="41">
        <f t="shared" ca="1" si="85"/>
        <v>0</v>
      </c>
      <c r="AK212" s="41">
        <f t="shared" ca="1" si="85"/>
        <v>0</v>
      </c>
      <c r="AL212" s="41">
        <f t="shared" ca="1" si="85"/>
        <v>0</v>
      </c>
      <c r="AM212" s="41">
        <f t="shared" ca="1" si="85"/>
        <v>0</v>
      </c>
      <c r="AN212" s="41">
        <f t="shared" ca="1" si="85"/>
        <v>0</v>
      </c>
      <c r="AO212" s="41">
        <f t="shared" ca="1" si="85"/>
        <v>0</v>
      </c>
      <c r="AP212" s="41">
        <f t="shared" ca="1" si="85"/>
        <v>0</v>
      </c>
      <c r="AQ212" s="41">
        <f t="shared" ca="1" si="85"/>
        <v>0</v>
      </c>
      <c r="AR212" s="41">
        <f t="shared" ca="1" si="85"/>
        <v>0</v>
      </c>
      <c r="AS212" s="41">
        <f t="shared" ca="1" si="85"/>
        <v>0</v>
      </c>
      <c r="AT212" s="41">
        <f t="shared" ca="1" si="85"/>
        <v>0</v>
      </c>
      <c r="AU212" s="41">
        <f t="shared" ca="1" si="85"/>
        <v>0</v>
      </c>
      <c r="AV212" s="41">
        <f t="shared" ca="1" si="85"/>
        <v>0</v>
      </c>
      <c r="AW212" s="41">
        <f t="shared" ca="1" si="85"/>
        <v>0</v>
      </c>
      <c r="AX212" s="41">
        <f t="shared" ca="1" si="85"/>
        <v>0</v>
      </c>
    </row>
    <row r="213" spans="1:50" s="224" customFormat="1" ht="15" customHeight="1">
      <c r="B213" s="776"/>
      <c r="C213" s="777"/>
      <c r="D213" s="776"/>
      <c r="E213" s="778" t="str">
        <f>Translate!$E$425</f>
        <v>Inflation index</v>
      </c>
      <c r="F213" s="778"/>
      <c r="G213" s="778" t="str">
        <f>Translate!$E$608</f>
        <v>Index</v>
      </c>
      <c r="H213" s="778" t="str">
        <f>Translate!E607</f>
        <v>base year is first project year</v>
      </c>
      <c r="I213" s="776"/>
      <c r="J213" s="779"/>
      <c r="K213" s="778">
        <f t="shared" ref="K213:AX213" ca="1" si="86" xml:space="preserve"> IF( K212 &lt;= 1, 1, J213 * ( 1 + $F211))</f>
        <v>1</v>
      </c>
      <c r="L213" s="778">
        <f t="shared" ca="1" si="86"/>
        <v>1.02</v>
      </c>
      <c r="M213" s="778">
        <f t="shared" ca="1" si="86"/>
        <v>1.0404</v>
      </c>
      <c r="N213" s="778">
        <f t="shared" ca="1" si="86"/>
        <v>1.0612079999999999</v>
      </c>
      <c r="O213" s="778">
        <f t="shared" ca="1" si="86"/>
        <v>1.08243216</v>
      </c>
      <c r="P213" s="778">
        <f t="shared" ca="1" si="86"/>
        <v>1.1040808032</v>
      </c>
      <c r="Q213" s="778">
        <f t="shared" ca="1" si="86"/>
        <v>1.1261624192640001</v>
      </c>
      <c r="R213" s="778">
        <f t="shared" ca="1" si="86"/>
        <v>1.14868566764928</v>
      </c>
      <c r="S213" s="778">
        <f t="shared" ca="1" si="86"/>
        <v>1.1716593810022657</v>
      </c>
      <c r="T213" s="778">
        <f t="shared" ca="1" si="86"/>
        <v>1.1950925686223111</v>
      </c>
      <c r="U213" s="778">
        <f t="shared" ca="1" si="86"/>
        <v>1.2189944199947573</v>
      </c>
      <c r="V213" s="778">
        <f t="shared" ca="1" si="86"/>
        <v>1.2433743083946525</v>
      </c>
      <c r="W213" s="778">
        <f t="shared" ca="1" si="86"/>
        <v>1.2682417945625455</v>
      </c>
      <c r="X213" s="778">
        <f t="shared" ca="1" si="86"/>
        <v>1.2936066304537963</v>
      </c>
      <c r="Y213" s="778">
        <f t="shared" ca="1" si="86"/>
        <v>1.3194787630628724</v>
      </c>
      <c r="Z213" s="778">
        <f t="shared" ca="1" si="86"/>
        <v>1.3458683383241299</v>
      </c>
      <c r="AA213" s="778">
        <f t="shared" ca="1" si="86"/>
        <v>1.3727857050906125</v>
      </c>
      <c r="AB213" s="778">
        <f t="shared" ca="1" si="86"/>
        <v>1.4002414191924248</v>
      </c>
      <c r="AC213" s="778">
        <f t="shared" ca="1" si="86"/>
        <v>1.4282462475762734</v>
      </c>
      <c r="AD213" s="778">
        <f t="shared" ca="1" si="86"/>
        <v>1.4568111725277988</v>
      </c>
      <c r="AE213" s="778">
        <f t="shared" ca="1" si="86"/>
        <v>1.4859473959783549</v>
      </c>
      <c r="AF213" s="778">
        <f t="shared" ca="1" si="86"/>
        <v>1.5156663438979221</v>
      </c>
      <c r="AG213" s="778">
        <f t="shared" ca="1" si="86"/>
        <v>1</v>
      </c>
      <c r="AH213" s="778">
        <f t="shared" ca="1" si="86"/>
        <v>1</v>
      </c>
      <c r="AI213" s="778">
        <f t="shared" ca="1" si="86"/>
        <v>1</v>
      </c>
      <c r="AJ213" s="778">
        <f t="shared" ca="1" si="86"/>
        <v>1</v>
      </c>
      <c r="AK213" s="778">
        <f t="shared" ca="1" si="86"/>
        <v>1</v>
      </c>
      <c r="AL213" s="778">
        <f t="shared" ca="1" si="86"/>
        <v>1</v>
      </c>
      <c r="AM213" s="778">
        <f t="shared" ca="1" si="86"/>
        <v>1</v>
      </c>
      <c r="AN213" s="778">
        <f t="shared" ca="1" si="86"/>
        <v>1</v>
      </c>
      <c r="AO213" s="778">
        <f t="shared" ca="1" si="86"/>
        <v>1</v>
      </c>
      <c r="AP213" s="778">
        <f t="shared" ca="1" si="86"/>
        <v>1</v>
      </c>
      <c r="AQ213" s="778">
        <f t="shared" ca="1" si="86"/>
        <v>1</v>
      </c>
      <c r="AR213" s="778">
        <f t="shared" ca="1" si="86"/>
        <v>1</v>
      </c>
      <c r="AS213" s="778">
        <f t="shared" ca="1" si="86"/>
        <v>1</v>
      </c>
      <c r="AT213" s="778">
        <f t="shared" ca="1" si="86"/>
        <v>1</v>
      </c>
      <c r="AU213" s="778">
        <f t="shared" ca="1" si="86"/>
        <v>1</v>
      </c>
      <c r="AV213" s="778">
        <f t="shared" ca="1" si="86"/>
        <v>1</v>
      </c>
      <c r="AW213" s="778">
        <f t="shared" ca="1" si="86"/>
        <v>1</v>
      </c>
      <c r="AX213" s="778">
        <f t="shared" ca="1" si="86"/>
        <v>1</v>
      </c>
    </row>
    <row r="214" spans="1:50" ht="15" customHeight="1">
      <c r="A214" s="90"/>
      <c r="B214" s="76"/>
      <c r="C214" s="75"/>
      <c r="D214" s="131"/>
      <c r="H214" s="77"/>
      <c r="I214" s="77"/>
      <c r="J214" s="77"/>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row>
    <row r="215" spans="1:50" ht="15" customHeight="1">
      <c r="A215" s="90"/>
      <c r="B215" s="172" t="str">
        <f>Translate!$E$389</f>
        <v>Discount factors (assumes discounting to middle of the year, assuming cashflows received on average in middle of the year)</v>
      </c>
      <c r="C215" s="75"/>
      <c r="D215" s="131"/>
      <c r="E215" s="45"/>
      <c r="F215" s="46"/>
      <c r="G215" s="43"/>
      <c r="H215" s="43"/>
      <c r="I215" s="76"/>
      <c r="J215" s="43"/>
      <c r="K215" s="174"/>
      <c r="L215" s="174"/>
      <c r="M215" s="174"/>
      <c r="N215" s="174"/>
      <c r="O215" s="174"/>
      <c r="P215" s="174"/>
      <c r="Q215" s="174"/>
      <c r="R215" s="174"/>
      <c r="S215" s="174"/>
      <c r="T215" s="174"/>
      <c r="U215" s="174"/>
      <c r="V215" s="174"/>
      <c r="W215" s="174"/>
      <c r="X215" s="174"/>
      <c r="Y215" s="174"/>
      <c r="Z215" s="174"/>
      <c r="AA215" s="174"/>
      <c r="AB215" s="174"/>
      <c r="AC215" s="174"/>
      <c r="AD215" s="174"/>
      <c r="AE215" s="174"/>
      <c r="AF215" s="174"/>
      <c r="AG215" s="174"/>
      <c r="AH215" s="174"/>
      <c r="AI215" s="174"/>
      <c r="AJ215" s="174"/>
      <c r="AK215" s="174"/>
      <c r="AL215" s="174"/>
      <c r="AM215" s="174"/>
      <c r="AN215" s="174"/>
      <c r="AO215" s="174"/>
      <c r="AP215" s="174"/>
      <c r="AQ215" s="174"/>
      <c r="AR215" s="174"/>
      <c r="AS215" s="174"/>
      <c r="AT215" s="174"/>
      <c r="AU215" s="174"/>
      <c r="AV215" s="174"/>
      <c r="AW215" s="174"/>
      <c r="AX215" s="174"/>
    </row>
    <row r="216" spans="1:50" ht="15" customHeight="1">
      <c r="A216" s="90"/>
      <c r="B216" s="141"/>
      <c r="C216" s="75"/>
      <c r="D216" s="131"/>
      <c r="E216" s="108" t="str">
        <f xml:space="preserve"> Inputs!E$55</f>
        <v>Discount rate</v>
      </c>
      <c r="F216" s="108">
        <f xml:space="preserve"> Inputs!F$55</f>
        <v>0.08</v>
      </c>
      <c r="G216" s="108" t="str">
        <f xml:space="preserve"> Inputs!G$55</f>
        <v>% real</v>
      </c>
      <c r="H216" s="43"/>
      <c r="I216" s="76"/>
      <c r="J216" s="43"/>
      <c r="K216" s="174"/>
      <c r="L216" s="174"/>
      <c r="M216" s="174"/>
      <c r="N216" s="174"/>
      <c r="O216" s="174"/>
      <c r="P216" s="174"/>
      <c r="Q216" s="174"/>
      <c r="R216" s="174"/>
      <c r="S216" s="174"/>
      <c r="T216" s="174"/>
      <c r="U216" s="174"/>
      <c r="V216" s="174"/>
      <c r="W216" s="174"/>
      <c r="X216" s="174"/>
      <c r="Y216" s="174"/>
      <c r="Z216" s="174"/>
      <c r="AA216" s="174"/>
      <c r="AB216" s="174"/>
      <c r="AC216" s="174"/>
      <c r="AD216" s="174"/>
      <c r="AE216" s="174"/>
      <c r="AF216" s="174"/>
      <c r="AG216" s="174"/>
      <c r="AH216" s="174"/>
      <c r="AI216" s="174"/>
      <c r="AJ216" s="174"/>
      <c r="AK216" s="174"/>
      <c r="AL216" s="174"/>
      <c r="AM216" s="174"/>
      <c r="AN216" s="174"/>
      <c r="AO216" s="174"/>
      <c r="AP216" s="174"/>
      <c r="AQ216" s="174"/>
      <c r="AR216" s="174"/>
      <c r="AS216" s="174"/>
      <c r="AT216" s="174"/>
      <c r="AU216" s="174"/>
      <c r="AV216" s="174"/>
      <c r="AW216" s="174"/>
      <c r="AX216" s="174"/>
    </row>
    <row r="217" spans="1:50" ht="15" customHeight="1">
      <c r="A217" s="158"/>
      <c r="B217" s="165"/>
      <c r="C217" s="166"/>
      <c r="D217" s="167"/>
      <c r="E217" s="108" t="str">
        <f xml:space="preserve"> Inputs!E$59</f>
        <v>Short NPV label</v>
      </c>
      <c r="F217" s="501" t="str">
        <f xml:space="preserve"> Inputs!F$59</f>
        <v>NPV8</v>
      </c>
      <c r="G217" s="108" t="str">
        <f xml:space="preserve"> Inputs!G$59</f>
        <v>Label</v>
      </c>
      <c r="H217" s="162"/>
      <c r="I217" s="168"/>
      <c r="J217" s="162"/>
      <c r="K217" s="175"/>
      <c r="L217" s="175"/>
      <c r="M217" s="175"/>
      <c r="N217" s="175"/>
      <c r="O217" s="175"/>
      <c r="P217" s="175"/>
      <c r="Q217" s="175"/>
      <c r="R217" s="175"/>
      <c r="S217" s="175"/>
      <c r="T217" s="175"/>
      <c r="U217" s="175"/>
      <c r="V217" s="175"/>
      <c r="W217" s="175"/>
      <c r="X217" s="175"/>
      <c r="Y217" s="175"/>
      <c r="Z217" s="175"/>
      <c r="AA217" s="175"/>
      <c r="AB217" s="175"/>
      <c r="AC217" s="175"/>
      <c r="AD217" s="175"/>
      <c r="AE217" s="175"/>
      <c r="AF217" s="175"/>
      <c r="AG217" s="175"/>
      <c r="AH217" s="175"/>
      <c r="AI217" s="175"/>
      <c r="AJ217" s="175"/>
      <c r="AK217" s="175"/>
      <c r="AL217" s="175"/>
      <c r="AM217" s="175"/>
      <c r="AN217" s="175"/>
      <c r="AO217" s="175"/>
      <c r="AP217" s="175"/>
      <c r="AQ217" s="175"/>
      <c r="AR217" s="175"/>
      <c r="AS217" s="175"/>
      <c r="AT217" s="175"/>
      <c r="AU217" s="175"/>
      <c r="AV217" s="175"/>
      <c r="AW217" s="175"/>
      <c r="AX217" s="175"/>
    </row>
    <row r="218" spans="1:50" ht="15" customHeight="1">
      <c r="A218" s="158"/>
      <c r="B218" s="165"/>
      <c r="C218" s="166"/>
      <c r="D218" s="167"/>
      <c r="E218" s="108"/>
      <c r="F218" s="501"/>
      <c r="G218" s="108"/>
      <c r="H218" s="162"/>
      <c r="I218" s="168"/>
      <c r="J218" s="162"/>
      <c r="K218" s="175"/>
      <c r="L218" s="175"/>
      <c r="M218" s="175"/>
      <c r="N218" s="175"/>
      <c r="O218" s="175"/>
      <c r="P218" s="175"/>
      <c r="Q218" s="175"/>
      <c r="R218" s="175"/>
      <c r="S218" s="175"/>
      <c r="T218" s="175"/>
      <c r="U218" s="175"/>
      <c r="V218" s="175"/>
      <c r="W218" s="175"/>
      <c r="X218" s="175"/>
      <c r="Y218" s="175"/>
      <c r="Z218" s="175"/>
      <c r="AA218" s="175"/>
      <c r="AB218" s="175"/>
      <c r="AC218" s="175"/>
      <c r="AD218" s="175"/>
      <c r="AE218" s="175"/>
      <c r="AF218" s="175"/>
      <c r="AG218" s="175"/>
      <c r="AH218" s="175"/>
      <c r="AI218" s="175"/>
      <c r="AJ218" s="175"/>
      <c r="AK218" s="175"/>
      <c r="AL218" s="175"/>
      <c r="AM218" s="175"/>
      <c r="AN218" s="175"/>
      <c r="AO218" s="175"/>
      <c r="AP218" s="175"/>
      <c r="AQ218" s="175"/>
      <c r="AR218" s="175"/>
      <c r="AS218" s="175"/>
      <c r="AT218" s="175"/>
      <c r="AU218" s="175"/>
      <c r="AV218" s="175"/>
      <c r="AW218" s="175"/>
      <c r="AX218" s="175"/>
    </row>
    <row r="219" spans="1:50" ht="15" customHeight="1">
      <c r="A219" s="72"/>
      <c r="B219" s="178"/>
      <c r="C219" s="71" t="str">
        <f>Translate!E$390 &amp; ": " &amp; Inputs!F$83</f>
        <v>Discount factor: full-cycle</v>
      </c>
      <c r="D219" s="179"/>
      <c r="E219" s="63"/>
      <c r="F219" s="157"/>
      <c r="G219" s="63"/>
      <c r="H219" s="63"/>
      <c r="I219" s="72"/>
      <c r="J219" s="63"/>
      <c r="K219" s="180"/>
      <c r="L219" s="180"/>
      <c r="M219" s="180"/>
      <c r="N219" s="180"/>
      <c r="O219" s="180"/>
      <c r="P219" s="180"/>
      <c r="Q219" s="180"/>
      <c r="R219" s="180"/>
      <c r="S219" s="180"/>
      <c r="T219" s="180"/>
      <c r="U219" s="180"/>
      <c r="V219" s="180"/>
      <c r="W219" s="180"/>
      <c r="X219" s="180"/>
      <c r="Y219" s="180"/>
      <c r="Z219" s="180"/>
      <c r="AA219" s="180"/>
      <c r="AB219" s="180"/>
      <c r="AC219" s="180"/>
      <c r="AD219" s="180"/>
      <c r="AE219" s="180"/>
      <c r="AF219" s="180"/>
      <c r="AG219" s="180"/>
      <c r="AH219" s="180"/>
      <c r="AI219" s="180"/>
      <c r="AJ219" s="180"/>
      <c r="AK219" s="180"/>
      <c r="AL219" s="180"/>
      <c r="AM219" s="180"/>
      <c r="AN219" s="180"/>
      <c r="AO219" s="180"/>
      <c r="AP219" s="180"/>
      <c r="AQ219" s="180"/>
      <c r="AR219" s="180"/>
      <c r="AS219" s="180"/>
      <c r="AT219" s="180"/>
      <c r="AU219" s="180"/>
      <c r="AV219" s="180"/>
      <c r="AW219" s="180"/>
      <c r="AX219" s="180"/>
    </row>
    <row r="220" spans="1:50" ht="15" customHeight="1">
      <c r="A220" s="90"/>
      <c r="B220" s="141"/>
      <c r="C220" s="75"/>
      <c r="D220" s="131"/>
      <c r="E220" s="93" t="str">
        <f t="shared" ref="E220:AX220" si="87" xml:space="preserve"> E$185</f>
        <v>Cumulative project activity</v>
      </c>
      <c r="F220" s="93">
        <f t="shared" si="87"/>
        <v>0</v>
      </c>
      <c r="G220" s="93" t="str">
        <f t="shared" si="87"/>
        <v>Years</v>
      </c>
      <c r="H220" s="93">
        <f t="shared" si="87"/>
        <v>0</v>
      </c>
      <c r="I220" s="93">
        <f t="shared" si="87"/>
        <v>0</v>
      </c>
      <c r="J220" s="93">
        <f t="shared" si="87"/>
        <v>0</v>
      </c>
      <c r="K220" s="93">
        <f t="shared" ca="1" si="87"/>
        <v>1</v>
      </c>
      <c r="L220" s="93">
        <f t="shared" ca="1" si="87"/>
        <v>2</v>
      </c>
      <c r="M220" s="93">
        <f t="shared" ca="1" si="87"/>
        <v>3</v>
      </c>
      <c r="N220" s="93">
        <f t="shared" ca="1" si="87"/>
        <v>4</v>
      </c>
      <c r="O220" s="93">
        <f t="shared" ca="1" si="87"/>
        <v>5</v>
      </c>
      <c r="P220" s="93">
        <f t="shared" ca="1" si="87"/>
        <v>6</v>
      </c>
      <c r="Q220" s="93">
        <f t="shared" ca="1" si="87"/>
        <v>7</v>
      </c>
      <c r="R220" s="93">
        <f t="shared" ca="1" si="87"/>
        <v>8</v>
      </c>
      <c r="S220" s="93">
        <f t="shared" ca="1" si="87"/>
        <v>9</v>
      </c>
      <c r="T220" s="93">
        <f t="shared" ca="1" si="87"/>
        <v>10</v>
      </c>
      <c r="U220" s="93">
        <f t="shared" ca="1" si="87"/>
        <v>11</v>
      </c>
      <c r="V220" s="93">
        <f t="shared" ca="1" si="87"/>
        <v>12</v>
      </c>
      <c r="W220" s="93">
        <f t="shared" ca="1" si="87"/>
        <v>13</v>
      </c>
      <c r="X220" s="93">
        <f t="shared" ca="1" si="87"/>
        <v>14</v>
      </c>
      <c r="Y220" s="93">
        <f t="shared" ca="1" si="87"/>
        <v>15</v>
      </c>
      <c r="Z220" s="93">
        <f t="shared" ca="1" si="87"/>
        <v>16</v>
      </c>
      <c r="AA220" s="93">
        <f t="shared" ca="1" si="87"/>
        <v>17</v>
      </c>
      <c r="AB220" s="93">
        <f t="shared" ca="1" si="87"/>
        <v>18</v>
      </c>
      <c r="AC220" s="93">
        <f t="shared" ca="1" si="87"/>
        <v>19</v>
      </c>
      <c r="AD220" s="93">
        <f t="shared" ca="1" si="87"/>
        <v>20</v>
      </c>
      <c r="AE220" s="93">
        <f t="shared" ca="1" si="87"/>
        <v>21</v>
      </c>
      <c r="AF220" s="93">
        <f t="shared" ca="1" si="87"/>
        <v>22</v>
      </c>
      <c r="AG220" s="93">
        <f t="shared" ca="1" si="87"/>
        <v>0</v>
      </c>
      <c r="AH220" s="93">
        <f t="shared" ca="1" si="87"/>
        <v>0</v>
      </c>
      <c r="AI220" s="93">
        <f t="shared" ca="1" si="87"/>
        <v>0</v>
      </c>
      <c r="AJ220" s="93">
        <f t="shared" ca="1" si="87"/>
        <v>0</v>
      </c>
      <c r="AK220" s="93">
        <f t="shared" ca="1" si="87"/>
        <v>0</v>
      </c>
      <c r="AL220" s="93">
        <f t="shared" ca="1" si="87"/>
        <v>0</v>
      </c>
      <c r="AM220" s="93">
        <f t="shared" ca="1" si="87"/>
        <v>0</v>
      </c>
      <c r="AN220" s="93">
        <f t="shared" ca="1" si="87"/>
        <v>0</v>
      </c>
      <c r="AO220" s="93">
        <f t="shared" ca="1" si="87"/>
        <v>0</v>
      </c>
      <c r="AP220" s="93">
        <f t="shared" ca="1" si="87"/>
        <v>0</v>
      </c>
      <c r="AQ220" s="93">
        <f t="shared" ca="1" si="87"/>
        <v>0</v>
      </c>
      <c r="AR220" s="93">
        <f t="shared" ca="1" si="87"/>
        <v>0</v>
      </c>
      <c r="AS220" s="93">
        <f t="shared" ca="1" si="87"/>
        <v>0</v>
      </c>
      <c r="AT220" s="93">
        <f t="shared" ca="1" si="87"/>
        <v>0</v>
      </c>
      <c r="AU220" s="93">
        <f t="shared" ca="1" si="87"/>
        <v>0</v>
      </c>
      <c r="AV220" s="93">
        <f t="shared" ca="1" si="87"/>
        <v>0</v>
      </c>
      <c r="AW220" s="93">
        <f t="shared" ca="1" si="87"/>
        <v>0</v>
      </c>
      <c r="AX220" s="93">
        <f t="shared" ca="1" si="87"/>
        <v>0</v>
      </c>
    </row>
    <row r="221" spans="1:50" ht="15" customHeight="1">
      <c r="A221" s="158"/>
      <c r="B221" s="165"/>
      <c r="C221" s="166"/>
      <c r="D221" s="167"/>
      <c r="E221" s="158" t="str">
        <f xml:space="preserve"> C219 &amp; ", " &amp; F$217</f>
        <v>Discount factor: full-cycle, NPV8</v>
      </c>
      <c r="F221" s="158"/>
      <c r="G221" s="158" t="str">
        <f>Translate!E$356</f>
        <v>factor</v>
      </c>
      <c r="H221" s="158"/>
      <c r="I221" s="158"/>
      <c r="J221" s="158"/>
      <c r="K221" s="224">
        <f t="shared" ref="K221:AX221" ca="1" si="88" xml:space="preserve"> IF( K220 = 0, 0,  1 / ( 1 + $F216) ^ (K220 - 1)  )</f>
        <v>1</v>
      </c>
      <c r="L221" s="224">
        <f t="shared" ca="1" si="88"/>
        <v>0.92592592592592582</v>
      </c>
      <c r="M221" s="224">
        <f t="shared" ca="1" si="88"/>
        <v>0.85733882030178321</v>
      </c>
      <c r="N221" s="224">
        <f t="shared" ca="1" si="88"/>
        <v>0.79383224102016958</v>
      </c>
      <c r="O221" s="224">
        <f t="shared" ca="1" si="88"/>
        <v>0.73502985279645328</v>
      </c>
      <c r="P221" s="224">
        <f t="shared" ca="1" si="88"/>
        <v>0.68058319703375303</v>
      </c>
      <c r="Q221" s="224">
        <f t="shared" ca="1" si="88"/>
        <v>0.63016962688310452</v>
      </c>
      <c r="R221" s="224">
        <f t="shared" ca="1" si="88"/>
        <v>0.58349039526213387</v>
      </c>
      <c r="S221" s="224">
        <f t="shared" ca="1" si="88"/>
        <v>0.54026888450197574</v>
      </c>
      <c r="T221" s="224">
        <f t="shared" ca="1" si="88"/>
        <v>0.50024896713145905</v>
      </c>
      <c r="U221" s="224">
        <f t="shared" ca="1" si="88"/>
        <v>0.46319348808468425</v>
      </c>
      <c r="V221" s="224">
        <f t="shared" ca="1" si="88"/>
        <v>0.42888285933767062</v>
      </c>
      <c r="W221" s="224">
        <f t="shared" ca="1" si="88"/>
        <v>0.39711375864599124</v>
      </c>
      <c r="X221" s="224">
        <f t="shared" ca="1" si="88"/>
        <v>0.36769792467221413</v>
      </c>
      <c r="Y221" s="224">
        <f t="shared" ca="1" si="88"/>
        <v>0.34046104136316119</v>
      </c>
      <c r="Z221" s="224">
        <f t="shared" ca="1" si="88"/>
        <v>0.31524170496588994</v>
      </c>
      <c r="AA221" s="224">
        <f t="shared" ca="1" si="88"/>
        <v>0.29189046756100923</v>
      </c>
      <c r="AB221" s="224">
        <f t="shared" ca="1" si="88"/>
        <v>0.27026895144537894</v>
      </c>
      <c r="AC221" s="224">
        <f t="shared" ca="1" si="88"/>
        <v>0.25024902911609154</v>
      </c>
      <c r="AD221" s="224">
        <f t="shared" ca="1" si="88"/>
        <v>0.23171206399638106</v>
      </c>
      <c r="AE221" s="224">
        <f t="shared" ca="1" si="88"/>
        <v>0.21454820740405653</v>
      </c>
      <c r="AF221" s="224">
        <f t="shared" ca="1" si="88"/>
        <v>0.19865574759634863</v>
      </c>
      <c r="AG221" s="224">
        <f t="shared" ca="1" si="88"/>
        <v>0</v>
      </c>
      <c r="AH221" s="224">
        <f t="shared" ca="1" si="88"/>
        <v>0</v>
      </c>
      <c r="AI221" s="224">
        <f t="shared" ca="1" si="88"/>
        <v>0</v>
      </c>
      <c r="AJ221" s="224">
        <f t="shared" ca="1" si="88"/>
        <v>0</v>
      </c>
      <c r="AK221" s="224">
        <f t="shared" ca="1" si="88"/>
        <v>0</v>
      </c>
      <c r="AL221" s="224">
        <f t="shared" ca="1" si="88"/>
        <v>0</v>
      </c>
      <c r="AM221" s="224">
        <f t="shared" ca="1" si="88"/>
        <v>0</v>
      </c>
      <c r="AN221" s="224">
        <f t="shared" ca="1" si="88"/>
        <v>0</v>
      </c>
      <c r="AO221" s="224">
        <f t="shared" ca="1" si="88"/>
        <v>0</v>
      </c>
      <c r="AP221" s="224">
        <f t="shared" ca="1" si="88"/>
        <v>0</v>
      </c>
      <c r="AQ221" s="224">
        <f t="shared" ca="1" si="88"/>
        <v>0</v>
      </c>
      <c r="AR221" s="224">
        <f t="shared" ca="1" si="88"/>
        <v>0</v>
      </c>
      <c r="AS221" s="224">
        <f t="shared" ca="1" si="88"/>
        <v>0</v>
      </c>
      <c r="AT221" s="224">
        <f t="shared" ca="1" si="88"/>
        <v>0</v>
      </c>
      <c r="AU221" s="224">
        <f t="shared" ca="1" si="88"/>
        <v>0</v>
      </c>
      <c r="AV221" s="224">
        <f t="shared" ca="1" si="88"/>
        <v>0</v>
      </c>
      <c r="AW221" s="224">
        <f t="shared" ca="1" si="88"/>
        <v>0</v>
      </c>
      <c r="AX221" s="224">
        <f t="shared" ca="1" si="88"/>
        <v>0</v>
      </c>
    </row>
    <row r="222" spans="1:50" ht="15" customHeight="1">
      <c r="A222" s="90"/>
      <c r="B222" s="141"/>
      <c r="C222" s="75"/>
      <c r="D222" s="131"/>
      <c r="E222" s="104"/>
      <c r="F222" s="176"/>
      <c r="G222" s="104"/>
      <c r="H222" s="43"/>
      <c r="I222" s="76"/>
      <c r="J222" s="43"/>
      <c r="K222" s="174"/>
      <c r="L222" s="174"/>
      <c r="M222" s="174"/>
      <c r="N222" s="174"/>
      <c r="O222" s="174"/>
      <c r="P222" s="174"/>
      <c r="Q222" s="174"/>
      <c r="R222" s="174"/>
      <c r="S222" s="174"/>
      <c r="T222" s="174"/>
      <c r="U222" s="174"/>
      <c r="V222" s="174"/>
      <c r="W222" s="174"/>
      <c r="X222" s="174"/>
      <c r="Y222" s="174"/>
      <c r="Z222" s="174"/>
      <c r="AA222" s="174"/>
      <c r="AB222" s="174"/>
      <c r="AC222" s="174"/>
      <c r="AD222" s="174"/>
      <c r="AE222" s="174"/>
      <c r="AF222" s="174"/>
      <c r="AG222" s="174"/>
      <c r="AH222" s="174"/>
      <c r="AI222" s="174"/>
      <c r="AJ222" s="174"/>
      <c r="AK222" s="174"/>
      <c r="AL222" s="174"/>
      <c r="AM222" s="174"/>
      <c r="AN222" s="174"/>
      <c r="AO222" s="174"/>
      <c r="AP222" s="174"/>
      <c r="AQ222" s="174"/>
      <c r="AR222" s="174"/>
      <c r="AS222" s="174"/>
      <c r="AT222" s="174"/>
      <c r="AU222" s="174"/>
      <c r="AV222" s="174"/>
      <c r="AW222" s="174"/>
      <c r="AX222" s="174"/>
    </row>
    <row r="223" spans="1:50" ht="15" customHeight="1">
      <c r="A223" s="90"/>
      <c r="B223" s="141"/>
      <c r="C223" s="71" t="str">
        <f>Translate!E$390 &amp; ": " &amp; Inputs!F$84</f>
        <v>Discount factor: FID forward</v>
      </c>
      <c r="D223" s="131"/>
      <c r="E223" s="104"/>
      <c r="F223" s="176"/>
      <c r="G223" s="104"/>
      <c r="H223" s="43"/>
      <c r="I223" s="76"/>
      <c r="J223" s="43"/>
      <c r="K223" s="174"/>
      <c r="L223" s="174"/>
      <c r="M223" s="174"/>
      <c r="N223" s="174"/>
      <c r="O223" s="174"/>
      <c r="P223" s="174"/>
      <c r="Q223" s="174"/>
      <c r="R223" s="174"/>
      <c r="S223" s="174"/>
      <c r="T223" s="174"/>
      <c r="U223" s="174"/>
      <c r="V223" s="174"/>
      <c r="W223" s="174"/>
      <c r="X223" s="174"/>
      <c r="Y223" s="174"/>
      <c r="Z223" s="174"/>
      <c r="AA223" s="174"/>
      <c r="AB223" s="174"/>
      <c r="AC223" s="174"/>
      <c r="AD223" s="174"/>
      <c r="AE223" s="174"/>
      <c r="AF223" s="174"/>
      <c r="AG223" s="174"/>
      <c r="AH223" s="174"/>
      <c r="AI223" s="174"/>
      <c r="AJ223" s="174"/>
      <c r="AK223" s="174"/>
      <c r="AL223" s="174"/>
      <c r="AM223" s="174"/>
      <c r="AN223" s="174"/>
      <c r="AO223" s="174"/>
      <c r="AP223" s="174"/>
      <c r="AQ223" s="174"/>
      <c r="AR223" s="174"/>
      <c r="AS223" s="174"/>
      <c r="AT223" s="174"/>
      <c r="AU223" s="174"/>
      <c r="AV223" s="174"/>
      <c r="AW223" s="174"/>
      <c r="AX223" s="174"/>
    </row>
    <row r="224" spans="1:50" ht="15" customHeight="1">
      <c r="A224" s="90"/>
      <c r="B224" s="141"/>
      <c r="C224" s="75"/>
      <c r="D224" s="131"/>
      <c r="E224" s="76" t="str">
        <f t="shared" ref="E224:AX224" si="89" xml:space="preserve"> E$205</f>
        <v>Cumulative years from start of development</v>
      </c>
      <c r="F224" s="76">
        <f t="shared" si="89"/>
        <v>0</v>
      </c>
      <c r="G224" s="76" t="str">
        <f t="shared" si="89"/>
        <v>Years</v>
      </c>
      <c r="H224" s="76">
        <f t="shared" si="89"/>
        <v>0</v>
      </c>
      <c r="I224" s="76">
        <f t="shared" si="89"/>
        <v>0</v>
      </c>
      <c r="J224" s="76">
        <f t="shared" si="89"/>
        <v>0</v>
      </c>
      <c r="K224" s="76">
        <f t="shared" ca="1" si="89"/>
        <v>0</v>
      </c>
      <c r="L224" s="76">
        <f t="shared" ca="1" si="89"/>
        <v>0</v>
      </c>
      <c r="M224" s="76">
        <f t="shared" ca="1" si="89"/>
        <v>0</v>
      </c>
      <c r="N224" s="76">
        <f t="shared" ca="1" si="89"/>
        <v>1</v>
      </c>
      <c r="O224" s="76">
        <f t="shared" ca="1" si="89"/>
        <v>2</v>
      </c>
      <c r="P224" s="76">
        <f t="shared" ca="1" si="89"/>
        <v>3</v>
      </c>
      <c r="Q224" s="76">
        <f t="shared" ca="1" si="89"/>
        <v>4</v>
      </c>
      <c r="R224" s="76">
        <f t="shared" ca="1" si="89"/>
        <v>5</v>
      </c>
      <c r="S224" s="76">
        <f t="shared" ca="1" si="89"/>
        <v>6</v>
      </c>
      <c r="T224" s="76">
        <f t="shared" ca="1" si="89"/>
        <v>7</v>
      </c>
      <c r="U224" s="76">
        <f t="shared" ca="1" si="89"/>
        <v>8</v>
      </c>
      <c r="V224" s="76">
        <f t="shared" ca="1" si="89"/>
        <v>9</v>
      </c>
      <c r="W224" s="76">
        <f t="shared" ca="1" si="89"/>
        <v>10</v>
      </c>
      <c r="X224" s="76">
        <f t="shared" ca="1" si="89"/>
        <v>11</v>
      </c>
      <c r="Y224" s="76">
        <f t="shared" ca="1" si="89"/>
        <v>12</v>
      </c>
      <c r="Z224" s="76">
        <f t="shared" ca="1" si="89"/>
        <v>13</v>
      </c>
      <c r="AA224" s="76">
        <f t="shared" ca="1" si="89"/>
        <v>14</v>
      </c>
      <c r="AB224" s="76">
        <f t="shared" ca="1" si="89"/>
        <v>15</v>
      </c>
      <c r="AC224" s="76">
        <f t="shared" ca="1" si="89"/>
        <v>16</v>
      </c>
      <c r="AD224" s="76">
        <f t="shared" ca="1" si="89"/>
        <v>17</v>
      </c>
      <c r="AE224" s="76">
        <f t="shared" ca="1" si="89"/>
        <v>18</v>
      </c>
      <c r="AF224" s="76">
        <f t="shared" ca="1" si="89"/>
        <v>19</v>
      </c>
      <c r="AG224" s="76">
        <f t="shared" ca="1" si="89"/>
        <v>0</v>
      </c>
      <c r="AH224" s="76">
        <f t="shared" ca="1" si="89"/>
        <v>0</v>
      </c>
      <c r="AI224" s="76">
        <f t="shared" ca="1" si="89"/>
        <v>0</v>
      </c>
      <c r="AJ224" s="76">
        <f t="shared" ca="1" si="89"/>
        <v>0</v>
      </c>
      <c r="AK224" s="76">
        <f t="shared" ca="1" si="89"/>
        <v>0</v>
      </c>
      <c r="AL224" s="76">
        <f t="shared" ca="1" si="89"/>
        <v>0</v>
      </c>
      <c r="AM224" s="76">
        <f t="shared" ca="1" si="89"/>
        <v>0</v>
      </c>
      <c r="AN224" s="76">
        <f t="shared" ca="1" si="89"/>
        <v>0</v>
      </c>
      <c r="AO224" s="76">
        <f t="shared" ca="1" si="89"/>
        <v>0</v>
      </c>
      <c r="AP224" s="76">
        <f t="shared" ca="1" si="89"/>
        <v>0</v>
      </c>
      <c r="AQ224" s="76">
        <f t="shared" ca="1" si="89"/>
        <v>0</v>
      </c>
      <c r="AR224" s="76">
        <f t="shared" ca="1" si="89"/>
        <v>0</v>
      </c>
      <c r="AS224" s="76">
        <f t="shared" ca="1" si="89"/>
        <v>0</v>
      </c>
      <c r="AT224" s="76">
        <f t="shared" ca="1" si="89"/>
        <v>0</v>
      </c>
      <c r="AU224" s="76">
        <f t="shared" ca="1" si="89"/>
        <v>0</v>
      </c>
      <c r="AV224" s="76">
        <f t="shared" ca="1" si="89"/>
        <v>0</v>
      </c>
      <c r="AW224" s="76">
        <f t="shared" ca="1" si="89"/>
        <v>0</v>
      </c>
      <c r="AX224" s="76">
        <f t="shared" ca="1" si="89"/>
        <v>0</v>
      </c>
    </row>
    <row r="225" spans="1:50" ht="15" customHeight="1">
      <c r="A225" s="158"/>
      <c r="B225" s="165"/>
      <c r="C225" s="166"/>
      <c r="D225" s="167"/>
      <c r="E225" s="158" t="str">
        <f xml:space="preserve"> C223 &amp; ", " &amp; F217</f>
        <v>Discount factor: FID forward, NPV8</v>
      </c>
      <c r="F225" s="158"/>
      <c r="G225" s="158" t="str">
        <f>Translate!E$356</f>
        <v>factor</v>
      </c>
      <c r="H225" s="158"/>
      <c r="I225" s="158"/>
      <c r="J225" s="158"/>
      <c r="K225" s="224">
        <f t="shared" ref="K225:AX225" ca="1" si="90" xml:space="preserve"> IF( K224 = 0, 0,  1 / ( 1 + $F216) ^ (K224 - 1))</f>
        <v>0</v>
      </c>
      <c r="L225" s="224">
        <f t="shared" ca="1" si="90"/>
        <v>0</v>
      </c>
      <c r="M225" s="224">
        <f t="shared" ca="1" si="90"/>
        <v>0</v>
      </c>
      <c r="N225" s="224">
        <f t="shared" ca="1" si="90"/>
        <v>1</v>
      </c>
      <c r="O225" s="224">
        <f t="shared" ca="1" si="90"/>
        <v>0.92592592592592582</v>
      </c>
      <c r="P225" s="224">
        <f t="shared" ca="1" si="90"/>
        <v>0.85733882030178321</v>
      </c>
      <c r="Q225" s="224">
        <f t="shared" ca="1" si="90"/>
        <v>0.79383224102016958</v>
      </c>
      <c r="R225" s="224">
        <f t="shared" ca="1" si="90"/>
        <v>0.73502985279645328</v>
      </c>
      <c r="S225" s="224">
        <f t="shared" ca="1" si="90"/>
        <v>0.68058319703375303</v>
      </c>
      <c r="T225" s="224">
        <f t="shared" ca="1" si="90"/>
        <v>0.63016962688310452</v>
      </c>
      <c r="U225" s="224">
        <f t="shared" ca="1" si="90"/>
        <v>0.58349039526213387</v>
      </c>
      <c r="V225" s="224">
        <f t="shared" ca="1" si="90"/>
        <v>0.54026888450197574</v>
      </c>
      <c r="W225" s="224">
        <f t="shared" ca="1" si="90"/>
        <v>0.50024896713145905</v>
      </c>
      <c r="X225" s="224">
        <f t="shared" ca="1" si="90"/>
        <v>0.46319348808468425</v>
      </c>
      <c r="Y225" s="224">
        <f t="shared" ca="1" si="90"/>
        <v>0.42888285933767062</v>
      </c>
      <c r="Z225" s="224">
        <f t="shared" ca="1" si="90"/>
        <v>0.39711375864599124</v>
      </c>
      <c r="AA225" s="224">
        <f t="shared" ca="1" si="90"/>
        <v>0.36769792467221413</v>
      </c>
      <c r="AB225" s="224">
        <f t="shared" ca="1" si="90"/>
        <v>0.34046104136316119</v>
      </c>
      <c r="AC225" s="224">
        <f t="shared" ca="1" si="90"/>
        <v>0.31524170496588994</v>
      </c>
      <c r="AD225" s="224">
        <f t="shared" ca="1" si="90"/>
        <v>0.29189046756100923</v>
      </c>
      <c r="AE225" s="224">
        <f t="shared" ca="1" si="90"/>
        <v>0.27026895144537894</v>
      </c>
      <c r="AF225" s="224">
        <f t="shared" ca="1" si="90"/>
        <v>0.25024902911609154</v>
      </c>
      <c r="AG225" s="224">
        <f t="shared" ca="1" si="90"/>
        <v>0</v>
      </c>
      <c r="AH225" s="224">
        <f t="shared" ca="1" si="90"/>
        <v>0</v>
      </c>
      <c r="AI225" s="224">
        <f t="shared" ca="1" si="90"/>
        <v>0</v>
      </c>
      <c r="AJ225" s="224">
        <f t="shared" ca="1" si="90"/>
        <v>0</v>
      </c>
      <c r="AK225" s="224">
        <f t="shared" ca="1" si="90"/>
        <v>0</v>
      </c>
      <c r="AL225" s="224">
        <f t="shared" ca="1" si="90"/>
        <v>0</v>
      </c>
      <c r="AM225" s="224">
        <f t="shared" ca="1" si="90"/>
        <v>0</v>
      </c>
      <c r="AN225" s="224">
        <f t="shared" ca="1" si="90"/>
        <v>0</v>
      </c>
      <c r="AO225" s="224">
        <f t="shared" ca="1" si="90"/>
        <v>0</v>
      </c>
      <c r="AP225" s="224">
        <f t="shared" ca="1" si="90"/>
        <v>0</v>
      </c>
      <c r="AQ225" s="224">
        <f t="shared" ca="1" si="90"/>
        <v>0</v>
      </c>
      <c r="AR225" s="224">
        <f t="shared" ca="1" si="90"/>
        <v>0</v>
      </c>
      <c r="AS225" s="224">
        <f t="shared" ca="1" si="90"/>
        <v>0</v>
      </c>
      <c r="AT225" s="224">
        <f t="shared" ca="1" si="90"/>
        <v>0</v>
      </c>
      <c r="AU225" s="224">
        <f t="shared" ca="1" si="90"/>
        <v>0</v>
      </c>
      <c r="AV225" s="224">
        <f t="shared" ca="1" si="90"/>
        <v>0</v>
      </c>
      <c r="AW225" s="224">
        <f t="shared" ca="1" si="90"/>
        <v>0</v>
      </c>
      <c r="AX225" s="224">
        <f t="shared" ca="1" si="90"/>
        <v>0</v>
      </c>
    </row>
    <row r="226" spans="1:50" ht="15" customHeight="1">
      <c r="A226" s="90"/>
      <c r="B226" s="141"/>
      <c r="C226" s="75"/>
      <c r="D226" s="131"/>
      <c r="E226" s="45"/>
      <c r="F226" s="46"/>
      <c r="G226" s="43"/>
      <c r="H226" s="43"/>
      <c r="I226" s="76"/>
      <c r="J226" s="43"/>
      <c r="K226" s="174"/>
      <c r="L226" s="174"/>
      <c r="M226" s="174"/>
      <c r="N226" s="174"/>
      <c r="O226" s="174"/>
      <c r="P226" s="174"/>
      <c r="Q226" s="174"/>
      <c r="R226" s="174"/>
      <c r="S226" s="174"/>
      <c r="T226" s="174"/>
      <c r="U226" s="174"/>
      <c r="V226" s="174"/>
      <c r="W226" s="174"/>
      <c r="X226" s="174"/>
      <c r="Y226" s="174"/>
      <c r="Z226" s="174"/>
      <c r="AA226" s="174"/>
      <c r="AB226" s="174"/>
      <c r="AC226" s="174"/>
      <c r="AD226" s="174"/>
      <c r="AE226" s="174"/>
      <c r="AF226" s="174"/>
      <c r="AG226" s="174"/>
      <c r="AH226" s="174"/>
      <c r="AI226" s="174"/>
      <c r="AJ226" s="174"/>
      <c r="AK226" s="174"/>
      <c r="AL226" s="174"/>
      <c r="AM226" s="174"/>
      <c r="AN226" s="174"/>
      <c r="AO226" s="174"/>
      <c r="AP226" s="174"/>
      <c r="AQ226" s="174"/>
      <c r="AR226" s="174"/>
      <c r="AS226" s="174"/>
      <c r="AT226" s="174"/>
      <c r="AU226" s="174"/>
      <c r="AV226" s="174"/>
      <c r="AW226" s="174"/>
      <c r="AX226" s="174"/>
    </row>
    <row r="227" spans="1:50" ht="15" customHeight="1">
      <c r="A227" s="169" t="str">
        <f xml:space="preserve"> Translate!E$15 &amp; ": " &amp; Inputs!F$86 &amp; ", " &amp; Translate!E$438</f>
        <v>Project cashflows: nominal, after ELT</v>
      </c>
      <c r="B227" s="169"/>
      <c r="C227" s="170"/>
      <c r="D227" s="171"/>
      <c r="E227" s="88"/>
      <c r="F227" s="86"/>
      <c r="G227" s="86"/>
      <c r="H227" s="86"/>
      <c r="I227" s="86"/>
      <c r="J227" s="86"/>
      <c r="K227" s="86"/>
      <c r="L227" s="86"/>
      <c r="M227" s="86"/>
      <c r="N227" s="86"/>
      <c r="O227" s="86"/>
      <c r="P227" s="86"/>
      <c r="Q227" s="86"/>
      <c r="R227" s="86"/>
      <c r="S227" s="86"/>
      <c r="T227" s="86"/>
      <c r="U227" s="86"/>
      <c r="V227" s="86"/>
      <c r="W227" s="86"/>
      <c r="X227" s="86"/>
      <c r="Y227" s="86"/>
      <c r="Z227" s="86"/>
      <c r="AA227" s="86"/>
      <c r="AB227" s="86"/>
      <c r="AC227" s="86"/>
      <c r="AD227" s="86"/>
      <c r="AE227" s="86"/>
      <c r="AF227" s="86"/>
      <c r="AG227" s="86"/>
      <c r="AH227" s="86"/>
      <c r="AI227" s="86"/>
      <c r="AJ227" s="86"/>
      <c r="AK227" s="86"/>
      <c r="AL227" s="86"/>
      <c r="AM227" s="86"/>
      <c r="AN227" s="86"/>
      <c r="AO227" s="86"/>
      <c r="AP227" s="86"/>
      <c r="AQ227" s="86"/>
      <c r="AR227" s="86"/>
      <c r="AS227" s="86"/>
      <c r="AT227" s="86"/>
      <c r="AU227" s="86"/>
      <c r="AV227" s="86"/>
      <c r="AW227" s="86"/>
      <c r="AX227" s="86"/>
    </row>
    <row r="228" spans="1:50" ht="15" customHeight="1">
      <c r="A228" s="73"/>
      <c r="B228" s="141"/>
      <c r="C228" s="75"/>
      <c r="D228" s="131"/>
      <c r="E228" s="45"/>
      <c r="F228" s="45"/>
      <c r="G228" s="45"/>
      <c r="H228" s="45"/>
      <c r="I228" s="45"/>
      <c r="J228" s="45"/>
      <c r="K228" s="45"/>
      <c r="L228" s="45"/>
      <c r="M228" s="45"/>
      <c r="N228" s="45"/>
      <c r="O228" s="45"/>
      <c r="P228" s="45"/>
      <c r="Q228" s="45"/>
      <c r="R228" s="45"/>
      <c r="S228" s="45"/>
      <c r="T228" s="45"/>
      <c r="U228" s="45"/>
      <c r="V228" s="45"/>
      <c r="W228" s="45"/>
      <c r="X228" s="45"/>
      <c r="Y228" s="45"/>
      <c r="Z228" s="45"/>
      <c r="AA228" s="45"/>
      <c r="AB228" s="45"/>
      <c r="AC228" s="45"/>
      <c r="AD228" s="45"/>
      <c r="AE228" s="45"/>
      <c r="AF228" s="45"/>
      <c r="AG228" s="45"/>
      <c r="AH228" s="45"/>
      <c r="AI228" s="45"/>
      <c r="AJ228" s="45"/>
      <c r="AK228" s="45"/>
      <c r="AL228" s="45"/>
      <c r="AM228" s="45"/>
      <c r="AN228" s="45"/>
      <c r="AO228" s="45"/>
      <c r="AP228" s="45"/>
      <c r="AQ228" s="45"/>
      <c r="AR228" s="45"/>
      <c r="AS228" s="45"/>
      <c r="AT228" s="45"/>
      <c r="AU228" s="45"/>
      <c r="AV228" s="45"/>
      <c r="AW228" s="45"/>
      <c r="AX228" s="45"/>
    </row>
    <row r="229" spans="1:50" ht="15" customHeight="1">
      <c r="A229" s="73"/>
      <c r="B229" s="172" t="str">
        <f xml:space="preserve"> Translate!E$15 &amp; ": " &amp; Inputs!F$86 &amp; ", " &amp; Translate!E$438</f>
        <v>Project cashflows: nominal, after ELT</v>
      </c>
      <c r="C229" s="75"/>
      <c r="D229" s="131"/>
      <c r="E229" s="45"/>
      <c r="F229" s="46"/>
      <c r="G229" s="43"/>
      <c r="H229" s="43"/>
      <c r="I229" s="76"/>
      <c r="J229" s="43"/>
      <c r="K229" s="174"/>
      <c r="L229" s="174"/>
      <c r="M229" s="174"/>
      <c r="N229" s="174"/>
      <c r="O229" s="174"/>
      <c r="P229" s="174"/>
      <c r="Q229" s="174"/>
      <c r="R229" s="174"/>
      <c r="S229" s="174"/>
      <c r="T229" s="174"/>
      <c r="U229" s="174"/>
      <c r="V229" s="174"/>
      <c r="W229" s="174"/>
      <c r="X229" s="174"/>
      <c r="Y229" s="174"/>
      <c r="Z229" s="174"/>
      <c r="AA229" s="174"/>
      <c r="AB229" s="174"/>
      <c r="AC229" s="174"/>
      <c r="AD229" s="174"/>
      <c r="AE229" s="174"/>
      <c r="AF229" s="174"/>
      <c r="AG229" s="174"/>
      <c r="AH229" s="174"/>
      <c r="AI229" s="174"/>
      <c r="AJ229" s="174"/>
      <c r="AK229" s="174"/>
      <c r="AL229" s="174"/>
      <c r="AM229" s="174"/>
      <c r="AN229" s="174"/>
      <c r="AO229" s="174"/>
      <c r="AP229" s="174"/>
      <c r="AQ229" s="174"/>
      <c r="AR229" s="174"/>
      <c r="AS229" s="174"/>
      <c r="AT229" s="174"/>
      <c r="AU229" s="174"/>
      <c r="AV229" s="174"/>
      <c r="AW229" s="174"/>
      <c r="AX229" s="174"/>
    </row>
    <row r="230" spans="1:50" s="229" customFormat="1" ht="15" customHeight="1">
      <c r="A230" s="225"/>
      <c r="B230" s="226"/>
      <c r="C230" s="227"/>
      <c r="D230" s="226"/>
      <c r="E230" s="228" t="str">
        <f t="shared" ref="E230:AX230" si="91" xml:space="preserve"> E$213</f>
        <v>Inflation index</v>
      </c>
      <c r="F230" s="228">
        <f t="shared" si="91"/>
        <v>0</v>
      </c>
      <c r="G230" s="228" t="str">
        <f t="shared" si="91"/>
        <v>Index</v>
      </c>
      <c r="H230" s="228" t="str">
        <f t="shared" si="91"/>
        <v>base year is first project year</v>
      </c>
      <c r="I230" s="228">
        <f t="shared" si="91"/>
        <v>0</v>
      </c>
      <c r="J230" s="228">
        <f t="shared" si="91"/>
        <v>0</v>
      </c>
      <c r="K230" s="228">
        <f t="shared" ca="1" si="91"/>
        <v>1</v>
      </c>
      <c r="L230" s="228">
        <f t="shared" ca="1" si="91"/>
        <v>1.02</v>
      </c>
      <c r="M230" s="228">
        <f t="shared" ca="1" si="91"/>
        <v>1.0404</v>
      </c>
      <c r="N230" s="228">
        <f t="shared" ca="1" si="91"/>
        <v>1.0612079999999999</v>
      </c>
      <c r="O230" s="228">
        <f t="shared" ca="1" si="91"/>
        <v>1.08243216</v>
      </c>
      <c r="P230" s="228">
        <f t="shared" ca="1" si="91"/>
        <v>1.1040808032</v>
      </c>
      <c r="Q230" s="228">
        <f t="shared" ca="1" si="91"/>
        <v>1.1261624192640001</v>
      </c>
      <c r="R230" s="228">
        <f t="shared" ca="1" si="91"/>
        <v>1.14868566764928</v>
      </c>
      <c r="S230" s="228">
        <f t="shared" ca="1" si="91"/>
        <v>1.1716593810022657</v>
      </c>
      <c r="T230" s="228">
        <f t="shared" ca="1" si="91"/>
        <v>1.1950925686223111</v>
      </c>
      <c r="U230" s="228">
        <f t="shared" ca="1" si="91"/>
        <v>1.2189944199947573</v>
      </c>
      <c r="V230" s="228">
        <f t="shared" ca="1" si="91"/>
        <v>1.2433743083946525</v>
      </c>
      <c r="W230" s="228">
        <f t="shared" ca="1" si="91"/>
        <v>1.2682417945625455</v>
      </c>
      <c r="X230" s="228">
        <f t="shared" ca="1" si="91"/>
        <v>1.2936066304537963</v>
      </c>
      <c r="Y230" s="228">
        <f t="shared" ca="1" si="91"/>
        <v>1.3194787630628724</v>
      </c>
      <c r="Z230" s="228">
        <f t="shared" ca="1" si="91"/>
        <v>1.3458683383241299</v>
      </c>
      <c r="AA230" s="228">
        <f t="shared" ca="1" si="91"/>
        <v>1.3727857050906125</v>
      </c>
      <c r="AB230" s="228">
        <f t="shared" ca="1" si="91"/>
        <v>1.4002414191924248</v>
      </c>
      <c r="AC230" s="228">
        <f t="shared" ca="1" si="91"/>
        <v>1.4282462475762734</v>
      </c>
      <c r="AD230" s="228">
        <f t="shared" ca="1" si="91"/>
        <v>1.4568111725277988</v>
      </c>
      <c r="AE230" s="228">
        <f t="shared" ca="1" si="91"/>
        <v>1.4859473959783549</v>
      </c>
      <c r="AF230" s="228">
        <f t="shared" ca="1" si="91"/>
        <v>1.5156663438979221</v>
      </c>
      <c r="AG230" s="228">
        <f t="shared" ca="1" si="91"/>
        <v>1</v>
      </c>
      <c r="AH230" s="228">
        <f t="shared" ca="1" si="91"/>
        <v>1</v>
      </c>
      <c r="AI230" s="228">
        <f t="shared" ca="1" si="91"/>
        <v>1</v>
      </c>
      <c r="AJ230" s="228">
        <f t="shared" ca="1" si="91"/>
        <v>1</v>
      </c>
      <c r="AK230" s="228">
        <f t="shared" ca="1" si="91"/>
        <v>1</v>
      </c>
      <c r="AL230" s="228">
        <f t="shared" ca="1" si="91"/>
        <v>1</v>
      </c>
      <c r="AM230" s="228">
        <f t="shared" ca="1" si="91"/>
        <v>1</v>
      </c>
      <c r="AN230" s="228">
        <f t="shared" ca="1" si="91"/>
        <v>1</v>
      </c>
      <c r="AO230" s="228">
        <f t="shared" ca="1" si="91"/>
        <v>1</v>
      </c>
      <c r="AP230" s="228">
        <f t="shared" ca="1" si="91"/>
        <v>1</v>
      </c>
      <c r="AQ230" s="228">
        <f t="shared" ca="1" si="91"/>
        <v>1</v>
      </c>
      <c r="AR230" s="228">
        <f t="shared" ca="1" si="91"/>
        <v>1</v>
      </c>
      <c r="AS230" s="228">
        <f t="shared" ca="1" si="91"/>
        <v>1</v>
      </c>
      <c r="AT230" s="228">
        <f t="shared" ca="1" si="91"/>
        <v>1</v>
      </c>
      <c r="AU230" s="228">
        <f t="shared" ca="1" si="91"/>
        <v>1</v>
      </c>
      <c r="AV230" s="228">
        <f t="shared" ca="1" si="91"/>
        <v>1</v>
      </c>
      <c r="AW230" s="228">
        <f t="shared" ca="1" si="91"/>
        <v>1</v>
      </c>
      <c r="AX230" s="228">
        <f t="shared" ca="1" si="91"/>
        <v>1</v>
      </c>
    </row>
    <row r="231" spans="1:50" ht="15" customHeight="1">
      <c r="A231" s="73"/>
      <c r="B231" s="141"/>
      <c r="C231" s="75"/>
      <c r="D231" s="131"/>
      <c r="E231" s="303" t="str">
        <f xml:space="preserve"> E$10</f>
        <v>Mineral units</v>
      </c>
      <c r="F231" s="302" t="str">
        <f ca="1" xml:space="preserve"> F$10</f>
        <v>ounce</v>
      </c>
      <c r="G231" s="303" t="str">
        <f xml:space="preserve"> G$10</f>
        <v>Units</v>
      </c>
      <c r="H231" s="45"/>
      <c r="I231" s="45"/>
      <c r="J231" s="45"/>
      <c r="K231" s="45"/>
      <c r="L231" s="45"/>
      <c r="M231" s="45"/>
      <c r="N231" s="45"/>
      <c r="O231" s="45"/>
      <c r="P231" s="45"/>
      <c r="Q231" s="45"/>
      <c r="R231" s="45"/>
      <c r="S231" s="45"/>
      <c r="T231" s="45"/>
      <c r="U231" s="45"/>
      <c r="V231" s="45"/>
      <c r="W231" s="45"/>
      <c r="X231" s="45"/>
      <c r="Y231" s="45"/>
      <c r="Z231" s="45"/>
      <c r="AA231" s="45"/>
      <c r="AB231" s="45"/>
      <c r="AC231" s="45"/>
      <c r="AD231" s="45"/>
      <c r="AE231" s="45"/>
      <c r="AF231" s="45"/>
      <c r="AG231" s="45"/>
      <c r="AH231" s="45"/>
      <c r="AI231" s="45"/>
      <c r="AJ231" s="45"/>
      <c r="AK231" s="45"/>
      <c r="AL231" s="45"/>
      <c r="AM231" s="45"/>
      <c r="AN231" s="45"/>
      <c r="AO231" s="45"/>
      <c r="AP231" s="45"/>
      <c r="AQ231" s="45"/>
      <c r="AR231" s="45"/>
      <c r="AS231" s="45"/>
      <c r="AT231" s="45"/>
      <c r="AU231" s="45"/>
      <c r="AV231" s="45"/>
      <c r="AW231" s="45"/>
      <c r="AX231" s="45"/>
    </row>
    <row r="232" spans="1:50" s="66" customFormat="1" ht="15" customHeight="1">
      <c r="A232" s="168"/>
      <c r="B232" s="521"/>
      <c r="C232" s="166"/>
      <c r="D232" s="167"/>
      <c r="E232" s="142" t="str">
        <f ca="1" xml:space="preserve"> E163</f>
        <v>Gold price realized from sales, after ELT</v>
      </c>
      <c r="F232" s="143"/>
      <c r="G232" s="162" t="str">
        <f ca="1" xml:space="preserve"> Translate!E$9 &amp; " / " &amp; F231</f>
        <v>US$ / ounce</v>
      </c>
      <c r="H232" s="162"/>
      <c r="I232" s="168"/>
      <c r="J232" s="162"/>
      <c r="K232" s="522">
        <f t="shared" ref="K232:AX232" ca="1" si="92" xml:space="preserve"> K163 * K230</f>
        <v>1500</v>
      </c>
      <c r="L232" s="522">
        <f t="shared" ca="1" si="92"/>
        <v>1530</v>
      </c>
      <c r="M232" s="522">
        <f t="shared" ca="1" si="92"/>
        <v>1560.6</v>
      </c>
      <c r="N232" s="522">
        <f t="shared" ca="1" si="92"/>
        <v>1591.8119999999999</v>
      </c>
      <c r="O232" s="522">
        <f t="shared" ca="1" si="92"/>
        <v>1623.64824</v>
      </c>
      <c r="P232" s="522">
        <f t="shared" ca="1" si="92"/>
        <v>1656.1212048</v>
      </c>
      <c r="Q232" s="522">
        <f t="shared" ca="1" si="92"/>
        <v>1689.243628896</v>
      </c>
      <c r="R232" s="522">
        <f t="shared" ca="1" si="92"/>
        <v>1723.02850147392</v>
      </c>
      <c r="S232" s="522">
        <f t="shared" ca="1" si="92"/>
        <v>1757.4890715033987</v>
      </c>
      <c r="T232" s="522">
        <f t="shared" ca="1" si="92"/>
        <v>1792.6388529334665</v>
      </c>
      <c r="U232" s="522">
        <f t="shared" ca="1" si="92"/>
        <v>1828.491629992136</v>
      </c>
      <c r="V232" s="522">
        <f t="shared" ca="1" si="92"/>
        <v>1865.0614625919786</v>
      </c>
      <c r="W232" s="522">
        <f t="shared" ca="1" si="92"/>
        <v>1902.3626918438183</v>
      </c>
      <c r="X232" s="522">
        <f t="shared" ca="1" si="92"/>
        <v>1940.4099456806944</v>
      </c>
      <c r="Y232" s="522">
        <f t="shared" ca="1" si="92"/>
        <v>1979.2181445943086</v>
      </c>
      <c r="Z232" s="522">
        <f t="shared" ca="1" si="92"/>
        <v>2018.8025074861948</v>
      </c>
      <c r="AA232" s="522">
        <f t="shared" ca="1" si="92"/>
        <v>2059.1785576359189</v>
      </c>
      <c r="AB232" s="522">
        <f t="shared" ca="1" si="92"/>
        <v>2100.3621287886372</v>
      </c>
      <c r="AC232" s="522">
        <f t="shared" ca="1" si="92"/>
        <v>2142.3693713644102</v>
      </c>
      <c r="AD232" s="522">
        <f t="shared" ca="1" si="92"/>
        <v>2185.2167587916983</v>
      </c>
      <c r="AE232" s="522">
        <f t="shared" ca="1" si="92"/>
        <v>2228.9210939675322</v>
      </c>
      <c r="AF232" s="522">
        <f t="shared" ca="1" si="92"/>
        <v>0</v>
      </c>
      <c r="AG232" s="522">
        <f t="shared" ca="1" si="92"/>
        <v>0</v>
      </c>
      <c r="AH232" s="522">
        <f t="shared" ca="1" si="92"/>
        <v>0</v>
      </c>
      <c r="AI232" s="522">
        <f t="shared" ca="1" si="92"/>
        <v>0</v>
      </c>
      <c r="AJ232" s="522">
        <f t="shared" ca="1" si="92"/>
        <v>0</v>
      </c>
      <c r="AK232" s="522">
        <f t="shared" ca="1" si="92"/>
        <v>0</v>
      </c>
      <c r="AL232" s="522">
        <f t="shared" ca="1" si="92"/>
        <v>0</v>
      </c>
      <c r="AM232" s="522">
        <f t="shared" ca="1" si="92"/>
        <v>0</v>
      </c>
      <c r="AN232" s="522">
        <f t="shared" ca="1" si="92"/>
        <v>0</v>
      </c>
      <c r="AO232" s="522">
        <f t="shared" ca="1" si="92"/>
        <v>0</v>
      </c>
      <c r="AP232" s="522">
        <f t="shared" ca="1" si="92"/>
        <v>0</v>
      </c>
      <c r="AQ232" s="522">
        <f t="shared" ca="1" si="92"/>
        <v>0</v>
      </c>
      <c r="AR232" s="522">
        <f t="shared" ca="1" si="92"/>
        <v>0</v>
      </c>
      <c r="AS232" s="522">
        <f t="shared" ca="1" si="92"/>
        <v>0</v>
      </c>
      <c r="AT232" s="522">
        <f t="shared" ca="1" si="92"/>
        <v>0</v>
      </c>
      <c r="AU232" s="522">
        <f t="shared" ca="1" si="92"/>
        <v>0</v>
      </c>
      <c r="AV232" s="522">
        <f t="shared" ca="1" si="92"/>
        <v>0</v>
      </c>
      <c r="AW232" s="522">
        <f t="shared" ca="1" si="92"/>
        <v>0</v>
      </c>
      <c r="AX232" s="522">
        <f t="shared" ca="1" si="92"/>
        <v>0</v>
      </c>
    </row>
    <row r="233" spans="1:50" ht="15" customHeight="1">
      <c r="A233" s="73"/>
      <c r="B233" s="172"/>
      <c r="C233" s="75"/>
      <c r="D233" s="131"/>
      <c r="E233" s="45"/>
      <c r="F233" s="46"/>
      <c r="G233" s="43"/>
      <c r="H233" s="43"/>
      <c r="I233" s="76"/>
      <c r="J233" s="43"/>
      <c r="K233" s="174"/>
      <c r="L233" s="174"/>
      <c r="M233" s="174"/>
      <c r="N233" s="174"/>
      <c r="O233" s="174"/>
      <c r="P233" s="174"/>
      <c r="Q233" s="174"/>
      <c r="R233" s="174"/>
      <c r="S233" s="174"/>
      <c r="T233" s="174"/>
      <c r="U233" s="174"/>
      <c r="V233" s="174"/>
      <c r="W233" s="174"/>
      <c r="X233" s="174"/>
      <c r="Y233" s="174"/>
      <c r="Z233" s="174"/>
      <c r="AA233" s="174"/>
      <c r="AB233" s="174"/>
      <c r="AC233" s="174"/>
      <c r="AD233" s="174"/>
      <c r="AE233" s="174"/>
      <c r="AF233" s="174"/>
      <c r="AG233" s="174"/>
      <c r="AH233" s="174"/>
      <c r="AI233" s="174"/>
      <c r="AJ233" s="174"/>
      <c r="AK233" s="174"/>
      <c r="AL233" s="174"/>
      <c r="AM233" s="174"/>
      <c r="AN233" s="174"/>
      <c r="AO233" s="174"/>
      <c r="AP233" s="174"/>
      <c r="AQ233" s="174"/>
      <c r="AR233" s="174"/>
      <c r="AS233" s="174"/>
      <c r="AT233" s="174"/>
      <c r="AU233" s="174"/>
      <c r="AV233" s="174"/>
      <c r="AW233" s="174"/>
      <c r="AX233" s="174"/>
    </row>
    <row r="234" spans="1:50" ht="15" customHeight="1">
      <c r="A234" s="168"/>
      <c r="B234" s="181"/>
      <c r="C234" s="166"/>
      <c r="D234" s="182"/>
      <c r="E234" s="142" t="str">
        <f xml:space="preserve"> E165</f>
        <v>Sales revenues: gross, after ELT</v>
      </c>
      <c r="F234" s="143"/>
      <c r="G234" s="183" t="str">
        <f xml:space="preserve"> Translate!E$10</f>
        <v>US$ mn</v>
      </c>
      <c r="H234" s="183"/>
      <c r="I234" s="184">
        <f ca="1" xml:space="preserve"> SUM(K234:AX234)</f>
        <v>3796.5539177649084</v>
      </c>
      <c r="J234" s="143"/>
      <c r="K234" s="185">
        <f t="shared" ref="K234:AX234" ca="1" si="93" xml:space="preserve"> K165 * K$230</f>
        <v>0</v>
      </c>
      <c r="L234" s="185">
        <f t="shared" ca="1" si="93"/>
        <v>0</v>
      </c>
      <c r="M234" s="185">
        <f t="shared" ca="1" si="93"/>
        <v>0</v>
      </c>
      <c r="N234" s="185">
        <f t="shared" ca="1" si="93"/>
        <v>0</v>
      </c>
      <c r="O234" s="185">
        <f t="shared" ca="1" si="93"/>
        <v>16.2364824</v>
      </c>
      <c r="P234" s="185">
        <f t="shared" ca="1" si="93"/>
        <v>124.20909036</v>
      </c>
      <c r="Q234" s="185">
        <f t="shared" ca="1" si="93"/>
        <v>253.38654433440001</v>
      </c>
      <c r="R234" s="185">
        <f t="shared" ca="1" si="93"/>
        <v>258.45427522108798</v>
      </c>
      <c r="S234" s="185">
        <f t="shared" ca="1" si="93"/>
        <v>263.62336072550977</v>
      </c>
      <c r="T234" s="185">
        <f t="shared" ca="1" si="93"/>
        <v>268.89582794002001</v>
      </c>
      <c r="U234" s="185">
        <f t="shared" ca="1" si="93"/>
        <v>274.27374449882041</v>
      </c>
      <c r="V234" s="185">
        <f t="shared" ca="1" si="93"/>
        <v>279.75921938879679</v>
      </c>
      <c r="W234" s="185">
        <f t="shared" ca="1" si="93"/>
        <v>285.35440377657272</v>
      </c>
      <c r="X234" s="185">
        <f t="shared" ca="1" si="93"/>
        <v>291.06149185210415</v>
      </c>
      <c r="Y234" s="185">
        <f t="shared" ca="1" si="93"/>
        <v>296.88272168914631</v>
      </c>
      <c r="Z234" s="185">
        <f t="shared" ca="1" si="93"/>
        <v>302.82037612292925</v>
      </c>
      <c r="AA234" s="185">
        <f t="shared" ca="1" si="93"/>
        <v>257.39731970448986</v>
      </c>
      <c r="AB234" s="185">
        <f t="shared" ca="1" si="93"/>
        <v>210.03621287886372</v>
      </c>
      <c r="AC234" s="185">
        <f t="shared" ca="1" si="93"/>
        <v>160.67770285233075</v>
      </c>
      <c r="AD234" s="185">
        <f t="shared" ca="1" si="93"/>
        <v>142.03908932146038</v>
      </c>
      <c r="AE234" s="185">
        <f t="shared" ca="1" si="93"/>
        <v>111.44605469837661</v>
      </c>
      <c r="AF234" s="185">
        <f t="shared" ca="1" si="93"/>
        <v>0</v>
      </c>
      <c r="AG234" s="185">
        <f t="shared" ca="1" si="93"/>
        <v>0</v>
      </c>
      <c r="AH234" s="185">
        <f t="shared" ca="1" si="93"/>
        <v>0</v>
      </c>
      <c r="AI234" s="185">
        <f t="shared" ca="1" si="93"/>
        <v>0</v>
      </c>
      <c r="AJ234" s="185">
        <f t="shared" ca="1" si="93"/>
        <v>0</v>
      </c>
      <c r="AK234" s="185">
        <f t="shared" ca="1" si="93"/>
        <v>0</v>
      </c>
      <c r="AL234" s="185">
        <f t="shared" ca="1" si="93"/>
        <v>0</v>
      </c>
      <c r="AM234" s="185">
        <f t="shared" ca="1" si="93"/>
        <v>0</v>
      </c>
      <c r="AN234" s="185">
        <f t="shared" ca="1" si="93"/>
        <v>0</v>
      </c>
      <c r="AO234" s="185">
        <f t="shared" ca="1" si="93"/>
        <v>0</v>
      </c>
      <c r="AP234" s="185">
        <f t="shared" ca="1" si="93"/>
        <v>0</v>
      </c>
      <c r="AQ234" s="185">
        <f t="shared" ca="1" si="93"/>
        <v>0</v>
      </c>
      <c r="AR234" s="185">
        <f t="shared" ca="1" si="93"/>
        <v>0</v>
      </c>
      <c r="AS234" s="185">
        <f t="shared" ca="1" si="93"/>
        <v>0</v>
      </c>
      <c r="AT234" s="185">
        <f t="shared" ca="1" si="93"/>
        <v>0</v>
      </c>
      <c r="AU234" s="185">
        <f t="shared" ca="1" si="93"/>
        <v>0</v>
      </c>
      <c r="AV234" s="185">
        <f t="shared" ca="1" si="93"/>
        <v>0</v>
      </c>
      <c r="AW234" s="185">
        <f t="shared" ca="1" si="93"/>
        <v>0</v>
      </c>
      <c r="AX234" s="185">
        <f t="shared" ca="1" si="93"/>
        <v>0</v>
      </c>
    </row>
    <row r="235" spans="1:50" ht="15" customHeight="1">
      <c r="A235" s="168"/>
      <c r="B235" s="181"/>
      <c r="C235" s="166"/>
      <c r="D235" s="182"/>
      <c r="E235" s="142" t="str">
        <f xml:space="preserve"> E166</f>
        <v>Transport costs post-fiscal point, after ELT</v>
      </c>
      <c r="F235" s="186"/>
      <c r="G235" s="183" t="str">
        <f xml:space="preserve"> Translate!E$10</f>
        <v>US$ mn</v>
      </c>
      <c r="H235" s="183"/>
      <c r="I235" s="184">
        <f ca="1" xml:space="preserve"> SUM(K235:AX235)</f>
        <v>63.275898629415138</v>
      </c>
      <c r="J235" s="143"/>
      <c r="K235" s="185">
        <f t="shared" ref="K235:AX235" ca="1" si="94" xml:space="preserve"> K166 * K$230</f>
        <v>0</v>
      </c>
      <c r="L235" s="185">
        <f t="shared" ca="1" si="94"/>
        <v>0</v>
      </c>
      <c r="M235" s="185">
        <f t="shared" ca="1" si="94"/>
        <v>0</v>
      </c>
      <c r="N235" s="185">
        <f t="shared" ca="1" si="94"/>
        <v>0</v>
      </c>
      <c r="O235" s="185">
        <f t="shared" ca="1" si="94"/>
        <v>0.27060803999999999</v>
      </c>
      <c r="P235" s="185">
        <f t="shared" ca="1" si="94"/>
        <v>2.0701515060000002</v>
      </c>
      <c r="Q235" s="185">
        <f t="shared" ca="1" si="94"/>
        <v>4.2231090722400006</v>
      </c>
      <c r="R235" s="185">
        <f t="shared" ca="1" si="94"/>
        <v>4.3075712536848005</v>
      </c>
      <c r="S235" s="185">
        <f t="shared" ca="1" si="94"/>
        <v>4.3937226787584969</v>
      </c>
      <c r="T235" s="185">
        <f t="shared" ca="1" si="94"/>
        <v>4.4815971323336665</v>
      </c>
      <c r="U235" s="185">
        <f t="shared" ca="1" si="94"/>
        <v>4.5712290749803399</v>
      </c>
      <c r="V235" s="185">
        <f t="shared" ca="1" si="94"/>
        <v>4.6626536564799466</v>
      </c>
      <c r="W235" s="185">
        <f t="shared" ca="1" si="94"/>
        <v>4.7559067296095456</v>
      </c>
      <c r="X235" s="185">
        <f t="shared" ca="1" si="94"/>
        <v>4.8510248642017366</v>
      </c>
      <c r="Y235" s="185">
        <f t="shared" ca="1" si="94"/>
        <v>4.9480453614857716</v>
      </c>
      <c r="Z235" s="185">
        <f t="shared" ca="1" si="94"/>
        <v>5.0470062687154869</v>
      </c>
      <c r="AA235" s="185">
        <f t="shared" ca="1" si="94"/>
        <v>4.2899553284081637</v>
      </c>
      <c r="AB235" s="185">
        <f t="shared" ca="1" si="94"/>
        <v>3.5006035479810622</v>
      </c>
      <c r="AC235" s="185">
        <f t="shared" ca="1" si="94"/>
        <v>2.6779617142055128</v>
      </c>
      <c r="AD235" s="185">
        <f t="shared" ca="1" si="94"/>
        <v>2.367318155357673</v>
      </c>
      <c r="AE235" s="185">
        <f t="shared" ca="1" si="94"/>
        <v>1.8574342449729437</v>
      </c>
      <c r="AF235" s="185">
        <f t="shared" ca="1" si="94"/>
        <v>0</v>
      </c>
      <c r="AG235" s="185">
        <f t="shared" ca="1" si="94"/>
        <v>0</v>
      </c>
      <c r="AH235" s="185">
        <f t="shared" ca="1" si="94"/>
        <v>0</v>
      </c>
      <c r="AI235" s="185">
        <f t="shared" ca="1" si="94"/>
        <v>0</v>
      </c>
      <c r="AJ235" s="185">
        <f t="shared" ca="1" si="94"/>
        <v>0</v>
      </c>
      <c r="AK235" s="185">
        <f t="shared" ca="1" si="94"/>
        <v>0</v>
      </c>
      <c r="AL235" s="185">
        <f t="shared" ca="1" si="94"/>
        <v>0</v>
      </c>
      <c r="AM235" s="185">
        <f t="shared" ca="1" si="94"/>
        <v>0</v>
      </c>
      <c r="AN235" s="185">
        <f t="shared" ca="1" si="94"/>
        <v>0</v>
      </c>
      <c r="AO235" s="185">
        <f t="shared" ca="1" si="94"/>
        <v>0</v>
      </c>
      <c r="AP235" s="185">
        <f t="shared" ca="1" si="94"/>
        <v>0</v>
      </c>
      <c r="AQ235" s="185">
        <f t="shared" ca="1" si="94"/>
        <v>0</v>
      </c>
      <c r="AR235" s="185">
        <f t="shared" ca="1" si="94"/>
        <v>0</v>
      </c>
      <c r="AS235" s="185">
        <f t="shared" ca="1" si="94"/>
        <v>0</v>
      </c>
      <c r="AT235" s="185">
        <f t="shared" ca="1" si="94"/>
        <v>0</v>
      </c>
      <c r="AU235" s="185">
        <f t="shared" ca="1" si="94"/>
        <v>0</v>
      </c>
      <c r="AV235" s="185">
        <f t="shared" ca="1" si="94"/>
        <v>0</v>
      </c>
      <c r="AW235" s="185">
        <f t="shared" ca="1" si="94"/>
        <v>0</v>
      </c>
      <c r="AX235" s="185">
        <f t="shared" ca="1" si="94"/>
        <v>0</v>
      </c>
    </row>
    <row r="236" spans="1:50" ht="15" customHeight="1">
      <c r="A236" s="168"/>
      <c r="B236" s="181"/>
      <c r="C236" s="166"/>
      <c r="D236" s="182"/>
      <c r="E236" s="142" t="str">
        <f xml:space="preserve"> E167</f>
        <v>Sales revenues: net, after ELT</v>
      </c>
      <c r="F236" s="143"/>
      <c r="G236" s="183" t="str">
        <f xml:space="preserve"> Translate!E$10</f>
        <v>US$ mn</v>
      </c>
      <c r="H236" s="183"/>
      <c r="I236" s="184">
        <f ca="1" xml:space="preserve"> SUM(K236:AX236)</f>
        <v>3733.2780191354932</v>
      </c>
      <c r="J236" s="143"/>
      <c r="K236" s="185">
        <f t="shared" ref="K236:AX236" ca="1" si="95" xml:space="preserve"> K234 - K235</f>
        <v>0</v>
      </c>
      <c r="L236" s="185">
        <f t="shared" ca="1" si="95"/>
        <v>0</v>
      </c>
      <c r="M236" s="185">
        <f t="shared" ca="1" si="95"/>
        <v>0</v>
      </c>
      <c r="N236" s="185">
        <f t="shared" ca="1" si="95"/>
        <v>0</v>
      </c>
      <c r="O236" s="185">
        <f t="shared" ca="1" si="95"/>
        <v>15.965874359999999</v>
      </c>
      <c r="P236" s="185">
        <f t="shared" ca="1" si="95"/>
        <v>122.138938854</v>
      </c>
      <c r="Q236" s="185">
        <f t="shared" ca="1" si="95"/>
        <v>249.16343526216002</v>
      </c>
      <c r="R236" s="185">
        <f t="shared" ca="1" si="95"/>
        <v>254.14670396740317</v>
      </c>
      <c r="S236" s="185">
        <f t="shared" ca="1" si="95"/>
        <v>259.22963804675129</v>
      </c>
      <c r="T236" s="185">
        <f t="shared" ca="1" si="95"/>
        <v>264.41423080768635</v>
      </c>
      <c r="U236" s="185">
        <f t="shared" ca="1" si="95"/>
        <v>269.70251542384005</v>
      </c>
      <c r="V236" s="185">
        <f t="shared" ca="1" si="95"/>
        <v>275.09656573231683</v>
      </c>
      <c r="W236" s="185">
        <f t="shared" ca="1" si="95"/>
        <v>280.59849704696319</v>
      </c>
      <c r="X236" s="185">
        <f t="shared" ca="1" si="95"/>
        <v>286.21046698790241</v>
      </c>
      <c r="Y236" s="185">
        <f t="shared" ca="1" si="95"/>
        <v>291.93467632766055</v>
      </c>
      <c r="Z236" s="185">
        <f t="shared" ca="1" si="95"/>
        <v>297.77336985421374</v>
      </c>
      <c r="AA236" s="185">
        <f t="shared" ca="1" si="95"/>
        <v>253.1073643760817</v>
      </c>
      <c r="AB236" s="185">
        <f t="shared" ca="1" si="95"/>
        <v>206.53560933088266</v>
      </c>
      <c r="AC236" s="185">
        <f t="shared" ca="1" si="95"/>
        <v>157.99974113812524</v>
      </c>
      <c r="AD236" s="185">
        <f t="shared" ca="1" si="95"/>
        <v>139.6717711661027</v>
      </c>
      <c r="AE236" s="185">
        <f t="shared" ca="1" si="95"/>
        <v>109.58862045340366</v>
      </c>
      <c r="AF236" s="185">
        <f t="shared" ca="1" si="95"/>
        <v>0</v>
      </c>
      <c r="AG236" s="185">
        <f t="shared" ca="1" si="95"/>
        <v>0</v>
      </c>
      <c r="AH236" s="185">
        <f t="shared" ca="1" si="95"/>
        <v>0</v>
      </c>
      <c r="AI236" s="185">
        <f t="shared" ca="1" si="95"/>
        <v>0</v>
      </c>
      <c r="AJ236" s="185">
        <f t="shared" ca="1" si="95"/>
        <v>0</v>
      </c>
      <c r="AK236" s="185">
        <f t="shared" ca="1" si="95"/>
        <v>0</v>
      </c>
      <c r="AL236" s="185">
        <f t="shared" ca="1" si="95"/>
        <v>0</v>
      </c>
      <c r="AM236" s="185">
        <f t="shared" ca="1" si="95"/>
        <v>0</v>
      </c>
      <c r="AN236" s="185">
        <f t="shared" ca="1" si="95"/>
        <v>0</v>
      </c>
      <c r="AO236" s="185">
        <f t="shared" ca="1" si="95"/>
        <v>0</v>
      </c>
      <c r="AP236" s="185">
        <f t="shared" ca="1" si="95"/>
        <v>0</v>
      </c>
      <c r="AQ236" s="185">
        <f t="shared" ca="1" si="95"/>
        <v>0</v>
      </c>
      <c r="AR236" s="185">
        <f t="shared" ca="1" si="95"/>
        <v>0</v>
      </c>
      <c r="AS236" s="185">
        <f t="shared" ca="1" si="95"/>
        <v>0</v>
      </c>
      <c r="AT236" s="185">
        <f t="shared" ca="1" si="95"/>
        <v>0</v>
      </c>
      <c r="AU236" s="185">
        <f t="shared" ca="1" si="95"/>
        <v>0</v>
      </c>
      <c r="AV236" s="185">
        <f t="shared" ca="1" si="95"/>
        <v>0</v>
      </c>
      <c r="AW236" s="185">
        <f t="shared" ca="1" si="95"/>
        <v>0</v>
      </c>
      <c r="AX236" s="185">
        <f t="shared" ca="1" si="95"/>
        <v>0</v>
      </c>
    </row>
    <row r="237" spans="1:50" ht="15" customHeight="1">
      <c r="A237" s="73"/>
      <c r="B237" s="78"/>
      <c r="C237" s="75"/>
      <c r="D237" s="135"/>
      <c r="E237" s="45"/>
      <c r="F237" s="46"/>
      <c r="G237" s="12"/>
      <c r="H237" s="12"/>
      <c r="I237" s="85"/>
      <c r="J237" s="46"/>
      <c r="K237" s="187"/>
      <c r="L237" s="187"/>
      <c r="M237" s="187"/>
      <c r="N237" s="187"/>
      <c r="O237" s="187"/>
      <c r="P237" s="187"/>
      <c r="Q237" s="187"/>
      <c r="R237" s="187"/>
      <c r="S237" s="187"/>
      <c r="T237" s="187"/>
      <c r="U237" s="187"/>
      <c r="V237" s="187"/>
      <c r="W237" s="187"/>
      <c r="X237" s="187"/>
      <c r="Y237" s="187"/>
      <c r="Z237" s="187"/>
      <c r="AA237" s="187"/>
      <c r="AB237" s="187"/>
      <c r="AC237" s="187"/>
      <c r="AD237" s="187"/>
      <c r="AE237" s="187"/>
      <c r="AF237" s="187"/>
      <c r="AG237" s="187"/>
      <c r="AH237" s="187"/>
      <c r="AI237" s="187"/>
      <c r="AJ237" s="187"/>
      <c r="AK237" s="187"/>
      <c r="AL237" s="187"/>
      <c r="AM237" s="187"/>
      <c r="AN237" s="187"/>
      <c r="AO237" s="187"/>
      <c r="AP237" s="187"/>
      <c r="AQ237" s="187"/>
      <c r="AR237" s="187"/>
      <c r="AS237" s="187"/>
      <c r="AT237" s="187"/>
      <c r="AU237" s="187"/>
      <c r="AV237" s="187"/>
      <c r="AW237" s="187"/>
      <c r="AX237" s="187"/>
    </row>
    <row r="238" spans="1:50" ht="15" customHeight="1">
      <c r="A238" s="168"/>
      <c r="B238" s="181"/>
      <c r="C238" s="166"/>
      <c r="D238" s="182"/>
      <c r="E238" s="142" t="str">
        <f t="shared" ref="E238:E243" si="96" xml:space="preserve"> E169</f>
        <v>Exploration costs, after ELT</v>
      </c>
      <c r="F238" s="143"/>
      <c r="G238" s="183" t="str">
        <f xml:space="preserve"> Translate!E$10</f>
        <v>US$ mn</v>
      </c>
      <c r="H238" s="183"/>
      <c r="I238" s="184">
        <f t="shared" ref="I238:I243" ca="1" si="97" xml:space="preserve"> SUM(K238:AX238)</f>
        <v>30.603999999999999</v>
      </c>
      <c r="J238" s="143"/>
      <c r="K238" s="185">
        <f t="shared" ref="K238:AX238" ca="1" si="98" xml:space="preserve"> K169 * K$230</f>
        <v>10</v>
      </c>
      <c r="L238" s="185">
        <f t="shared" ca="1" si="98"/>
        <v>10.199999999999999</v>
      </c>
      <c r="M238" s="185">
        <f t="shared" ca="1" si="98"/>
        <v>10.404</v>
      </c>
      <c r="N238" s="185">
        <f t="shared" ca="1" si="98"/>
        <v>0</v>
      </c>
      <c r="O238" s="185">
        <f t="shared" ca="1" si="98"/>
        <v>0</v>
      </c>
      <c r="P238" s="185">
        <f t="shared" ca="1" si="98"/>
        <v>0</v>
      </c>
      <c r="Q238" s="185">
        <f t="shared" ca="1" si="98"/>
        <v>0</v>
      </c>
      <c r="R238" s="185">
        <f t="shared" ca="1" si="98"/>
        <v>0</v>
      </c>
      <c r="S238" s="185">
        <f t="shared" ca="1" si="98"/>
        <v>0</v>
      </c>
      <c r="T238" s="185">
        <f t="shared" ca="1" si="98"/>
        <v>0</v>
      </c>
      <c r="U238" s="185">
        <f t="shared" ca="1" si="98"/>
        <v>0</v>
      </c>
      <c r="V238" s="185">
        <f t="shared" ca="1" si="98"/>
        <v>0</v>
      </c>
      <c r="W238" s="185">
        <f t="shared" ca="1" si="98"/>
        <v>0</v>
      </c>
      <c r="X238" s="185">
        <f t="shared" ca="1" si="98"/>
        <v>0</v>
      </c>
      <c r="Y238" s="185">
        <f t="shared" ca="1" si="98"/>
        <v>0</v>
      </c>
      <c r="Z238" s="185">
        <f t="shared" ca="1" si="98"/>
        <v>0</v>
      </c>
      <c r="AA238" s="185">
        <f t="shared" ca="1" si="98"/>
        <v>0</v>
      </c>
      <c r="AB238" s="185">
        <f t="shared" ca="1" si="98"/>
        <v>0</v>
      </c>
      <c r="AC238" s="185">
        <f t="shared" ca="1" si="98"/>
        <v>0</v>
      </c>
      <c r="AD238" s="185">
        <f t="shared" ca="1" si="98"/>
        <v>0</v>
      </c>
      <c r="AE238" s="185">
        <f t="shared" ca="1" si="98"/>
        <v>0</v>
      </c>
      <c r="AF238" s="185">
        <f t="shared" ca="1" si="98"/>
        <v>0</v>
      </c>
      <c r="AG238" s="185">
        <f t="shared" ca="1" si="98"/>
        <v>0</v>
      </c>
      <c r="AH238" s="185">
        <f t="shared" ca="1" si="98"/>
        <v>0</v>
      </c>
      <c r="AI238" s="185">
        <f t="shared" ca="1" si="98"/>
        <v>0</v>
      </c>
      <c r="AJ238" s="185">
        <f t="shared" ca="1" si="98"/>
        <v>0</v>
      </c>
      <c r="AK238" s="185">
        <f t="shared" ca="1" si="98"/>
        <v>0</v>
      </c>
      <c r="AL238" s="185">
        <f t="shared" ca="1" si="98"/>
        <v>0</v>
      </c>
      <c r="AM238" s="185">
        <f t="shared" ca="1" si="98"/>
        <v>0</v>
      </c>
      <c r="AN238" s="185">
        <f t="shared" ca="1" si="98"/>
        <v>0</v>
      </c>
      <c r="AO238" s="185">
        <f t="shared" ca="1" si="98"/>
        <v>0</v>
      </c>
      <c r="AP238" s="185">
        <f t="shared" ca="1" si="98"/>
        <v>0</v>
      </c>
      <c r="AQ238" s="185">
        <f t="shared" ca="1" si="98"/>
        <v>0</v>
      </c>
      <c r="AR238" s="185">
        <f t="shared" ca="1" si="98"/>
        <v>0</v>
      </c>
      <c r="AS238" s="185">
        <f t="shared" ca="1" si="98"/>
        <v>0</v>
      </c>
      <c r="AT238" s="185">
        <f t="shared" ca="1" si="98"/>
        <v>0</v>
      </c>
      <c r="AU238" s="185">
        <f t="shared" ca="1" si="98"/>
        <v>0</v>
      </c>
      <c r="AV238" s="185">
        <f t="shared" ca="1" si="98"/>
        <v>0</v>
      </c>
      <c r="AW238" s="185">
        <f t="shared" ca="1" si="98"/>
        <v>0</v>
      </c>
      <c r="AX238" s="185">
        <f t="shared" ca="1" si="98"/>
        <v>0</v>
      </c>
    </row>
    <row r="239" spans="1:50" ht="15" customHeight="1">
      <c r="A239" s="168"/>
      <c r="B239" s="181"/>
      <c r="C239" s="166"/>
      <c r="D239" s="182"/>
      <c r="E239" s="142" t="str">
        <f t="shared" si="96"/>
        <v>Development costs, after ELT</v>
      </c>
      <c r="F239" s="143"/>
      <c r="G239" s="183" t="str">
        <f xml:space="preserve"> Translate!E$10</f>
        <v>US$ mn</v>
      </c>
      <c r="H239" s="183"/>
      <c r="I239" s="184">
        <f t="shared" ca="1" si="97"/>
        <v>434.07652032000004</v>
      </c>
      <c r="J239" s="168"/>
      <c r="K239" s="185">
        <f t="shared" ref="K239:AX239" ca="1" si="99" xml:space="preserve"> K170 * K$230</f>
        <v>0</v>
      </c>
      <c r="L239" s="185">
        <f t="shared" ca="1" si="99"/>
        <v>0</v>
      </c>
      <c r="M239" s="185">
        <f t="shared" ca="1" si="99"/>
        <v>0</v>
      </c>
      <c r="N239" s="185">
        <f t="shared" ca="1" si="99"/>
        <v>53.060399999999994</v>
      </c>
      <c r="O239" s="185">
        <f t="shared" ca="1" si="99"/>
        <v>270.60804000000002</v>
      </c>
      <c r="P239" s="185">
        <f t="shared" ca="1" si="99"/>
        <v>110.40808032</v>
      </c>
      <c r="Q239" s="185">
        <f t="shared" ca="1" si="99"/>
        <v>0</v>
      </c>
      <c r="R239" s="185">
        <f t="shared" ca="1" si="99"/>
        <v>0</v>
      </c>
      <c r="S239" s="185">
        <f t="shared" ca="1" si="99"/>
        <v>0</v>
      </c>
      <c r="T239" s="185">
        <f t="shared" ca="1" si="99"/>
        <v>0</v>
      </c>
      <c r="U239" s="185">
        <f t="shared" ca="1" si="99"/>
        <v>0</v>
      </c>
      <c r="V239" s="185">
        <f t="shared" ca="1" si="99"/>
        <v>0</v>
      </c>
      <c r="W239" s="185">
        <f t="shared" ca="1" si="99"/>
        <v>0</v>
      </c>
      <c r="X239" s="185">
        <f t="shared" ca="1" si="99"/>
        <v>0</v>
      </c>
      <c r="Y239" s="185">
        <f t="shared" ca="1" si="99"/>
        <v>0</v>
      </c>
      <c r="Z239" s="185">
        <f t="shared" ca="1" si="99"/>
        <v>0</v>
      </c>
      <c r="AA239" s="185">
        <f t="shared" ca="1" si="99"/>
        <v>0</v>
      </c>
      <c r="AB239" s="185">
        <f t="shared" ca="1" si="99"/>
        <v>0</v>
      </c>
      <c r="AC239" s="185">
        <f t="shared" ca="1" si="99"/>
        <v>0</v>
      </c>
      <c r="AD239" s="185">
        <f t="shared" ca="1" si="99"/>
        <v>0</v>
      </c>
      <c r="AE239" s="185">
        <f t="shared" ca="1" si="99"/>
        <v>0</v>
      </c>
      <c r="AF239" s="185">
        <f t="shared" ca="1" si="99"/>
        <v>0</v>
      </c>
      <c r="AG239" s="185">
        <f t="shared" ca="1" si="99"/>
        <v>0</v>
      </c>
      <c r="AH239" s="185">
        <f t="shared" ca="1" si="99"/>
        <v>0</v>
      </c>
      <c r="AI239" s="185">
        <f t="shared" ca="1" si="99"/>
        <v>0</v>
      </c>
      <c r="AJ239" s="185">
        <f t="shared" ca="1" si="99"/>
        <v>0</v>
      </c>
      <c r="AK239" s="185">
        <f t="shared" ca="1" si="99"/>
        <v>0</v>
      </c>
      <c r="AL239" s="185">
        <f t="shared" ca="1" si="99"/>
        <v>0</v>
      </c>
      <c r="AM239" s="185">
        <f t="shared" ca="1" si="99"/>
        <v>0</v>
      </c>
      <c r="AN239" s="185">
        <f t="shared" ca="1" si="99"/>
        <v>0</v>
      </c>
      <c r="AO239" s="185">
        <f t="shared" ca="1" si="99"/>
        <v>0</v>
      </c>
      <c r="AP239" s="185">
        <f t="shared" ca="1" si="99"/>
        <v>0</v>
      </c>
      <c r="AQ239" s="185">
        <f t="shared" ca="1" si="99"/>
        <v>0</v>
      </c>
      <c r="AR239" s="185">
        <f t="shared" ca="1" si="99"/>
        <v>0</v>
      </c>
      <c r="AS239" s="185">
        <f t="shared" ca="1" si="99"/>
        <v>0</v>
      </c>
      <c r="AT239" s="185">
        <f t="shared" ca="1" si="99"/>
        <v>0</v>
      </c>
      <c r="AU239" s="185">
        <f t="shared" ca="1" si="99"/>
        <v>0</v>
      </c>
      <c r="AV239" s="185">
        <f t="shared" ca="1" si="99"/>
        <v>0</v>
      </c>
      <c r="AW239" s="185">
        <f t="shared" ca="1" si="99"/>
        <v>0</v>
      </c>
      <c r="AX239" s="185">
        <f t="shared" ca="1" si="99"/>
        <v>0</v>
      </c>
    </row>
    <row r="240" spans="1:50" ht="15" customHeight="1">
      <c r="A240" s="168"/>
      <c r="B240" s="181"/>
      <c r="C240" s="166"/>
      <c r="D240" s="182"/>
      <c r="E240" s="142" t="str">
        <f t="shared" si="96"/>
        <v>Replacement capital costs, after ELT</v>
      </c>
      <c r="F240" s="143"/>
      <c r="G240" s="183" t="str">
        <f xml:space="preserve"> Translate!E$10</f>
        <v>US$ mn</v>
      </c>
      <c r="H240" s="183"/>
      <c r="I240" s="184">
        <f t="shared" ca="1" si="97"/>
        <v>118.46424639696978</v>
      </c>
      <c r="J240" s="168"/>
      <c r="K240" s="185">
        <f t="shared" ref="K240:AX240" ca="1" si="100" xml:space="preserve"> K171 * K$230</f>
        <v>0</v>
      </c>
      <c r="L240" s="185">
        <f t="shared" ca="1" si="100"/>
        <v>0</v>
      </c>
      <c r="M240" s="185">
        <f t="shared" ca="1" si="100"/>
        <v>0</v>
      </c>
      <c r="N240" s="185">
        <f t="shared" ca="1" si="100"/>
        <v>0</v>
      </c>
      <c r="O240" s="185">
        <f t="shared" ca="1" si="100"/>
        <v>0</v>
      </c>
      <c r="P240" s="185">
        <f t="shared" ca="1" si="100"/>
        <v>8.8326464256000001</v>
      </c>
      <c r="Q240" s="185">
        <f t="shared" ca="1" si="100"/>
        <v>9.0092993541120006</v>
      </c>
      <c r="R240" s="185">
        <f t="shared" ca="1" si="100"/>
        <v>9.1894853411942403</v>
      </c>
      <c r="S240" s="185">
        <f t="shared" ca="1" si="100"/>
        <v>9.3732750480181259</v>
      </c>
      <c r="T240" s="185">
        <f t="shared" ca="1" si="100"/>
        <v>9.5607405489784885</v>
      </c>
      <c r="U240" s="185">
        <f t="shared" ca="1" si="100"/>
        <v>9.7519553599580586</v>
      </c>
      <c r="V240" s="185">
        <f t="shared" ca="1" si="100"/>
        <v>9.9469944671572197</v>
      </c>
      <c r="W240" s="185">
        <f t="shared" ca="1" si="100"/>
        <v>10.145934356500364</v>
      </c>
      <c r="X240" s="185">
        <f t="shared" ca="1" si="100"/>
        <v>10.348853043630371</v>
      </c>
      <c r="Y240" s="185">
        <f t="shared" ca="1" si="100"/>
        <v>10.555830104502979</v>
      </c>
      <c r="Z240" s="185">
        <f t="shared" ca="1" si="100"/>
        <v>10.766946706593039</v>
      </c>
      <c r="AA240" s="185">
        <f t="shared" ca="1" si="100"/>
        <v>10.9822856407249</v>
      </c>
      <c r="AB240" s="185">
        <f t="shared" ca="1" si="100"/>
        <v>0</v>
      </c>
      <c r="AC240" s="185">
        <f t="shared" ca="1" si="100"/>
        <v>0</v>
      </c>
      <c r="AD240" s="185">
        <f t="shared" ca="1" si="100"/>
        <v>0</v>
      </c>
      <c r="AE240" s="185">
        <f t="shared" ca="1" si="100"/>
        <v>0</v>
      </c>
      <c r="AF240" s="185">
        <f t="shared" ca="1" si="100"/>
        <v>0</v>
      </c>
      <c r="AG240" s="185">
        <f t="shared" ca="1" si="100"/>
        <v>0</v>
      </c>
      <c r="AH240" s="185">
        <f t="shared" ca="1" si="100"/>
        <v>0</v>
      </c>
      <c r="AI240" s="185">
        <f t="shared" ca="1" si="100"/>
        <v>0</v>
      </c>
      <c r="AJ240" s="185">
        <f t="shared" ca="1" si="100"/>
        <v>0</v>
      </c>
      <c r="AK240" s="185">
        <f t="shared" ca="1" si="100"/>
        <v>0</v>
      </c>
      <c r="AL240" s="185">
        <f t="shared" ca="1" si="100"/>
        <v>0</v>
      </c>
      <c r="AM240" s="185">
        <f t="shared" ca="1" si="100"/>
        <v>0</v>
      </c>
      <c r="AN240" s="185">
        <f t="shared" ca="1" si="100"/>
        <v>0</v>
      </c>
      <c r="AO240" s="185">
        <f t="shared" ca="1" si="100"/>
        <v>0</v>
      </c>
      <c r="AP240" s="185">
        <f t="shared" ca="1" si="100"/>
        <v>0</v>
      </c>
      <c r="AQ240" s="185">
        <f t="shared" ca="1" si="100"/>
        <v>0</v>
      </c>
      <c r="AR240" s="185">
        <f t="shared" ca="1" si="100"/>
        <v>0</v>
      </c>
      <c r="AS240" s="185">
        <f t="shared" ca="1" si="100"/>
        <v>0</v>
      </c>
      <c r="AT240" s="185">
        <f t="shared" ca="1" si="100"/>
        <v>0</v>
      </c>
      <c r="AU240" s="185">
        <f t="shared" ca="1" si="100"/>
        <v>0</v>
      </c>
      <c r="AV240" s="185">
        <f t="shared" ca="1" si="100"/>
        <v>0</v>
      </c>
      <c r="AW240" s="185">
        <f t="shared" ca="1" si="100"/>
        <v>0</v>
      </c>
      <c r="AX240" s="185">
        <f t="shared" ca="1" si="100"/>
        <v>0</v>
      </c>
    </row>
    <row r="241" spans="1:50" ht="15" customHeight="1">
      <c r="A241" s="168"/>
      <c r="B241" s="181"/>
      <c r="C241" s="166"/>
      <c r="D241" s="182"/>
      <c r="E241" s="142" t="str">
        <f t="shared" si="96"/>
        <v>Operating costs, after ELT</v>
      </c>
      <c r="F241" s="168"/>
      <c r="G241" s="183" t="str">
        <f xml:space="preserve"> Translate!E$10</f>
        <v>US$ mn</v>
      </c>
      <c r="H241" s="183"/>
      <c r="I241" s="184">
        <f t="shared" ca="1" si="97"/>
        <v>1138.9661753294727</v>
      </c>
      <c r="J241" s="168"/>
      <c r="K241" s="185">
        <f t="shared" ref="K241:AX241" ca="1" si="101" xml:space="preserve"> K172 * K$230</f>
        <v>0</v>
      </c>
      <c r="L241" s="185">
        <f t="shared" ca="1" si="101"/>
        <v>0</v>
      </c>
      <c r="M241" s="185">
        <f t="shared" ca="1" si="101"/>
        <v>0</v>
      </c>
      <c r="N241" s="185">
        <f t="shared" ca="1" si="101"/>
        <v>0</v>
      </c>
      <c r="O241" s="185">
        <f t="shared" ca="1" si="101"/>
        <v>4.8709447199999998</v>
      </c>
      <c r="P241" s="185">
        <f t="shared" ca="1" si="101"/>
        <v>37.262727108</v>
      </c>
      <c r="Q241" s="185">
        <f t="shared" ca="1" si="101"/>
        <v>76.01596330032001</v>
      </c>
      <c r="R241" s="185">
        <f t="shared" ca="1" si="101"/>
        <v>77.536282566326406</v>
      </c>
      <c r="S241" s="185">
        <f t="shared" ca="1" si="101"/>
        <v>79.087008217652937</v>
      </c>
      <c r="T241" s="185">
        <f t="shared" ca="1" si="101"/>
        <v>80.668748382006001</v>
      </c>
      <c r="U241" s="185">
        <f t="shared" ca="1" si="101"/>
        <v>82.282123349646113</v>
      </c>
      <c r="V241" s="185">
        <f t="shared" ca="1" si="101"/>
        <v>83.927765816639038</v>
      </c>
      <c r="W241" s="185">
        <f t="shared" ca="1" si="101"/>
        <v>85.606321132971814</v>
      </c>
      <c r="X241" s="185">
        <f t="shared" ca="1" si="101"/>
        <v>87.318447555631252</v>
      </c>
      <c r="Y241" s="185">
        <f t="shared" ca="1" si="101"/>
        <v>89.064816506743881</v>
      </c>
      <c r="Z241" s="185">
        <f t="shared" ca="1" si="101"/>
        <v>90.846112836878774</v>
      </c>
      <c r="AA241" s="185">
        <f t="shared" ca="1" si="101"/>
        <v>77.219195911346958</v>
      </c>
      <c r="AB241" s="185">
        <f t="shared" ca="1" si="101"/>
        <v>63.010863863659118</v>
      </c>
      <c r="AC241" s="185">
        <f t="shared" ca="1" si="101"/>
        <v>48.203310855699229</v>
      </c>
      <c r="AD241" s="185">
        <f t="shared" ca="1" si="101"/>
        <v>42.611726796438113</v>
      </c>
      <c r="AE241" s="185">
        <f t="shared" ca="1" si="101"/>
        <v>33.433816409512986</v>
      </c>
      <c r="AF241" s="185">
        <f t="shared" ca="1" si="101"/>
        <v>0</v>
      </c>
      <c r="AG241" s="185">
        <f t="shared" ca="1" si="101"/>
        <v>0</v>
      </c>
      <c r="AH241" s="185">
        <f t="shared" ca="1" si="101"/>
        <v>0</v>
      </c>
      <c r="AI241" s="185">
        <f t="shared" ca="1" si="101"/>
        <v>0</v>
      </c>
      <c r="AJ241" s="185">
        <f t="shared" ca="1" si="101"/>
        <v>0</v>
      </c>
      <c r="AK241" s="185">
        <f t="shared" ca="1" si="101"/>
        <v>0</v>
      </c>
      <c r="AL241" s="185">
        <f t="shared" ca="1" si="101"/>
        <v>0</v>
      </c>
      <c r="AM241" s="185">
        <f t="shared" ca="1" si="101"/>
        <v>0</v>
      </c>
      <c r="AN241" s="185">
        <f t="shared" ca="1" si="101"/>
        <v>0</v>
      </c>
      <c r="AO241" s="185">
        <f t="shared" ca="1" si="101"/>
        <v>0</v>
      </c>
      <c r="AP241" s="185">
        <f t="shared" ca="1" si="101"/>
        <v>0</v>
      </c>
      <c r="AQ241" s="185">
        <f t="shared" ca="1" si="101"/>
        <v>0</v>
      </c>
      <c r="AR241" s="185">
        <f t="shared" ca="1" si="101"/>
        <v>0</v>
      </c>
      <c r="AS241" s="185">
        <f t="shared" ca="1" si="101"/>
        <v>0</v>
      </c>
      <c r="AT241" s="185">
        <f t="shared" ca="1" si="101"/>
        <v>0</v>
      </c>
      <c r="AU241" s="185">
        <f t="shared" ca="1" si="101"/>
        <v>0</v>
      </c>
      <c r="AV241" s="185">
        <f t="shared" ca="1" si="101"/>
        <v>0</v>
      </c>
      <c r="AW241" s="185">
        <f t="shared" ca="1" si="101"/>
        <v>0</v>
      </c>
      <c r="AX241" s="185">
        <f t="shared" ca="1" si="101"/>
        <v>0</v>
      </c>
    </row>
    <row r="242" spans="1:50" ht="15" customHeight="1">
      <c r="A242" s="168"/>
      <c r="B242" s="181"/>
      <c r="C242" s="166"/>
      <c r="D242" s="182"/>
      <c r="E242" s="142" t="str">
        <f t="shared" si="96"/>
        <v>Decommissioning costs, after ELT</v>
      </c>
      <c r="F242" s="168"/>
      <c r="G242" s="183" t="str">
        <f xml:space="preserve"> Translate!E$10</f>
        <v>US$ mn</v>
      </c>
      <c r="H242" s="183"/>
      <c r="I242" s="184">
        <f t="shared" ca="1" si="97"/>
        <v>30.313326877958442</v>
      </c>
      <c r="J242" s="168"/>
      <c r="K242" s="185">
        <f t="shared" ref="K242:AX242" ca="1" si="102" xml:space="preserve"> K173 * K$230</f>
        <v>0</v>
      </c>
      <c r="L242" s="185">
        <f t="shared" ca="1" si="102"/>
        <v>0</v>
      </c>
      <c r="M242" s="185">
        <f t="shared" ca="1" si="102"/>
        <v>0</v>
      </c>
      <c r="N242" s="185">
        <f t="shared" ca="1" si="102"/>
        <v>0</v>
      </c>
      <c r="O242" s="185">
        <f t="shared" ca="1" si="102"/>
        <v>0</v>
      </c>
      <c r="P242" s="185">
        <f t="shared" ca="1" si="102"/>
        <v>0</v>
      </c>
      <c r="Q242" s="185">
        <f t="shared" ca="1" si="102"/>
        <v>0</v>
      </c>
      <c r="R242" s="185">
        <f t="shared" ca="1" si="102"/>
        <v>0</v>
      </c>
      <c r="S242" s="185">
        <f t="shared" ca="1" si="102"/>
        <v>0</v>
      </c>
      <c r="T242" s="185">
        <f t="shared" ca="1" si="102"/>
        <v>0</v>
      </c>
      <c r="U242" s="185">
        <f t="shared" ca="1" si="102"/>
        <v>0</v>
      </c>
      <c r="V242" s="185">
        <f t="shared" ca="1" si="102"/>
        <v>0</v>
      </c>
      <c r="W242" s="185">
        <f t="shared" ca="1" si="102"/>
        <v>0</v>
      </c>
      <c r="X242" s="185">
        <f t="shared" ca="1" si="102"/>
        <v>0</v>
      </c>
      <c r="Y242" s="185">
        <f t="shared" ca="1" si="102"/>
        <v>0</v>
      </c>
      <c r="Z242" s="185">
        <f t="shared" ca="1" si="102"/>
        <v>0</v>
      </c>
      <c r="AA242" s="185">
        <f t="shared" ca="1" si="102"/>
        <v>0</v>
      </c>
      <c r="AB242" s="185">
        <f t="shared" ca="1" si="102"/>
        <v>0</v>
      </c>
      <c r="AC242" s="185">
        <f t="shared" ca="1" si="102"/>
        <v>0</v>
      </c>
      <c r="AD242" s="185">
        <f t="shared" ca="1" si="102"/>
        <v>0</v>
      </c>
      <c r="AE242" s="185">
        <f t="shared" ca="1" si="102"/>
        <v>0</v>
      </c>
      <c r="AF242" s="185">
        <f t="shared" ca="1" si="102"/>
        <v>30.313326877958442</v>
      </c>
      <c r="AG242" s="185">
        <f t="shared" ca="1" si="102"/>
        <v>0</v>
      </c>
      <c r="AH242" s="185">
        <f t="shared" ca="1" si="102"/>
        <v>0</v>
      </c>
      <c r="AI242" s="185">
        <f t="shared" ca="1" si="102"/>
        <v>0</v>
      </c>
      <c r="AJ242" s="185">
        <f t="shared" ca="1" si="102"/>
        <v>0</v>
      </c>
      <c r="AK242" s="185">
        <f t="shared" ca="1" si="102"/>
        <v>0</v>
      </c>
      <c r="AL242" s="185">
        <f t="shared" ca="1" si="102"/>
        <v>0</v>
      </c>
      <c r="AM242" s="185">
        <f t="shared" ca="1" si="102"/>
        <v>0</v>
      </c>
      <c r="AN242" s="185">
        <f t="shared" ca="1" si="102"/>
        <v>0</v>
      </c>
      <c r="AO242" s="185">
        <f t="shared" ca="1" si="102"/>
        <v>0</v>
      </c>
      <c r="AP242" s="185">
        <f t="shared" ca="1" si="102"/>
        <v>0</v>
      </c>
      <c r="AQ242" s="185">
        <f t="shared" ca="1" si="102"/>
        <v>0</v>
      </c>
      <c r="AR242" s="185">
        <f t="shared" ca="1" si="102"/>
        <v>0</v>
      </c>
      <c r="AS242" s="185">
        <f t="shared" ca="1" si="102"/>
        <v>0</v>
      </c>
      <c r="AT242" s="185">
        <f t="shared" ca="1" si="102"/>
        <v>0</v>
      </c>
      <c r="AU242" s="185">
        <f t="shared" ca="1" si="102"/>
        <v>0</v>
      </c>
      <c r="AV242" s="185">
        <f t="shared" ca="1" si="102"/>
        <v>0</v>
      </c>
      <c r="AW242" s="185">
        <f t="shared" ca="1" si="102"/>
        <v>0</v>
      </c>
      <c r="AX242" s="185">
        <f t="shared" ca="1" si="102"/>
        <v>0</v>
      </c>
    </row>
    <row r="243" spans="1:50" ht="15" customHeight="1">
      <c r="A243" s="168"/>
      <c r="B243" s="165"/>
      <c r="C243" s="166"/>
      <c r="D243" s="182"/>
      <c r="E243" s="142" t="str">
        <f t="shared" si="96"/>
        <v>Project costs, after ELT</v>
      </c>
      <c r="F243" s="168"/>
      <c r="G243" s="183" t="str">
        <f xml:space="preserve"> Translate!E$10</f>
        <v>US$ mn</v>
      </c>
      <c r="H243" s="183"/>
      <c r="I243" s="184">
        <f t="shared" ca="1" si="97"/>
        <v>1752.4242689244006</v>
      </c>
      <c r="J243" s="168"/>
      <c r="K243" s="185">
        <f ca="1">SUM(K238:K242)</f>
        <v>10</v>
      </c>
      <c r="L243" s="185">
        <f t="shared" ref="L243:AX243" ca="1" si="103">SUM(L238:L242)</f>
        <v>10.199999999999999</v>
      </c>
      <c r="M243" s="185">
        <f t="shared" ca="1" si="103"/>
        <v>10.404</v>
      </c>
      <c r="N243" s="185">
        <f t="shared" ca="1" si="103"/>
        <v>53.060399999999994</v>
      </c>
      <c r="O243" s="185">
        <f t="shared" ca="1" si="103"/>
        <v>275.47898472000003</v>
      </c>
      <c r="P243" s="185">
        <f t="shared" ca="1" si="103"/>
        <v>156.50345385360001</v>
      </c>
      <c r="Q243" s="185">
        <f t="shared" ca="1" si="103"/>
        <v>85.025262654432012</v>
      </c>
      <c r="R243" s="185">
        <f t="shared" ca="1" si="103"/>
        <v>86.725767907520648</v>
      </c>
      <c r="S243" s="185">
        <f t="shared" ca="1" si="103"/>
        <v>88.460283265671066</v>
      </c>
      <c r="T243" s="185">
        <f t="shared" ca="1" si="103"/>
        <v>90.229488930984488</v>
      </c>
      <c r="U243" s="185">
        <f t="shared" ca="1" si="103"/>
        <v>92.034078709604174</v>
      </c>
      <c r="V243" s="185">
        <f t="shared" ca="1" si="103"/>
        <v>93.874760283796263</v>
      </c>
      <c r="W243" s="185">
        <f t="shared" ca="1" si="103"/>
        <v>95.752255489472176</v>
      </c>
      <c r="X243" s="185">
        <f t="shared" ca="1" si="103"/>
        <v>97.667300599261623</v>
      </c>
      <c r="Y243" s="185">
        <f t="shared" ca="1" si="103"/>
        <v>99.620646611246855</v>
      </c>
      <c r="Z243" s="185">
        <f t="shared" ca="1" si="103"/>
        <v>101.61305954347182</v>
      </c>
      <c r="AA243" s="185">
        <f t="shared" ca="1" si="103"/>
        <v>88.201481552071854</v>
      </c>
      <c r="AB243" s="185">
        <f t="shared" ca="1" si="103"/>
        <v>63.010863863659118</v>
      </c>
      <c r="AC243" s="185">
        <f t="shared" ca="1" si="103"/>
        <v>48.203310855699229</v>
      </c>
      <c r="AD243" s="185">
        <f t="shared" ca="1" si="103"/>
        <v>42.611726796438113</v>
      </c>
      <c r="AE243" s="185">
        <f t="shared" ca="1" si="103"/>
        <v>33.433816409512986</v>
      </c>
      <c r="AF243" s="185">
        <f t="shared" ca="1" si="103"/>
        <v>30.313326877958442</v>
      </c>
      <c r="AG243" s="185">
        <f t="shared" ca="1" si="103"/>
        <v>0</v>
      </c>
      <c r="AH243" s="185">
        <f t="shared" ca="1" si="103"/>
        <v>0</v>
      </c>
      <c r="AI243" s="185">
        <f t="shared" ca="1" si="103"/>
        <v>0</v>
      </c>
      <c r="AJ243" s="185">
        <f t="shared" ca="1" si="103"/>
        <v>0</v>
      </c>
      <c r="AK243" s="185">
        <f t="shared" ca="1" si="103"/>
        <v>0</v>
      </c>
      <c r="AL243" s="185">
        <f t="shared" ca="1" si="103"/>
        <v>0</v>
      </c>
      <c r="AM243" s="185">
        <f t="shared" ca="1" si="103"/>
        <v>0</v>
      </c>
      <c r="AN243" s="185">
        <f t="shared" ca="1" si="103"/>
        <v>0</v>
      </c>
      <c r="AO243" s="185">
        <f t="shared" ca="1" si="103"/>
        <v>0</v>
      </c>
      <c r="AP243" s="185">
        <f t="shared" ca="1" si="103"/>
        <v>0</v>
      </c>
      <c r="AQ243" s="185">
        <f t="shared" ca="1" si="103"/>
        <v>0</v>
      </c>
      <c r="AR243" s="185">
        <f t="shared" ca="1" si="103"/>
        <v>0</v>
      </c>
      <c r="AS243" s="185">
        <f t="shared" ca="1" si="103"/>
        <v>0</v>
      </c>
      <c r="AT243" s="185">
        <f t="shared" ca="1" si="103"/>
        <v>0</v>
      </c>
      <c r="AU243" s="185">
        <f t="shared" ca="1" si="103"/>
        <v>0</v>
      </c>
      <c r="AV243" s="185">
        <f t="shared" ca="1" si="103"/>
        <v>0</v>
      </c>
      <c r="AW243" s="185">
        <f t="shared" ca="1" si="103"/>
        <v>0</v>
      </c>
      <c r="AX243" s="185">
        <f t="shared" ca="1" si="103"/>
        <v>0</v>
      </c>
    </row>
    <row r="244" spans="1:50" ht="15" customHeight="1">
      <c r="A244" s="73"/>
      <c r="B244" s="141"/>
      <c r="C244" s="75"/>
      <c r="D244" s="135"/>
      <c r="E244" s="41"/>
      <c r="F244" s="76"/>
      <c r="G244" s="12"/>
      <c r="H244" s="12"/>
      <c r="I244" s="85"/>
      <c r="J244" s="76"/>
      <c r="K244" s="187"/>
      <c r="L244" s="187"/>
      <c r="M244" s="187"/>
      <c r="N244" s="187"/>
      <c r="O244" s="187"/>
      <c r="P244" s="187"/>
      <c r="Q244" s="187"/>
      <c r="R244" s="187"/>
      <c r="S244" s="187"/>
      <c r="T244" s="187"/>
      <c r="U244" s="187"/>
      <c r="V244" s="187"/>
      <c r="W244" s="187"/>
      <c r="X244" s="187"/>
      <c r="Y244" s="187"/>
      <c r="Z244" s="187"/>
      <c r="AA244" s="187"/>
      <c r="AB244" s="187"/>
      <c r="AC244" s="187"/>
      <c r="AD244" s="187"/>
      <c r="AE244" s="187"/>
      <c r="AF244" s="187"/>
      <c r="AG244" s="187"/>
      <c r="AH244" s="187"/>
      <c r="AI244" s="187"/>
      <c r="AJ244" s="187"/>
      <c r="AK244" s="187"/>
      <c r="AL244" s="187"/>
      <c r="AM244" s="187"/>
      <c r="AN244" s="187"/>
      <c r="AO244" s="187"/>
      <c r="AP244" s="187"/>
      <c r="AQ244" s="187"/>
      <c r="AR244" s="187"/>
      <c r="AS244" s="187"/>
      <c r="AT244" s="187"/>
      <c r="AU244" s="187"/>
      <c r="AV244" s="187"/>
      <c r="AW244" s="187"/>
      <c r="AX244" s="187"/>
    </row>
    <row r="245" spans="1:50" ht="15" customHeight="1">
      <c r="A245" s="143"/>
      <c r="B245" s="188"/>
      <c r="C245" s="189"/>
      <c r="D245" s="182"/>
      <c r="E245" s="142" t="str">
        <f>Translate!$E$428</f>
        <v>Project cashflow before decommissioning fund</v>
      </c>
      <c r="F245" s="183"/>
      <c r="G245" s="184" t="str">
        <f xml:space="preserve"> Translate!E$10</f>
        <v>US$ mn</v>
      </c>
      <c r="H245" s="184"/>
      <c r="I245" s="184">
        <f ca="1" xml:space="preserve"> SUM(K245:AX245)</f>
        <v>1980.8537502110926</v>
      </c>
      <c r="J245" s="184"/>
      <c r="K245" s="184">
        <f t="shared" ref="K245:AX245" ca="1" si="104">K236-K243</f>
        <v>-10</v>
      </c>
      <c r="L245" s="184">
        <f t="shared" ca="1" si="104"/>
        <v>-10.199999999999999</v>
      </c>
      <c r="M245" s="184">
        <f t="shared" ca="1" si="104"/>
        <v>-10.404</v>
      </c>
      <c r="N245" s="184">
        <f t="shared" ca="1" si="104"/>
        <v>-53.060399999999994</v>
      </c>
      <c r="O245" s="184">
        <f t="shared" ca="1" si="104"/>
        <v>-259.51311036000004</v>
      </c>
      <c r="P245" s="184">
        <f t="shared" ca="1" si="104"/>
        <v>-34.364514999600004</v>
      </c>
      <c r="Q245" s="184">
        <f t="shared" ca="1" si="104"/>
        <v>164.138172607728</v>
      </c>
      <c r="R245" s="184">
        <f t="shared" ca="1" si="104"/>
        <v>167.42093605988254</v>
      </c>
      <c r="S245" s="184">
        <f t="shared" ca="1" si="104"/>
        <v>170.76935478108021</v>
      </c>
      <c r="T245" s="184">
        <f t="shared" ca="1" si="104"/>
        <v>174.18474187670188</v>
      </c>
      <c r="U245" s="184">
        <f t="shared" ca="1" si="104"/>
        <v>177.6684367142359</v>
      </c>
      <c r="V245" s="184">
        <f t="shared" ca="1" si="104"/>
        <v>181.22180544852057</v>
      </c>
      <c r="W245" s="184">
        <f t="shared" ca="1" si="104"/>
        <v>184.846241557491</v>
      </c>
      <c r="X245" s="184">
        <f t="shared" ca="1" si="104"/>
        <v>188.54316638864077</v>
      </c>
      <c r="Y245" s="184">
        <f t="shared" ca="1" si="104"/>
        <v>192.3140297164137</v>
      </c>
      <c r="Z245" s="184">
        <f t="shared" ca="1" si="104"/>
        <v>196.16031031074192</v>
      </c>
      <c r="AA245" s="184">
        <f t="shared" ca="1" si="104"/>
        <v>164.90588282400984</v>
      </c>
      <c r="AB245" s="184">
        <f t="shared" ca="1" si="104"/>
        <v>143.52474546722354</v>
      </c>
      <c r="AC245" s="184">
        <f t="shared" ca="1" si="104"/>
        <v>109.79643028242602</v>
      </c>
      <c r="AD245" s="184">
        <f t="shared" ca="1" si="104"/>
        <v>97.060044369664581</v>
      </c>
      <c r="AE245" s="184">
        <f t="shared" ca="1" si="104"/>
        <v>76.154804043890678</v>
      </c>
      <c r="AF245" s="184">
        <f t="shared" ca="1" si="104"/>
        <v>-30.313326877958442</v>
      </c>
      <c r="AG245" s="184">
        <f t="shared" ca="1" si="104"/>
        <v>0</v>
      </c>
      <c r="AH245" s="184">
        <f t="shared" ca="1" si="104"/>
        <v>0</v>
      </c>
      <c r="AI245" s="184">
        <f t="shared" ca="1" si="104"/>
        <v>0</v>
      </c>
      <c r="AJ245" s="184">
        <f t="shared" ca="1" si="104"/>
        <v>0</v>
      </c>
      <c r="AK245" s="184">
        <f t="shared" ca="1" si="104"/>
        <v>0</v>
      </c>
      <c r="AL245" s="184">
        <f t="shared" ca="1" si="104"/>
        <v>0</v>
      </c>
      <c r="AM245" s="184">
        <f t="shared" ca="1" si="104"/>
        <v>0</v>
      </c>
      <c r="AN245" s="184">
        <f t="shared" ca="1" si="104"/>
        <v>0</v>
      </c>
      <c r="AO245" s="184">
        <f t="shared" ca="1" si="104"/>
        <v>0</v>
      </c>
      <c r="AP245" s="184">
        <f t="shared" ca="1" si="104"/>
        <v>0</v>
      </c>
      <c r="AQ245" s="184">
        <f t="shared" ca="1" si="104"/>
        <v>0</v>
      </c>
      <c r="AR245" s="184">
        <f t="shared" ca="1" si="104"/>
        <v>0</v>
      </c>
      <c r="AS245" s="184">
        <f t="shared" ca="1" si="104"/>
        <v>0</v>
      </c>
      <c r="AT245" s="184">
        <f t="shared" ca="1" si="104"/>
        <v>0</v>
      </c>
      <c r="AU245" s="184">
        <f t="shared" ca="1" si="104"/>
        <v>0</v>
      </c>
      <c r="AV245" s="184">
        <f t="shared" ca="1" si="104"/>
        <v>0</v>
      </c>
      <c r="AW245" s="184">
        <f t="shared" ca="1" si="104"/>
        <v>0</v>
      </c>
      <c r="AX245" s="184">
        <f t="shared" ca="1" si="104"/>
        <v>0</v>
      </c>
    </row>
    <row r="246" spans="1:50" ht="15" customHeight="1">
      <c r="A246" s="73"/>
      <c r="B246" s="78"/>
      <c r="C246" s="75"/>
      <c r="D246" s="135"/>
      <c r="E246" s="45"/>
      <c r="F246" s="190"/>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85"/>
      <c r="AF246" s="85"/>
      <c r="AG246" s="85"/>
      <c r="AH246" s="85"/>
      <c r="AI246" s="85"/>
      <c r="AJ246" s="85"/>
      <c r="AK246" s="85"/>
      <c r="AL246" s="85"/>
      <c r="AM246" s="85"/>
      <c r="AN246" s="85"/>
      <c r="AO246" s="85"/>
      <c r="AP246" s="85"/>
      <c r="AQ246" s="85"/>
      <c r="AR246" s="85"/>
      <c r="AS246" s="85"/>
      <c r="AT246" s="85"/>
      <c r="AU246" s="85"/>
      <c r="AV246" s="85"/>
      <c r="AW246" s="85"/>
      <c r="AX246" s="85"/>
    </row>
    <row r="247" spans="1:50" ht="15" customHeight="1">
      <c r="A247" s="73"/>
      <c r="B247" s="172" t="str">
        <f>Translate!$E$429</f>
        <v>Project benefits</v>
      </c>
      <c r="C247" s="92"/>
      <c r="D247" s="135"/>
      <c r="E247" s="45"/>
      <c r="F247" s="190"/>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85"/>
      <c r="AG247" s="85"/>
      <c r="AH247" s="85"/>
      <c r="AI247" s="85"/>
      <c r="AJ247" s="85"/>
      <c r="AK247" s="85"/>
      <c r="AL247" s="85"/>
      <c r="AM247" s="85"/>
      <c r="AN247" s="85"/>
      <c r="AO247" s="85"/>
      <c r="AP247" s="85"/>
      <c r="AQ247" s="85"/>
      <c r="AR247" s="85"/>
      <c r="AS247" s="85"/>
      <c r="AT247" s="85"/>
      <c r="AU247" s="85"/>
      <c r="AV247" s="85"/>
      <c r="AW247" s="85"/>
      <c r="AX247" s="85"/>
    </row>
    <row r="248" spans="1:50" ht="15" customHeight="1">
      <c r="A248" s="73"/>
      <c r="B248" s="78"/>
      <c r="C248" s="75"/>
      <c r="D248" s="135"/>
      <c r="E248" s="45" t="str">
        <f t="shared" ref="E248:AX248" si="105" xml:space="preserve"> E$236</f>
        <v>Sales revenues: net, after ELT</v>
      </c>
      <c r="F248" s="45">
        <f t="shared" si="105"/>
        <v>0</v>
      </c>
      <c r="G248" s="45" t="str">
        <f t="shared" si="105"/>
        <v>US$ mn</v>
      </c>
      <c r="H248" s="45">
        <f t="shared" si="105"/>
        <v>0</v>
      </c>
      <c r="I248" s="45">
        <f t="shared" ca="1" si="105"/>
        <v>3733.2780191354932</v>
      </c>
      <c r="J248" s="45">
        <f t="shared" si="105"/>
        <v>0</v>
      </c>
      <c r="K248" s="45">
        <f t="shared" ca="1" si="105"/>
        <v>0</v>
      </c>
      <c r="L248" s="45">
        <f t="shared" ca="1" si="105"/>
        <v>0</v>
      </c>
      <c r="M248" s="45">
        <f t="shared" ca="1" si="105"/>
        <v>0</v>
      </c>
      <c r="N248" s="45">
        <f t="shared" ca="1" si="105"/>
        <v>0</v>
      </c>
      <c r="O248" s="45">
        <f t="shared" ca="1" si="105"/>
        <v>15.965874359999999</v>
      </c>
      <c r="P248" s="45">
        <f t="shared" ca="1" si="105"/>
        <v>122.138938854</v>
      </c>
      <c r="Q248" s="45">
        <f t="shared" ca="1" si="105"/>
        <v>249.16343526216002</v>
      </c>
      <c r="R248" s="45">
        <f t="shared" ca="1" si="105"/>
        <v>254.14670396740317</v>
      </c>
      <c r="S248" s="45">
        <f t="shared" ca="1" si="105"/>
        <v>259.22963804675129</v>
      </c>
      <c r="T248" s="45">
        <f t="shared" ca="1" si="105"/>
        <v>264.41423080768635</v>
      </c>
      <c r="U248" s="45">
        <f t="shared" ca="1" si="105"/>
        <v>269.70251542384005</v>
      </c>
      <c r="V248" s="45">
        <f t="shared" ca="1" si="105"/>
        <v>275.09656573231683</v>
      </c>
      <c r="W248" s="45">
        <f t="shared" ca="1" si="105"/>
        <v>280.59849704696319</v>
      </c>
      <c r="X248" s="45">
        <f t="shared" ca="1" si="105"/>
        <v>286.21046698790241</v>
      </c>
      <c r="Y248" s="45">
        <f t="shared" ca="1" si="105"/>
        <v>291.93467632766055</v>
      </c>
      <c r="Z248" s="45">
        <f t="shared" ca="1" si="105"/>
        <v>297.77336985421374</v>
      </c>
      <c r="AA248" s="45">
        <f t="shared" ca="1" si="105"/>
        <v>253.1073643760817</v>
      </c>
      <c r="AB248" s="45">
        <f t="shared" ca="1" si="105"/>
        <v>206.53560933088266</v>
      </c>
      <c r="AC248" s="45">
        <f t="shared" ca="1" si="105"/>
        <v>157.99974113812524</v>
      </c>
      <c r="AD248" s="45">
        <f t="shared" ca="1" si="105"/>
        <v>139.6717711661027</v>
      </c>
      <c r="AE248" s="45">
        <f t="shared" ca="1" si="105"/>
        <v>109.58862045340366</v>
      </c>
      <c r="AF248" s="45">
        <f t="shared" ca="1" si="105"/>
        <v>0</v>
      </c>
      <c r="AG248" s="45">
        <f t="shared" ca="1" si="105"/>
        <v>0</v>
      </c>
      <c r="AH248" s="45">
        <f t="shared" ca="1" si="105"/>
        <v>0</v>
      </c>
      <c r="AI248" s="45">
        <f t="shared" ca="1" si="105"/>
        <v>0</v>
      </c>
      <c r="AJ248" s="45">
        <f t="shared" ca="1" si="105"/>
        <v>0</v>
      </c>
      <c r="AK248" s="45">
        <f t="shared" ca="1" si="105"/>
        <v>0</v>
      </c>
      <c r="AL248" s="45">
        <f t="shared" ca="1" si="105"/>
        <v>0</v>
      </c>
      <c r="AM248" s="45">
        <f t="shared" ca="1" si="105"/>
        <v>0</v>
      </c>
      <c r="AN248" s="45">
        <f t="shared" ca="1" si="105"/>
        <v>0</v>
      </c>
      <c r="AO248" s="45">
        <f t="shared" ca="1" si="105"/>
        <v>0</v>
      </c>
      <c r="AP248" s="45">
        <f t="shared" ca="1" si="105"/>
        <v>0</v>
      </c>
      <c r="AQ248" s="45">
        <f t="shared" ca="1" si="105"/>
        <v>0</v>
      </c>
      <c r="AR248" s="45">
        <f t="shared" ca="1" si="105"/>
        <v>0</v>
      </c>
      <c r="AS248" s="45">
        <f t="shared" ca="1" si="105"/>
        <v>0</v>
      </c>
      <c r="AT248" s="45">
        <f t="shared" ca="1" si="105"/>
        <v>0</v>
      </c>
      <c r="AU248" s="45">
        <f t="shared" ca="1" si="105"/>
        <v>0</v>
      </c>
      <c r="AV248" s="45">
        <f t="shared" ca="1" si="105"/>
        <v>0</v>
      </c>
      <c r="AW248" s="45">
        <f t="shared" ca="1" si="105"/>
        <v>0</v>
      </c>
      <c r="AX248" s="45">
        <f t="shared" ca="1" si="105"/>
        <v>0</v>
      </c>
    </row>
    <row r="249" spans="1:50" ht="15" customHeight="1">
      <c r="A249" s="73"/>
      <c r="B249" s="78"/>
      <c r="C249" s="75"/>
      <c r="D249" s="135" t="str">
        <f>Translate!$E$606</f>
        <v>less</v>
      </c>
      <c r="E249" s="45" t="str">
        <f t="shared" ref="E249:AX249" si="106" xml:space="preserve"> E$240</f>
        <v>Replacement capital costs, after ELT</v>
      </c>
      <c r="F249" s="45">
        <f t="shared" si="106"/>
        <v>0</v>
      </c>
      <c r="G249" s="45" t="str">
        <f t="shared" si="106"/>
        <v>US$ mn</v>
      </c>
      <c r="H249" s="45">
        <f t="shared" si="106"/>
        <v>0</v>
      </c>
      <c r="I249" s="45">
        <f t="shared" ca="1" si="106"/>
        <v>118.46424639696978</v>
      </c>
      <c r="J249" s="45">
        <f t="shared" si="106"/>
        <v>0</v>
      </c>
      <c r="K249" s="45">
        <f t="shared" ca="1" si="106"/>
        <v>0</v>
      </c>
      <c r="L249" s="45">
        <f t="shared" ca="1" si="106"/>
        <v>0</v>
      </c>
      <c r="M249" s="45">
        <f t="shared" ca="1" si="106"/>
        <v>0</v>
      </c>
      <c r="N249" s="45">
        <f t="shared" ca="1" si="106"/>
        <v>0</v>
      </c>
      <c r="O249" s="45">
        <f t="shared" ca="1" si="106"/>
        <v>0</v>
      </c>
      <c r="P249" s="45">
        <f t="shared" ca="1" si="106"/>
        <v>8.8326464256000001</v>
      </c>
      <c r="Q249" s="45">
        <f t="shared" ca="1" si="106"/>
        <v>9.0092993541120006</v>
      </c>
      <c r="R249" s="45">
        <f t="shared" ca="1" si="106"/>
        <v>9.1894853411942403</v>
      </c>
      <c r="S249" s="45">
        <f t="shared" ca="1" si="106"/>
        <v>9.3732750480181259</v>
      </c>
      <c r="T249" s="45">
        <f t="shared" ca="1" si="106"/>
        <v>9.5607405489784885</v>
      </c>
      <c r="U249" s="45">
        <f t="shared" ca="1" si="106"/>
        <v>9.7519553599580586</v>
      </c>
      <c r="V249" s="45">
        <f t="shared" ca="1" si="106"/>
        <v>9.9469944671572197</v>
      </c>
      <c r="W249" s="45">
        <f t="shared" ca="1" si="106"/>
        <v>10.145934356500364</v>
      </c>
      <c r="X249" s="45">
        <f t="shared" ca="1" si="106"/>
        <v>10.348853043630371</v>
      </c>
      <c r="Y249" s="45">
        <f t="shared" ca="1" si="106"/>
        <v>10.555830104502979</v>
      </c>
      <c r="Z249" s="45">
        <f t="shared" ca="1" si="106"/>
        <v>10.766946706593039</v>
      </c>
      <c r="AA249" s="45">
        <f t="shared" ca="1" si="106"/>
        <v>10.9822856407249</v>
      </c>
      <c r="AB249" s="45">
        <f t="shared" ca="1" si="106"/>
        <v>0</v>
      </c>
      <c r="AC249" s="45">
        <f t="shared" ca="1" si="106"/>
        <v>0</v>
      </c>
      <c r="AD249" s="45">
        <f t="shared" ca="1" si="106"/>
        <v>0</v>
      </c>
      <c r="AE249" s="45">
        <f t="shared" ca="1" si="106"/>
        <v>0</v>
      </c>
      <c r="AF249" s="45">
        <f t="shared" ca="1" si="106"/>
        <v>0</v>
      </c>
      <c r="AG249" s="45">
        <f t="shared" ca="1" si="106"/>
        <v>0</v>
      </c>
      <c r="AH249" s="45">
        <f t="shared" ca="1" si="106"/>
        <v>0</v>
      </c>
      <c r="AI249" s="45">
        <f t="shared" ca="1" si="106"/>
        <v>0</v>
      </c>
      <c r="AJ249" s="45">
        <f t="shared" ca="1" si="106"/>
        <v>0</v>
      </c>
      <c r="AK249" s="45">
        <f t="shared" ca="1" si="106"/>
        <v>0</v>
      </c>
      <c r="AL249" s="45">
        <f t="shared" ca="1" si="106"/>
        <v>0</v>
      </c>
      <c r="AM249" s="45">
        <f t="shared" ca="1" si="106"/>
        <v>0</v>
      </c>
      <c r="AN249" s="45">
        <f t="shared" ca="1" si="106"/>
        <v>0</v>
      </c>
      <c r="AO249" s="45">
        <f t="shared" ca="1" si="106"/>
        <v>0</v>
      </c>
      <c r="AP249" s="45">
        <f t="shared" ca="1" si="106"/>
        <v>0</v>
      </c>
      <c r="AQ249" s="45">
        <f t="shared" ca="1" si="106"/>
        <v>0</v>
      </c>
      <c r="AR249" s="45">
        <f t="shared" ca="1" si="106"/>
        <v>0</v>
      </c>
      <c r="AS249" s="45">
        <f t="shared" ca="1" si="106"/>
        <v>0</v>
      </c>
      <c r="AT249" s="45">
        <f t="shared" ca="1" si="106"/>
        <v>0</v>
      </c>
      <c r="AU249" s="45">
        <f t="shared" ca="1" si="106"/>
        <v>0</v>
      </c>
      <c r="AV249" s="45">
        <f t="shared" ca="1" si="106"/>
        <v>0</v>
      </c>
      <c r="AW249" s="45">
        <f t="shared" ca="1" si="106"/>
        <v>0</v>
      </c>
      <c r="AX249" s="45">
        <f t="shared" ca="1" si="106"/>
        <v>0</v>
      </c>
    </row>
    <row r="250" spans="1:50" ht="15" customHeight="1">
      <c r="A250" s="73"/>
      <c r="B250" s="78"/>
      <c r="C250" s="75"/>
      <c r="D250" s="135" t="str">
        <f>Translate!$E$606</f>
        <v>less</v>
      </c>
      <c r="E250" s="45" t="str">
        <f t="shared" ref="E250:AX250" si="107" xml:space="preserve"> E$241</f>
        <v>Operating costs, after ELT</v>
      </c>
      <c r="F250" s="45">
        <f t="shared" si="107"/>
        <v>0</v>
      </c>
      <c r="G250" s="45" t="str">
        <f t="shared" si="107"/>
        <v>US$ mn</v>
      </c>
      <c r="H250" s="45">
        <f t="shared" si="107"/>
        <v>0</v>
      </c>
      <c r="I250" s="45">
        <f t="shared" ca="1" si="107"/>
        <v>1138.9661753294727</v>
      </c>
      <c r="J250" s="45">
        <f t="shared" si="107"/>
        <v>0</v>
      </c>
      <c r="K250" s="45">
        <f t="shared" ca="1" si="107"/>
        <v>0</v>
      </c>
      <c r="L250" s="45">
        <f t="shared" ca="1" si="107"/>
        <v>0</v>
      </c>
      <c r="M250" s="45">
        <f t="shared" ca="1" si="107"/>
        <v>0</v>
      </c>
      <c r="N250" s="45">
        <f t="shared" ca="1" si="107"/>
        <v>0</v>
      </c>
      <c r="O250" s="45">
        <f t="shared" ca="1" si="107"/>
        <v>4.8709447199999998</v>
      </c>
      <c r="P250" s="45">
        <f t="shared" ca="1" si="107"/>
        <v>37.262727108</v>
      </c>
      <c r="Q250" s="45">
        <f t="shared" ca="1" si="107"/>
        <v>76.01596330032001</v>
      </c>
      <c r="R250" s="45">
        <f t="shared" ca="1" si="107"/>
        <v>77.536282566326406</v>
      </c>
      <c r="S250" s="45">
        <f t="shared" ca="1" si="107"/>
        <v>79.087008217652937</v>
      </c>
      <c r="T250" s="45">
        <f t="shared" ca="1" si="107"/>
        <v>80.668748382006001</v>
      </c>
      <c r="U250" s="45">
        <f t="shared" ca="1" si="107"/>
        <v>82.282123349646113</v>
      </c>
      <c r="V250" s="45">
        <f t="shared" ca="1" si="107"/>
        <v>83.927765816639038</v>
      </c>
      <c r="W250" s="45">
        <f t="shared" ca="1" si="107"/>
        <v>85.606321132971814</v>
      </c>
      <c r="X250" s="45">
        <f t="shared" ca="1" si="107"/>
        <v>87.318447555631252</v>
      </c>
      <c r="Y250" s="45">
        <f t="shared" ca="1" si="107"/>
        <v>89.064816506743881</v>
      </c>
      <c r="Z250" s="45">
        <f t="shared" ca="1" si="107"/>
        <v>90.846112836878774</v>
      </c>
      <c r="AA250" s="45">
        <f t="shared" ca="1" si="107"/>
        <v>77.219195911346958</v>
      </c>
      <c r="AB250" s="45">
        <f t="shared" ca="1" si="107"/>
        <v>63.010863863659118</v>
      </c>
      <c r="AC250" s="45">
        <f t="shared" ca="1" si="107"/>
        <v>48.203310855699229</v>
      </c>
      <c r="AD250" s="45">
        <f t="shared" ca="1" si="107"/>
        <v>42.611726796438113</v>
      </c>
      <c r="AE250" s="45">
        <f t="shared" ca="1" si="107"/>
        <v>33.433816409512986</v>
      </c>
      <c r="AF250" s="45">
        <f t="shared" ca="1" si="107"/>
        <v>0</v>
      </c>
      <c r="AG250" s="45">
        <f t="shared" ca="1" si="107"/>
        <v>0</v>
      </c>
      <c r="AH250" s="45">
        <f t="shared" ca="1" si="107"/>
        <v>0</v>
      </c>
      <c r="AI250" s="45">
        <f t="shared" ca="1" si="107"/>
        <v>0</v>
      </c>
      <c r="AJ250" s="45">
        <f t="shared" ca="1" si="107"/>
        <v>0</v>
      </c>
      <c r="AK250" s="45">
        <f t="shared" ca="1" si="107"/>
        <v>0</v>
      </c>
      <c r="AL250" s="45">
        <f t="shared" ca="1" si="107"/>
        <v>0</v>
      </c>
      <c r="AM250" s="45">
        <f t="shared" ca="1" si="107"/>
        <v>0</v>
      </c>
      <c r="AN250" s="45">
        <f t="shared" ca="1" si="107"/>
        <v>0</v>
      </c>
      <c r="AO250" s="45">
        <f t="shared" ca="1" si="107"/>
        <v>0</v>
      </c>
      <c r="AP250" s="45">
        <f t="shared" ca="1" si="107"/>
        <v>0</v>
      </c>
      <c r="AQ250" s="45">
        <f t="shared" ca="1" si="107"/>
        <v>0</v>
      </c>
      <c r="AR250" s="45">
        <f t="shared" ca="1" si="107"/>
        <v>0</v>
      </c>
      <c r="AS250" s="45">
        <f t="shared" ca="1" si="107"/>
        <v>0</v>
      </c>
      <c r="AT250" s="45">
        <f t="shared" ca="1" si="107"/>
        <v>0</v>
      </c>
      <c r="AU250" s="45">
        <f t="shared" ca="1" si="107"/>
        <v>0</v>
      </c>
      <c r="AV250" s="45">
        <f t="shared" ca="1" si="107"/>
        <v>0</v>
      </c>
      <c r="AW250" s="45">
        <f t="shared" ca="1" si="107"/>
        <v>0</v>
      </c>
      <c r="AX250" s="45">
        <f t="shared" ca="1" si="107"/>
        <v>0</v>
      </c>
    </row>
    <row r="251" spans="1:50" ht="15" customHeight="1">
      <c r="A251" s="73"/>
      <c r="B251" s="78"/>
      <c r="C251" s="75"/>
      <c r="D251" s="135" t="str">
        <f>Translate!$E$606</f>
        <v>less</v>
      </c>
      <c r="E251" s="45" t="str">
        <f t="shared" ref="E251:AX251" si="108" xml:space="preserve"> E$242</f>
        <v>Decommissioning costs, after ELT</v>
      </c>
      <c r="F251" s="45">
        <f t="shared" si="108"/>
        <v>0</v>
      </c>
      <c r="G251" s="45" t="str">
        <f t="shared" si="108"/>
        <v>US$ mn</v>
      </c>
      <c r="H251" s="45">
        <f t="shared" si="108"/>
        <v>0</v>
      </c>
      <c r="I251" s="45">
        <f t="shared" ca="1" si="108"/>
        <v>30.313326877958442</v>
      </c>
      <c r="J251" s="45">
        <f t="shared" si="108"/>
        <v>0</v>
      </c>
      <c r="K251" s="45">
        <f t="shared" ca="1" si="108"/>
        <v>0</v>
      </c>
      <c r="L251" s="45">
        <f t="shared" ca="1" si="108"/>
        <v>0</v>
      </c>
      <c r="M251" s="45">
        <f t="shared" ca="1" si="108"/>
        <v>0</v>
      </c>
      <c r="N251" s="45">
        <f t="shared" ca="1" si="108"/>
        <v>0</v>
      </c>
      <c r="O251" s="45">
        <f t="shared" ca="1" si="108"/>
        <v>0</v>
      </c>
      <c r="P251" s="45">
        <f t="shared" ca="1" si="108"/>
        <v>0</v>
      </c>
      <c r="Q251" s="45">
        <f t="shared" ca="1" si="108"/>
        <v>0</v>
      </c>
      <c r="R251" s="45">
        <f t="shared" ca="1" si="108"/>
        <v>0</v>
      </c>
      <c r="S251" s="45">
        <f t="shared" ca="1" si="108"/>
        <v>0</v>
      </c>
      <c r="T251" s="45">
        <f t="shared" ca="1" si="108"/>
        <v>0</v>
      </c>
      <c r="U251" s="45">
        <f t="shared" ca="1" si="108"/>
        <v>0</v>
      </c>
      <c r="V251" s="45">
        <f t="shared" ca="1" si="108"/>
        <v>0</v>
      </c>
      <c r="W251" s="45">
        <f t="shared" ca="1" si="108"/>
        <v>0</v>
      </c>
      <c r="X251" s="45">
        <f t="shared" ca="1" si="108"/>
        <v>0</v>
      </c>
      <c r="Y251" s="45">
        <f t="shared" ca="1" si="108"/>
        <v>0</v>
      </c>
      <c r="Z251" s="45">
        <f t="shared" ca="1" si="108"/>
        <v>0</v>
      </c>
      <c r="AA251" s="45">
        <f t="shared" ca="1" si="108"/>
        <v>0</v>
      </c>
      <c r="AB251" s="45">
        <f t="shared" ca="1" si="108"/>
        <v>0</v>
      </c>
      <c r="AC251" s="45">
        <f t="shared" ca="1" si="108"/>
        <v>0</v>
      </c>
      <c r="AD251" s="45">
        <f t="shared" ca="1" si="108"/>
        <v>0</v>
      </c>
      <c r="AE251" s="45">
        <f t="shared" ca="1" si="108"/>
        <v>0</v>
      </c>
      <c r="AF251" s="45">
        <f t="shared" ca="1" si="108"/>
        <v>30.313326877958442</v>
      </c>
      <c r="AG251" s="45">
        <f t="shared" ca="1" si="108"/>
        <v>0</v>
      </c>
      <c r="AH251" s="45">
        <f t="shared" ca="1" si="108"/>
        <v>0</v>
      </c>
      <c r="AI251" s="45">
        <f t="shared" ca="1" si="108"/>
        <v>0</v>
      </c>
      <c r="AJ251" s="45">
        <f t="shared" ca="1" si="108"/>
        <v>0</v>
      </c>
      <c r="AK251" s="45">
        <f t="shared" ca="1" si="108"/>
        <v>0</v>
      </c>
      <c r="AL251" s="45">
        <f t="shared" ca="1" si="108"/>
        <v>0</v>
      </c>
      <c r="AM251" s="45">
        <f t="shared" ca="1" si="108"/>
        <v>0</v>
      </c>
      <c r="AN251" s="45">
        <f t="shared" ca="1" si="108"/>
        <v>0</v>
      </c>
      <c r="AO251" s="45">
        <f t="shared" ca="1" si="108"/>
        <v>0</v>
      </c>
      <c r="AP251" s="45">
        <f t="shared" ca="1" si="108"/>
        <v>0</v>
      </c>
      <c r="AQ251" s="45">
        <f t="shared" ca="1" si="108"/>
        <v>0</v>
      </c>
      <c r="AR251" s="45">
        <f t="shared" ca="1" si="108"/>
        <v>0</v>
      </c>
      <c r="AS251" s="45">
        <f t="shared" ca="1" si="108"/>
        <v>0</v>
      </c>
      <c r="AT251" s="45">
        <f t="shared" ca="1" si="108"/>
        <v>0</v>
      </c>
      <c r="AU251" s="45">
        <f t="shared" ca="1" si="108"/>
        <v>0</v>
      </c>
      <c r="AV251" s="45">
        <f t="shared" ca="1" si="108"/>
        <v>0</v>
      </c>
      <c r="AW251" s="45">
        <f t="shared" ca="1" si="108"/>
        <v>0</v>
      </c>
      <c r="AX251" s="45">
        <f t="shared" ca="1" si="108"/>
        <v>0</v>
      </c>
    </row>
    <row r="252" spans="1:50" ht="15" customHeight="1">
      <c r="A252" s="168"/>
      <c r="B252" s="181"/>
      <c r="C252" s="166"/>
      <c r="D252" s="182"/>
      <c r="E252" s="142" t="str">
        <f>Translate!$E$429</f>
        <v>Project benefits</v>
      </c>
      <c r="F252" s="183"/>
      <c r="G252" s="184" t="str">
        <f xml:space="preserve"> Translate!E$10</f>
        <v>US$ mn</v>
      </c>
      <c r="H252" s="143" t="str">
        <f xml:space="preserve"> Translate!E$625</f>
        <v>cashflows excluding exploration &amp; development costs</v>
      </c>
      <c r="I252" s="184">
        <f ca="1" xml:space="preserve"> SUM(K252:AX252)</f>
        <v>2445.5342705310932</v>
      </c>
      <c r="J252" s="184"/>
      <c r="K252" s="184">
        <f t="shared" ref="K252:AX252" ca="1" si="109" xml:space="preserve"> K248 - K249 - K250 - K251</f>
        <v>0</v>
      </c>
      <c r="L252" s="184">
        <f t="shared" ca="1" si="109"/>
        <v>0</v>
      </c>
      <c r="M252" s="184">
        <f t="shared" ca="1" si="109"/>
        <v>0</v>
      </c>
      <c r="N252" s="184">
        <f t="shared" ca="1" si="109"/>
        <v>0</v>
      </c>
      <c r="O252" s="184">
        <f t="shared" ca="1" si="109"/>
        <v>11.09492964</v>
      </c>
      <c r="P252" s="184">
        <f t="shared" ca="1" si="109"/>
        <v>76.043565320400006</v>
      </c>
      <c r="Q252" s="184">
        <f t="shared" ca="1" si="109"/>
        <v>164.13817260772802</v>
      </c>
      <c r="R252" s="184">
        <f t="shared" ca="1" si="109"/>
        <v>167.42093605988254</v>
      </c>
      <c r="S252" s="184">
        <f t="shared" ca="1" si="109"/>
        <v>170.76935478108024</v>
      </c>
      <c r="T252" s="184">
        <f t="shared" ca="1" si="109"/>
        <v>174.18474187670188</v>
      </c>
      <c r="U252" s="184">
        <f t="shared" ca="1" si="109"/>
        <v>177.6684367142359</v>
      </c>
      <c r="V252" s="184">
        <f t="shared" ca="1" si="109"/>
        <v>181.2218054485206</v>
      </c>
      <c r="W252" s="184">
        <f t="shared" ca="1" si="109"/>
        <v>184.846241557491</v>
      </c>
      <c r="X252" s="184">
        <f t="shared" ca="1" si="109"/>
        <v>188.5431663886408</v>
      </c>
      <c r="Y252" s="184">
        <f t="shared" ca="1" si="109"/>
        <v>192.31402971641367</v>
      </c>
      <c r="Z252" s="184">
        <f t="shared" ca="1" si="109"/>
        <v>196.16031031074192</v>
      </c>
      <c r="AA252" s="184">
        <f t="shared" ca="1" si="109"/>
        <v>164.90588282400984</v>
      </c>
      <c r="AB252" s="184">
        <f t="shared" ca="1" si="109"/>
        <v>143.52474546722354</v>
      </c>
      <c r="AC252" s="184">
        <f t="shared" ca="1" si="109"/>
        <v>109.79643028242602</v>
      </c>
      <c r="AD252" s="184">
        <f t="shared" ca="1" si="109"/>
        <v>97.060044369664581</v>
      </c>
      <c r="AE252" s="184">
        <f t="shared" ca="1" si="109"/>
        <v>76.154804043890678</v>
      </c>
      <c r="AF252" s="184">
        <f t="shared" ca="1" si="109"/>
        <v>-30.313326877958442</v>
      </c>
      <c r="AG252" s="184">
        <f t="shared" ca="1" si="109"/>
        <v>0</v>
      </c>
      <c r="AH252" s="184">
        <f t="shared" ca="1" si="109"/>
        <v>0</v>
      </c>
      <c r="AI252" s="184">
        <f t="shared" ca="1" si="109"/>
        <v>0</v>
      </c>
      <c r="AJ252" s="184">
        <f t="shared" ca="1" si="109"/>
        <v>0</v>
      </c>
      <c r="AK252" s="184">
        <f t="shared" ca="1" si="109"/>
        <v>0</v>
      </c>
      <c r="AL252" s="184">
        <f t="shared" ca="1" si="109"/>
        <v>0</v>
      </c>
      <c r="AM252" s="184">
        <f t="shared" ca="1" si="109"/>
        <v>0</v>
      </c>
      <c r="AN252" s="184">
        <f t="shared" ca="1" si="109"/>
        <v>0</v>
      </c>
      <c r="AO252" s="184">
        <f t="shared" ca="1" si="109"/>
        <v>0</v>
      </c>
      <c r="AP252" s="184">
        <f t="shared" ca="1" si="109"/>
        <v>0</v>
      </c>
      <c r="AQ252" s="184">
        <f t="shared" ca="1" si="109"/>
        <v>0</v>
      </c>
      <c r="AR252" s="184">
        <f t="shared" ca="1" si="109"/>
        <v>0</v>
      </c>
      <c r="AS252" s="184">
        <f t="shared" ca="1" si="109"/>
        <v>0</v>
      </c>
      <c r="AT252" s="184">
        <f t="shared" ca="1" si="109"/>
        <v>0</v>
      </c>
      <c r="AU252" s="184">
        <f t="shared" ca="1" si="109"/>
        <v>0</v>
      </c>
      <c r="AV252" s="184">
        <f t="shared" ca="1" si="109"/>
        <v>0</v>
      </c>
      <c r="AW252" s="184">
        <f t="shared" ca="1" si="109"/>
        <v>0</v>
      </c>
      <c r="AX252" s="184">
        <f t="shared" ca="1" si="109"/>
        <v>0</v>
      </c>
    </row>
    <row r="253" spans="1:50" ht="15" customHeight="1">
      <c r="A253" s="90"/>
      <c r="B253" s="141"/>
      <c r="C253" s="75"/>
      <c r="D253" s="135"/>
      <c r="E253" s="45"/>
      <c r="F253" s="46"/>
      <c r="G253" s="76"/>
      <c r="H253" s="76"/>
      <c r="I253" s="191"/>
      <c r="J253" s="46"/>
      <c r="K253" s="145"/>
      <c r="L253" s="145"/>
      <c r="M253" s="145"/>
      <c r="N253" s="145"/>
      <c r="O253" s="145"/>
      <c r="P253" s="145"/>
      <c r="Q253" s="145"/>
      <c r="R253" s="145"/>
      <c r="S253" s="145"/>
      <c r="T253" s="145"/>
      <c r="U253" s="145"/>
      <c r="V253" s="145"/>
      <c r="W253" s="145"/>
      <c r="X253" s="145"/>
      <c r="Y253" s="145"/>
      <c r="Z253" s="145"/>
      <c r="AA253" s="145"/>
      <c r="AB253" s="145"/>
      <c r="AC253" s="145"/>
      <c r="AD253" s="145"/>
      <c r="AE253" s="145"/>
      <c r="AF253" s="145"/>
      <c r="AG253" s="145"/>
      <c r="AH253" s="145"/>
      <c r="AI253" s="145"/>
      <c r="AJ253" s="145"/>
      <c r="AK253" s="145"/>
      <c r="AL253" s="145"/>
      <c r="AM253" s="145"/>
      <c r="AN253" s="145"/>
      <c r="AO253" s="145"/>
      <c r="AP253" s="145"/>
      <c r="AQ253" s="145"/>
      <c r="AR253" s="145"/>
      <c r="AS253" s="145"/>
      <c r="AT253" s="145"/>
      <c r="AU253" s="145"/>
      <c r="AV253" s="145"/>
      <c r="AW253" s="145"/>
      <c r="AX253" s="145"/>
    </row>
    <row r="254" spans="1:50" ht="15" customHeight="1">
      <c r="A254" s="90"/>
      <c r="B254" s="172" t="str">
        <f xml:space="preserve"> Translate!E$15 &amp; ": " &amp;  Translate!$E$19</f>
        <v>Project cashflows: Total</v>
      </c>
      <c r="C254" s="75"/>
      <c r="D254" s="135"/>
      <c r="E254" s="45"/>
      <c r="F254" s="46"/>
      <c r="G254" s="76"/>
      <c r="H254" s="76"/>
      <c r="I254" s="191"/>
      <c r="J254" s="46"/>
      <c r="K254" s="145"/>
      <c r="L254" s="145"/>
      <c r="M254" s="145"/>
      <c r="N254" s="145"/>
      <c r="O254" s="145"/>
      <c r="P254" s="145"/>
      <c r="Q254" s="145"/>
      <c r="R254" s="145"/>
      <c r="S254" s="145"/>
      <c r="T254" s="145"/>
      <c r="U254" s="145"/>
      <c r="V254" s="145"/>
      <c r="W254" s="145"/>
      <c r="X254" s="145"/>
      <c r="Y254" s="145"/>
      <c r="Z254" s="145"/>
      <c r="AA254" s="145"/>
      <c r="AB254" s="145"/>
      <c r="AC254" s="145"/>
      <c r="AD254" s="145"/>
      <c r="AE254" s="145"/>
      <c r="AF254" s="145"/>
      <c r="AG254" s="145"/>
      <c r="AH254" s="145"/>
      <c r="AI254" s="145"/>
      <c r="AJ254" s="145"/>
      <c r="AK254" s="145"/>
      <c r="AL254" s="145"/>
      <c r="AM254" s="145"/>
      <c r="AN254" s="145"/>
      <c r="AO254" s="145"/>
      <c r="AP254" s="145"/>
      <c r="AQ254" s="145"/>
      <c r="AR254" s="145"/>
      <c r="AS254" s="145"/>
      <c r="AT254" s="145"/>
      <c r="AU254" s="145"/>
      <c r="AV254" s="145"/>
      <c r="AW254" s="145"/>
      <c r="AX254" s="145"/>
    </row>
    <row r="255" spans="1:50" ht="15" customHeight="1">
      <c r="A255" s="90"/>
      <c r="B255" s="141"/>
      <c r="C255" s="75"/>
      <c r="D255" s="135"/>
      <c r="E255" s="45" t="str">
        <f xml:space="preserve"> E234 &amp; ", " &amp; Translate!$E$19</f>
        <v>Sales revenues: gross, after ELT, Total</v>
      </c>
      <c r="F255" s="46">
        <f ca="1" xml:space="preserve"> SUM(K234:AX234)</f>
        <v>3796.5539177649084</v>
      </c>
      <c r="G255" s="41" t="str">
        <f xml:space="preserve"> G234</f>
        <v>US$ mn</v>
      </c>
      <c r="H255" s="41"/>
      <c r="I255" s="191"/>
      <c r="J255" s="46"/>
      <c r="K255" s="145"/>
      <c r="L255" s="145"/>
      <c r="M255" s="145"/>
      <c r="N255" s="145"/>
      <c r="O255" s="145"/>
      <c r="P255" s="145"/>
      <c r="Q255" s="145"/>
      <c r="R255" s="145"/>
      <c r="S255" s="145"/>
      <c r="T255" s="145"/>
      <c r="U255" s="145"/>
      <c r="V255" s="145"/>
      <c r="W255" s="145"/>
      <c r="X255" s="145"/>
      <c r="Y255" s="145"/>
      <c r="Z255" s="145"/>
      <c r="AA255" s="145"/>
      <c r="AB255" s="145"/>
      <c r="AC255" s="145"/>
      <c r="AD255" s="145"/>
      <c r="AE255" s="145"/>
      <c r="AF255" s="145"/>
      <c r="AG255" s="145"/>
      <c r="AH255" s="145"/>
      <c r="AI255" s="145"/>
      <c r="AJ255" s="145"/>
      <c r="AK255" s="145"/>
      <c r="AL255" s="145"/>
      <c r="AM255" s="145"/>
      <c r="AN255" s="145"/>
      <c r="AO255" s="145"/>
      <c r="AP255" s="145"/>
      <c r="AQ255" s="145"/>
      <c r="AR255" s="145"/>
      <c r="AS255" s="145"/>
      <c r="AT255" s="145"/>
      <c r="AU255" s="145"/>
      <c r="AV255" s="145"/>
      <c r="AW255" s="145"/>
      <c r="AX255" s="145"/>
    </row>
    <row r="256" spans="1:50" ht="15" customHeight="1">
      <c r="A256" s="90"/>
      <c r="B256" s="141"/>
      <c r="C256" s="75"/>
      <c r="D256" s="135"/>
      <c r="E256" s="45" t="str">
        <f xml:space="preserve"> E235 &amp; ", " &amp; Translate!$E$19</f>
        <v>Transport costs post-fiscal point, after ELT, Total</v>
      </c>
      <c r="F256" s="46">
        <f ca="1" xml:space="preserve"> SUM(K235:AX235)</f>
        <v>63.275898629415138</v>
      </c>
      <c r="G256" s="41" t="str">
        <f xml:space="preserve"> G235</f>
        <v>US$ mn</v>
      </c>
      <c r="H256" s="41"/>
      <c r="I256" s="191"/>
      <c r="J256" s="46"/>
      <c r="K256" s="145"/>
      <c r="L256" s="145"/>
      <c r="M256" s="145"/>
      <c r="N256" s="145"/>
      <c r="O256" s="145"/>
      <c r="P256" s="145"/>
      <c r="Q256" s="145"/>
      <c r="R256" s="145"/>
      <c r="S256" s="145"/>
      <c r="T256" s="145"/>
      <c r="U256" s="145"/>
      <c r="V256" s="145"/>
      <c r="W256" s="145"/>
      <c r="X256" s="145"/>
      <c r="Y256" s="145"/>
      <c r="Z256" s="145"/>
      <c r="AA256" s="145"/>
      <c r="AB256" s="145"/>
      <c r="AC256" s="145"/>
      <c r="AD256" s="145"/>
      <c r="AE256" s="145"/>
      <c r="AF256" s="145"/>
      <c r="AG256" s="145"/>
      <c r="AH256" s="145"/>
      <c r="AI256" s="145"/>
      <c r="AJ256" s="145"/>
      <c r="AK256" s="145"/>
      <c r="AL256" s="145"/>
      <c r="AM256" s="145"/>
      <c r="AN256" s="145"/>
      <c r="AO256" s="145"/>
      <c r="AP256" s="145"/>
      <c r="AQ256" s="145"/>
      <c r="AR256" s="145"/>
      <c r="AS256" s="145"/>
      <c r="AT256" s="145"/>
      <c r="AU256" s="145"/>
      <c r="AV256" s="145"/>
      <c r="AW256" s="145"/>
      <c r="AX256" s="145"/>
    </row>
    <row r="257" spans="1:50" ht="15" customHeight="1">
      <c r="A257" s="90"/>
      <c r="B257" s="141"/>
      <c r="C257" s="75"/>
      <c r="D257" s="135"/>
      <c r="E257" s="45"/>
      <c r="F257" s="46"/>
      <c r="G257" s="41"/>
      <c r="H257" s="41"/>
      <c r="I257" s="191"/>
      <c r="J257" s="46"/>
      <c r="K257" s="145"/>
      <c r="L257" s="145"/>
      <c r="M257" s="145"/>
      <c r="N257" s="145"/>
      <c r="O257" s="145"/>
      <c r="P257" s="145"/>
      <c r="Q257" s="145"/>
      <c r="R257" s="145"/>
      <c r="S257" s="145"/>
      <c r="T257" s="145"/>
      <c r="U257" s="145"/>
      <c r="V257" s="145"/>
      <c r="W257" s="145"/>
      <c r="X257" s="145"/>
      <c r="Y257" s="145"/>
      <c r="Z257" s="145"/>
      <c r="AA257" s="145"/>
      <c r="AB257" s="145"/>
      <c r="AC257" s="145"/>
      <c r="AD257" s="145"/>
      <c r="AE257" s="145"/>
      <c r="AF257" s="145"/>
      <c r="AG257" s="145"/>
      <c r="AH257" s="145"/>
      <c r="AI257" s="145"/>
      <c r="AJ257" s="145"/>
      <c r="AK257" s="145"/>
      <c r="AL257" s="145"/>
      <c r="AM257" s="145"/>
      <c r="AN257" s="145"/>
      <c r="AO257" s="145"/>
      <c r="AP257" s="145"/>
      <c r="AQ257" s="145"/>
      <c r="AR257" s="145"/>
      <c r="AS257" s="145"/>
      <c r="AT257" s="145"/>
      <c r="AU257" s="145"/>
      <c r="AV257" s="145"/>
      <c r="AW257" s="145"/>
      <c r="AX257" s="145"/>
    </row>
    <row r="258" spans="1:50" ht="15" customHeight="1">
      <c r="A258" s="90"/>
      <c r="B258" s="141"/>
      <c r="C258" s="75"/>
      <c r="D258" s="135"/>
      <c r="E258" s="45" t="str">
        <f xml:space="preserve"> E238 &amp; ", " &amp; Translate!$E$19</f>
        <v>Exploration costs, after ELT, Total</v>
      </c>
      <c r="F258" s="46">
        <f ca="1" xml:space="preserve"> SUM(K238:AX238)</f>
        <v>30.603999999999999</v>
      </c>
      <c r="G258" s="41" t="str">
        <f xml:space="preserve"> G238</f>
        <v>US$ mn</v>
      </c>
      <c r="H258" s="41"/>
      <c r="I258" s="191"/>
      <c r="J258" s="46"/>
      <c r="K258" s="145"/>
      <c r="L258" s="145"/>
      <c r="M258" s="145"/>
      <c r="N258" s="145"/>
      <c r="O258" s="145"/>
      <c r="P258" s="145"/>
      <c r="Q258" s="145"/>
      <c r="R258" s="145"/>
      <c r="S258" s="145"/>
      <c r="T258" s="145"/>
      <c r="U258" s="145"/>
      <c r="V258" s="145"/>
      <c r="W258" s="145"/>
      <c r="X258" s="145"/>
      <c r="Y258" s="145"/>
      <c r="Z258" s="145"/>
      <c r="AA258" s="145"/>
      <c r="AB258" s="145"/>
      <c r="AC258" s="145"/>
      <c r="AD258" s="145"/>
      <c r="AE258" s="145"/>
      <c r="AF258" s="145"/>
      <c r="AG258" s="145"/>
      <c r="AH258" s="145"/>
      <c r="AI258" s="145"/>
      <c r="AJ258" s="145"/>
      <c r="AK258" s="145"/>
      <c r="AL258" s="145"/>
      <c r="AM258" s="145"/>
      <c r="AN258" s="145"/>
      <c r="AO258" s="145"/>
      <c r="AP258" s="145"/>
      <c r="AQ258" s="145"/>
      <c r="AR258" s="145"/>
      <c r="AS258" s="145"/>
      <c r="AT258" s="145"/>
      <c r="AU258" s="145"/>
      <c r="AV258" s="145"/>
      <c r="AW258" s="145"/>
      <c r="AX258" s="145"/>
    </row>
    <row r="259" spans="1:50" ht="15" customHeight="1">
      <c r="A259" s="90"/>
      <c r="B259" s="141"/>
      <c r="C259" s="75"/>
      <c r="D259" s="135"/>
      <c r="E259" s="45" t="str">
        <f xml:space="preserve"> E239 &amp; ", " &amp; Translate!$E$19</f>
        <v>Development costs, after ELT, Total</v>
      </c>
      <c r="F259" s="46">
        <f ca="1" xml:space="preserve"> SUM(K239:AX239)</f>
        <v>434.07652032000004</v>
      </c>
      <c r="G259" s="41" t="str">
        <f xml:space="preserve"> G239</f>
        <v>US$ mn</v>
      </c>
      <c r="H259" s="41"/>
      <c r="I259" s="191"/>
      <c r="J259" s="46"/>
      <c r="K259" s="145"/>
      <c r="L259" s="145"/>
      <c r="M259" s="145"/>
      <c r="N259" s="145"/>
      <c r="O259" s="145"/>
      <c r="P259" s="145"/>
      <c r="Q259" s="145"/>
      <c r="R259" s="145"/>
      <c r="S259" s="145"/>
      <c r="T259" s="145"/>
      <c r="U259" s="145"/>
      <c r="V259" s="145"/>
      <c r="W259" s="145"/>
      <c r="X259" s="145"/>
      <c r="Y259" s="145"/>
      <c r="Z259" s="145"/>
      <c r="AA259" s="145"/>
      <c r="AB259" s="145"/>
      <c r="AC259" s="145"/>
      <c r="AD259" s="145"/>
      <c r="AE259" s="145"/>
      <c r="AF259" s="145"/>
      <c r="AG259" s="145"/>
      <c r="AH259" s="145"/>
      <c r="AI259" s="145"/>
      <c r="AJ259" s="145"/>
      <c r="AK259" s="145"/>
      <c r="AL259" s="145"/>
      <c r="AM259" s="145"/>
      <c r="AN259" s="145"/>
      <c r="AO259" s="145"/>
      <c r="AP259" s="145"/>
      <c r="AQ259" s="145"/>
      <c r="AR259" s="145"/>
      <c r="AS259" s="145"/>
      <c r="AT259" s="145"/>
      <c r="AU259" s="145"/>
      <c r="AV259" s="145"/>
      <c r="AW259" s="145"/>
      <c r="AX259" s="145"/>
    </row>
    <row r="260" spans="1:50" ht="15" customHeight="1">
      <c r="A260" s="90"/>
      <c r="B260" s="141"/>
      <c r="C260" s="75"/>
      <c r="D260" s="135"/>
      <c r="E260" s="45" t="str">
        <f xml:space="preserve"> E240 &amp; ", " &amp; Translate!$E$19</f>
        <v>Replacement capital costs, after ELT, Total</v>
      </c>
      <c r="F260" s="46">
        <f ca="1" xml:space="preserve"> SUM(K240:AX240)</f>
        <v>118.46424639696978</v>
      </c>
      <c r="G260" s="41" t="str">
        <f xml:space="preserve"> G240</f>
        <v>US$ mn</v>
      </c>
      <c r="H260" s="41"/>
      <c r="I260" s="191"/>
      <c r="J260" s="46"/>
      <c r="K260" s="145"/>
      <c r="L260" s="145"/>
      <c r="M260" s="145"/>
      <c r="N260" s="145"/>
      <c r="O260" s="145"/>
      <c r="P260" s="145"/>
      <c r="Q260" s="145"/>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c r="AP260" s="145"/>
      <c r="AQ260" s="145"/>
      <c r="AR260" s="145"/>
      <c r="AS260" s="145"/>
      <c r="AT260" s="145"/>
      <c r="AU260" s="145"/>
      <c r="AV260" s="145"/>
      <c r="AW260" s="145"/>
      <c r="AX260" s="145"/>
    </row>
    <row r="261" spans="1:50" ht="15" customHeight="1">
      <c r="A261" s="90"/>
      <c r="B261" s="141"/>
      <c r="C261" s="75"/>
      <c r="D261" s="135"/>
      <c r="E261" s="45" t="str">
        <f xml:space="preserve"> E241 &amp; ", " &amp; Translate!$E$19</f>
        <v>Operating costs, after ELT, Total</v>
      </c>
      <c r="F261" s="46">
        <f ca="1" xml:space="preserve"> SUM(K241:AX241)</f>
        <v>1138.9661753294727</v>
      </c>
      <c r="G261" s="41" t="str">
        <f xml:space="preserve"> G241</f>
        <v>US$ mn</v>
      </c>
      <c r="H261" s="41"/>
      <c r="I261" s="191"/>
      <c r="J261" s="46"/>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row>
    <row r="262" spans="1:50" ht="15" customHeight="1">
      <c r="A262" s="90"/>
      <c r="B262" s="141"/>
      <c r="C262" s="75"/>
      <c r="D262" s="135"/>
      <c r="E262" s="45" t="str">
        <f xml:space="preserve"> E242 &amp; ", " &amp; Translate!$E$19</f>
        <v>Decommissioning costs, after ELT, Total</v>
      </c>
      <c r="F262" s="46">
        <f ca="1" xml:space="preserve"> SUM(K242:AX242)</f>
        <v>30.313326877958442</v>
      </c>
      <c r="G262" s="41" t="str">
        <f xml:space="preserve"> G242</f>
        <v>US$ mn</v>
      </c>
      <c r="H262" s="41"/>
      <c r="I262" s="191"/>
      <c r="J262" s="46"/>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row>
    <row r="263" spans="1:50" ht="15" customHeight="1">
      <c r="A263" s="90"/>
      <c r="B263" s="141"/>
      <c r="C263" s="75"/>
      <c r="D263" s="135"/>
      <c r="E263" s="45"/>
      <c r="F263" s="46"/>
      <c r="G263" s="41"/>
      <c r="H263" s="41"/>
      <c r="I263" s="191"/>
      <c r="J263" s="46"/>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row>
    <row r="264" spans="1:50" ht="15" customHeight="1">
      <c r="A264" s="90"/>
      <c r="B264" s="141"/>
      <c r="C264" s="75"/>
      <c r="D264" s="135"/>
      <c r="E264" s="45" t="str">
        <f xml:space="preserve"> E245 &amp; ", " &amp; Translate!$E$19</f>
        <v>Project cashflow before decommissioning fund, Total</v>
      </c>
      <c r="F264" s="46">
        <f ca="1" xml:space="preserve"> SUM(K245:AX245)</f>
        <v>1980.8537502110926</v>
      </c>
      <c r="G264" s="41" t="str">
        <f xml:space="preserve"> G245</f>
        <v>US$ mn</v>
      </c>
      <c r="H264" s="41"/>
      <c r="I264" s="191"/>
      <c r="J264" s="46"/>
      <c r="K264" s="145"/>
      <c r="L264" s="145"/>
      <c r="M264" s="145"/>
      <c r="N264" s="145"/>
      <c r="O264" s="145"/>
      <c r="P264" s="145"/>
      <c r="Q264" s="145"/>
      <c r="R264" s="145"/>
      <c r="S264" s="145"/>
      <c r="T264" s="145"/>
      <c r="U264" s="145"/>
      <c r="V264" s="145"/>
      <c r="W264" s="145"/>
      <c r="X264" s="145"/>
      <c r="Y264" s="145"/>
      <c r="Z264" s="145"/>
      <c r="AA264" s="145"/>
      <c r="AB264" s="145"/>
      <c r="AC264" s="145"/>
      <c r="AD264" s="145"/>
      <c r="AE264" s="145"/>
      <c r="AF264" s="145"/>
      <c r="AG264" s="145"/>
      <c r="AH264" s="145"/>
      <c r="AI264" s="145"/>
      <c r="AJ264" s="145"/>
      <c r="AK264" s="145"/>
      <c r="AL264" s="145"/>
      <c r="AM264" s="145"/>
      <c r="AN264" s="145"/>
      <c r="AO264" s="145"/>
      <c r="AP264" s="145"/>
      <c r="AQ264" s="145"/>
      <c r="AR264" s="145"/>
      <c r="AS264" s="145"/>
      <c r="AT264" s="145"/>
      <c r="AU264" s="145"/>
      <c r="AV264" s="145"/>
      <c r="AW264" s="145"/>
      <c r="AX264" s="145"/>
    </row>
    <row r="265" spans="1:50" ht="15" customHeight="1">
      <c r="A265" s="73"/>
      <c r="B265" s="141"/>
      <c r="C265" s="75"/>
      <c r="D265" s="135"/>
      <c r="E265" s="45"/>
      <c r="F265" s="46"/>
      <c r="G265" s="41"/>
      <c r="H265" s="41"/>
      <c r="I265" s="191"/>
      <c r="J265" s="46"/>
      <c r="K265" s="145"/>
      <c r="L265" s="145"/>
      <c r="M265" s="145"/>
      <c r="N265" s="145"/>
      <c r="O265" s="145"/>
      <c r="P265" s="145"/>
      <c r="Q265" s="145"/>
      <c r="R265" s="145"/>
      <c r="S265" s="145"/>
      <c r="T265" s="145"/>
      <c r="U265" s="145"/>
      <c r="V265" s="145"/>
      <c r="W265" s="145"/>
      <c r="X265" s="145"/>
      <c r="Y265" s="145"/>
      <c r="Z265" s="145"/>
      <c r="AA265" s="145"/>
      <c r="AB265" s="145"/>
      <c r="AC265" s="145"/>
      <c r="AD265" s="145"/>
      <c r="AE265" s="145"/>
      <c r="AF265" s="145"/>
      <c r="AG265" s="145"/>
      <c r="AH265" s="145"/>
      <c r="AI265" s="145"/>
      <c r="AJ265" s="145"/>
      <c r="AK265" s="145"/>
      <c r="AL265" s="145"/>
      <c r="AM265" s="145"/>
      <c r="AN265" s="145"/>
      <c r="AO265" s="145"/>
      <c r="AP265" s="145"/>
      <c r="AQ265" s="145"/>
      <c r="AR265" s="145"/>
      <c r="AS265" s="145"/>
      <c r="AT265" s="145"/>
      <c r="AU265" s="145"/>
      <c r="AV265" s="145"/>
      <c r="AW265" s="145"/>
      <c r="AX265" s="145"/>
    </row>
    <row r="266" spans="1:50" ht="15" customHeight="1">
      <c r="A266" s="73"/>
      <c r="B266" s="141"/>
      <c r="C266" s="75"/>
      <c r="D266" s="135"/>
      <c r="E266" s="45" t="str">
        <f xml:space="preserve"> Translate!E$444 &amp;  ": " &amp; E264</f>
        <v>Check: Project cashflow before decommissioning fund, Total</v>
      </c>
      <c r="F266" s="29">
        <f ca="1" xml:space="preserve"> IF( ABS(F255 - F256 - SUM(F258:F262) - F264 ) &gt; CHK_TOL, 1, 0)</f>
        <v>0</v>
      </c>
      <c r="G266" s="41" t="str">
        <f xml:space="preserve"> Translate!E$444</f>
        <v>Check</v>
      </c>
      <c r="H266" s="41"/>
      <c r="I266" s="191"/>
      <c r="J266" s="46"/>
      <c r="K266" s="145"/>
      <c r="L266" s="145"/>
      <c r="M266" s="145"/>
      <c r="N266" s="145"/>
      <c r="O266" s="145"/>
      <c r="P266" s="145"/>
      <c r="Q266" s="145"/>
      <c r="R266" s="145"/>
      <c r="S266" s="145"/>
      <c r="T266" s="145"/>
      <c r="U266" s="145"/>
      <c r="V266" s="145"/>
      <c r="W266" s="145"/>
      <c r="X266" s="145"/>
      <c r="Y266" s="145"/>
      <c r="Z266" s="145"/>
      <c r="AA266" s="145"/>
      <c r="AB266" s="145"/>
      <c r="AC266" s="145"/>
      <c r="AD266" s="145"/>
      <c r="AE266" s="145"/>
      <c r="AF266" s="145"/>
      <c r="AG266" s="145"/>
      <c r="AH266" s="145"/>
      <c r="AI266" s="145"/>
      <c r="AJ266" s="145"/>
      <c r="AK266" s="145"/>
      <c r="AL266" s="145"/>
      <c r="AM266" s="145"/>
      <c r="AN266" s="145"/>
      <c r="AO266" s="145"/>
      <c r="AP266" s="145"/>
      <c r="AQ266" s="145"/>
      <c r="AR266" s="145"/>
      <c r="AS266" s="145"/>
      <c r="AT266" s="145"/>
      <c r="AU266" s="145"/>
      <c r="AV266" s="145"/>
      <c r="AW266" s="145"/>
      <c r="AX266" s="145"/>
    </row>
    <row r="267" spans="1:50" ht="15" customHeight="1"/>
    <row r="268" spans="1:50" ht="15" customHeight="1"/>
    <row r="269" spans="1:50" ht="15" customHeight="1">
      <c r="A269" s="169" t="str">
        <f>Translate!$E$373</f>
        <v>GHG emissions from coal combustion</v>
      </c>
      <c r="B269" s="169"/>
      <c r="C269" s="170"/>
      <c r="D269" s="171"/>
      <c r="E269" s="88"/>
      <c r="F269" s="86"/>
      <c r="G269" s="86"/>
      <c r="H269" s="86"/>
      <c r="I269" s="86"/>
      <c r="J269" s="86"/>
      <c r="K269" s="86"/>
      <c r="L269" s="86"/>
      <c r="M269" s="86"/>
      <c r="N269" s="86"/>
      <c r="O269" s="86"/>
      <c r="P269" s="86"/>
      <c r="Q269" s="86"/>
      <c r="R269" s="86"/>
      <c r="S269" s="86"/>
      <c r="T269" s="86"/>
      <c r="U269" s="86"/>
      <c r="V269" s="86"/>
      <c r="W269" s="86"/>
      <c r="X269" s="86"/>
      <c r="Y269" s="86"/>
      <c r="Z269" s="86"/>
      <c r="AA269" s="86"/>
      <c r="AB269" s="86"/>
      <c r="AC269" s="86"/>
      <c r="AD269" s="86"/>
      <c r="AE269" s="86"/>
      <c r="AF269" s="86"/>
      <c r="AG269" s="86"/>
      <c r="AH269" s="86"/>
      <c r="AI269" s="86"/>
      <c r="AJ269" s="86"/>
      <c r="AK269" s="86"/>
      <c r="AL269" s="86"/>
      <c r="AM269" s="86"/>
      <c r="AN269" s="86"/>
      <c r="AO269" s="86"/>
      <c r="AP269" s="86"/>
      <c r="AQ269" s="86"/>
      <c r="AR269" s="86"/>
      <c r="AS269" s="86"/>
      <c r="AT269" s="86"/>
      <c r="AU269" s="86"/>
      <c r="AV269" s="86"/>
      <c r="AW269" s="86"/>
      <c r="AX269" s="86"/>
    </row>
    <row r="270" spans="1:50" ht="15" customHeight="1">
      <c r="A270" s="73"/>
      <c r="B270" s="141"/>
      <c r="C270" s="75"/>
      <c r="D270" s="131"/>
      <c r="E270" s="45"/>
      <c r="F270" s="45"/>
      <c r="G270" s="45"/>
      <c r="H270" s="43"/>
      <c r="I270" s="76"/>
      <c r="J270" s="43"/>
      <c r="K270" s="174"/>
      <c r="L270" s="174"/>
      <c r="M270" s="174"/>
      <c r="N270" s="174"/>
      <c r="O270" s="174"/>
      <c r="P270" s="174"/>
      <c r="Q270" s="174"/>
      <c r="R270" s="174"/>
      <c r="S270" s="174"/>
      <c r="T270" s="174"/>
      <c r="U270" s="174"/>
      <c r="V270" s="174"/>
      <c r="W270" s="174"/>
      <c r="X270" s="174"/>
      <c r="Y270" s="174"/>
      <c r="Z270" s="174"/>
      <c r="AA270" s="174"/>
      <c r="AB270" s="174"/>
      <c r="AC270" s="174"/>
      <c r="AD270" s="174"/>
      <c r="AE270" s="174"/>
      <c r="AF270" s="174"/>
      <c r="AG270" s="174"/>
      <c r="AH270" s="174"/>
      <c r="AI270" s="174"/>
      <c r="AJ270" s="174"/>
      <c r="AK270" s="174"/>
      <c r="AL270" s="174"/>
      <c r="AM270" s="174"/>
      <c r="AN270" s="174"/>
      <c r="AO270" s="174"/>
      <c r="AP270" s="174"/>
      <c r="AQ270" s="174"/>
      <c r="AR270" s="174"/>
      <c r="AS270" s="174"/>
      <c r="AT270" s="174"/>
      <c r="AU270" s="174"/>
      <c r="AV270" s="174"/>
      <c r="AW270" s="174"/>
      <c r="AX270" s="174"/>
    </row>
    <row r="271" spans="1:50" ht="15" customHeight="1">
      <c r="A271" s="73"/>
      <c r="B271" s="141"/>
      <c r="C271" s="75"/>
      <c r="D271" s="131"/>
      <c r="E271" s="45" t="str">
        <f xml:space="preserve"> E$9</f>
        <v>Mineral</v>
      </c>
      <c r="F271" s="45" t="str">
        <f ca="1" xml:space="preserve"> F$9</f>
        <v>Gold</v>
      </c>
      <c r="G271" s="45" t="str">
        <f xml:space="preserve"> G$9</f>
        <v>Label</v>
      </c>
      <c r="H271" s="43"/>
      <c r="I271" s="76"/>
      <c r="J271" s="43"/>
      <c r="K271" s="174"/>
      <c r="L271" s="174"/>
      <c r="M271" s="174"/>
      <c r="N271" s="174"/>
      <c r="O271" s="174"/>
      <c r="P271" s="174"/>
      <c r="Q271" s="174"/>
      <c r="R271" s="174"/>
      <c r="S271" s="174"/>
      <c r="T271" s="174"/>
      <c r="U271" s="174"/>
      <c r="V271" s="174"/>
      <c r="W271" s="174"/>
      <c r="X271" s="174"/>
      <c r="Y271" s="174"/>
      <c r="Z271" s="174"/>
      <c r="AA271" s="174"/>
      <c r="AB271" s="174"/>
      <c r="AC271" s="174"/>
      <c r="AD271" s="174"/>
      <c r="AE271" s="174"/>
      <c r="AF271" s="174"/>
      <c r="AG271" s="174"/>
      <c r="AH271" s="174"/>
      <c r="AI271" s="174"/>
      <c r="AJ271" s="174"/>
      <c r="AK271" s="174"/>
      <c r="AL271" s="174"/>
      <c r="AM271" s="174"/>
      <c r="AN271" s="174"/>
      <c r="AO271" s="174"/>
      <c r="AP271" s="174"/>
      <c r="AQ271" s="174"/>
      <c r="AR271" s="174"/>
      <c r="AS271" s="174"/>
      <c r="AT271" s="174"/>
      <c r="AU271" s="174"/>
      <c r="AV271" s="174"/>
      <c r="AW271" s="174"/>
      <c r="AX271" s="174"/>
    </row>
    <row r="272" spans="1:50" ht="15" customHeight="1">
      <c r="A272" s="73"/>
      <c r="B272" s="141"/>
      <c r="C272" s="75"/>
      <c r="D272" s="131"/>
      <c r="E272" s="45" t="str">
        <f ca="1" xml:space="preserve"> E$143</f>
        <v>Gold sales, after ELT</v>
      </c>
      <c r="F272" s="45">
        <f t="shared" ref="F272:AX272" si="110" xml:space="preserve"> F$143</f>
        <v>0</v>
      </c>
      <c r="G272" s="45" t="str">
        <f t="shared" ca="1" si="110"/>
        <v>000 ounce</v>
      </c>
      <c r="H272" s="45">
        <f t="shared" si="110"/>
        <v>0</v>
      </c>
      <c r="I272" s="45">
        <f t="shared" ca="1" si="110"/>
        <v>2000</v>
      </c>
      <c r="J272" s="45">
        <f t="shared" si="110"/>
        <v>0</v>
      </c>
      <c r="K272" s="45">
        <f t="shared" ca="1" si="110"/>
        <v>0</v>
      </c>
      <c r="L272" s="45">
        <f t="shared" ca="1" si="110"/>
        <v>0</v>
      </c>
      <c r="M272" s="45">
        <f t="shared" ca="1" si="110"/>
        <v>0</v>
      </c>
      <c r="N272" s="45">
        <f t="shared" ca="1" si="110"/>
        <v>0</v>
      </c>
      <c r="O272" s="45">
        <f t="shared" ca="1" si="110"/>
        <v>10</v>
      </c>
      <c r="P272" s="45">
        <f t="shared" ca="1" si="110"/>
        <v>75</v>
      </c>
      <c r="Q272" s="45">
        <f t="shared" ca="1" si="110"/>
        <v>150</v>
      </c>
      <c r="R272" s="45">
        <f t="shared" ca="1" si="110"/>
        <v>150</v>
      </c>
      <c r="S272" s="45">
        <f t="shared" ca="1" si="110"/>
        <v>150</v>
      </c>
      <c r="T272" s="45">
        <f t="shared" ca="1" si="110"/>
        <v>150</v>
      </c>
      <c r="U272" s="45">
        <f t="shared" ca="1" si="110"/>
        <v>150</v>
      </c>
      <c r="V272" s="45">
        <f t="shared" ca="1" si="110"/>
        <v>150</v>
      </c>
      <c r="W272" s="45">
        <f t="shared" ca="1" si="110"/>
        <v>150</v>
      </c>
      <c r="X272" s="45">
        <f t="shared" ca="1" si="110"/>
        <v>150</v>
      </c>
      <c r="Y272" s="45">
        <f t="shared" ca="1" si="110"/>
        <v>150</v>
      </c>
      <c r="Z272" s="45">
        <f t="shared" ca="1" si="110"/>
        <v>150</v>
      </c>
      <c r="AA272" s="45">
        <f t="shared" ca="1" si="110"/>
        <v>125</v>
      </c>
      <c r="AB272" s="45">
        <f t="shared" ca="1" si="110"/>
        <v>100</v>
      </c>
      <c r="AC272" s="45">
        <f t="shared" ca="1" si="110"/>
        <v>75</v>
      </c>
      <c r="AD272" s="45">
        <f t="shared" ca="1" si="110"/>
        <v>65</v>
      </c>
      <c r="AE272" s="45">
        <f t="shared" ca="1" si="110"/>
        <v>50</v>
      </c>
      <c r="AF272" s="45">
        <f t="shared" ca="1" si="110"/>
        <v>0</v>
      </c>
      <c r="AG272" s="45">
        <f t="shared" ca="1" si="110"/>
        <v>0</v>
      </c>
      <c r="AH272" s="45">
        <f t="shared" ca="1" si="110"/>
        <v>0</v>
      </c>
      <c r="AI272" s="45">
        <f t="shared" ca="1" si="110"/>
        <v>0</v>
      </c>
      <c r="AJ272" s="45">
        <f t="shared" ca="1" si="110"/>
        <v>0</v>
      </c>
      <c r="AK272" s="45">
        <f t="shared" ca="1" si="110"/>
        <v>0</v>
      </c>
      <c r="AL272" s="45">
        <f t="shared" ca="1" si="110"/>
        <v>0</v>
      </c>
      <c r="AM272" s="45">
        <f t="shared" ca="1" si="110"/>
        <v>0</v>
      </c>
      <c r="AN272" s="45">
        <f t="shared" ca="1" si="110"/>
        <v>0</v>
      </c>
      <c r="AO272" s="45">
        <f t="shared" ca="1" si="110"/>
        <v>0</v>
      </c>
      <c r="AP272" s="45">
        <f t="shared" ca="1" si="110"/>
        <v>0</v>
      </c>
      <c r="AQ272" s="45">
        <f t="shared" ca="1" si="110"/>
        <v>0</v>
      </c>
      <c r="AR272" s="45">
        <f t="shared" ca="1" si="110"/>
        <v>0</v>
      </c>
      <c r="AS272" s="45">
        <f t="shared" ca="1" si="110"/>
        <v>0</v>
      </c>
      <c r="AT272" s="45">
        <f t="shared" ca="1" si="110"/>
        <v>0</v>
      </c>
      <c r="AU272" s="45">
        <f t="shared" ca="1" si="110"/>
        <v>0</v>
      </c>
      <c r="AV272" s="45">
        <f t="shared" ca="1" si="110"/>
        <v>0</v>
      </c>
      <c r="AW272" s="45">
        <f t="shared" ca="1" si="110"/>
        <v>0</v>
      </c>
      <c r="AX272" s="45">
        <f t="shared" ca="1" si="110"/>
        <v>0</v>
      </c>
    </row>
    <row r="273" spans="1:50" ht="15" customHeight="1">
      <c r="A273" s="73"/>
      <c r="B273" s="141"/>
      <c r="C273" s="75"/>
      <c r="D273" s="131"/>
      <c r="E273" s="107" t="str">
        <f xml:space="preserve"> Inputs!E$63</f>
        <v>Heat content per coal consumed</v>
      </c>
      <c r="F273" s="503">
        <f xml:space="preserve"> Inputs!F$63</f>
        <v>20.92</v>
      </c>
      <c r="G273" s="107" t="str">
        <f xml:space="preserve"> Inputs!G$63</f>
        <v>Btu mn / MT</v>
      </c>
      <c r="H273" s="43"/>
      <c r="I273" s="76"/>
      <c r="J273" s="43"/>
      <c r="K273" s="174"/>
      <c r="L273" s="174"/>
      <c r="M273" s="174"/>
      <c r="N273" s="174"/>
      <c r="O273" s="174"/>
      <c r="P273" s="174"/>
      <c r="Q273" s="174"/>
      <c r="R273" s="174"/>
      <c r="S273" s="174"/>
      <c r="T273" s="174"/>
      <c r="U273" s="174"/>
      <c r="V273" s="174"/>
      <c r="W273" s="174"/>
      <c r="X273" s="174"/>
      <c r="Y273" s="174"/>
      <c r="Z273" s="174"/>
      <c r="AA273" s="174"/>
      <c r="AB273" s="174"/>
      <c r="AC273" s="174"/>
      <c r="AD273" s="174"/>
      <c r="AE273" s="174"/>
      <c r="AF273" s="174"/>
      <c r="AG273" s="174"/>
      <c r="AH273" s="174"/>
      <c r="AI273" s="174"/>
      <c r="AJ273" s="174"/>
      <c r="AK273" s="174"/>
      <c r="AL273" s="174"/>
      <c r="AM273" s="174"/>
      <c r="AN273" s="174"/>
      <c r="AO273" s="174"/>
      <c r="AP273" s="174"/>
      <c r="AQ273" s="174"/>
      <c r="AR273" s="174"/>
      <c r="AS273" s="174"/>
      <c r="AT273" s="174"/>
      <c r="AU273" s="174"/>
      <c r="AV273" s="174"/>
      <c r="AW273" s="174"/>
      <c r="AX273" s="174"/>
    </row>
    <row r="274" spans="1:50" ht="15" customHeight="1">
      <c r="A274" s="73"/>
      <c r="B274" s="141"/>
      <c r="C274" s="75"/>
      <c r="D274" s="131"/>
      <c r="E274" s="107" t="str">
        <f xml:space="preserve"> Inputs!E$76</f>
        <v>one thousand</v>
      </c>
      <c r="F274" s="107">
        <f xml:space="preserve"> Inputs!F$76</f>
        <v>1000</v>
      </c>
      <c r="G274" s="107" t="str">
        <f xml:space="preserve"> Inputs!G$76</f>
        <v>Constant</v>
      </c>
      <c r="H274" s="43"/>
      <c r="I274" s="76"/>
      <c r="J274" s="43"/>
      <c r="K274" s="174"/>
      <c r="L274" s="174"/>
      <c r="M274" s="174"/>
      <c r="N274" s="174"/>
      <c r="O274" s="174"/>
      <c r="P274" s="174"/>
      <c r="Q274" s="174"/>
      <c r="R274" s="174"/>
      <c r="S274" s="174"/>
      <c r="T274" s="174"/>
      <c r="U274" s="174"/>
      <c r="V274" s="174"/>
      <c r="W274" s="174"/>
      <c r="X274" s="174"/>
      <c r="Y274" s="174"/>
      <c r="Z274" s="174"/>
      <c r="AA274" s="174"/>
      <c r="AB274" s="174"/>
      <c r="AC274" s="174"/>
      <c r="AD274" s="174"/>
      <c r="AE274" s="174"/>
      <c r="AF274" s="174"/>
      <c r="AG274" s="174"/>
      <c r="AH274" s="174"/>
      <c r="AI274" s="174"/>
      <c r="AJ274" s="174"/>
      <c r="AK274" s="174"/>
      <c r="AL274" s="174"/>
      <c r="AM274" s="174"/>
      <c r="AN274" s="174"/>
      <c r="AO274" s="174"/>
      <c r="AP274" s="174"/>
      <c r="AQ274" s="174"/>
      <c r="AR274" s="174"/>
      <c r="AS274" s="174"/>
      <c r="AT274" s="174"/>
      <c r="AU274" s="174"/>
      <c r="AV274" s="174"/>
      <c r="AW274" s="174"/>
      <c r="AX274" s="174"/>
    </row>
    <row r="275" spans="1:50" s="304" customFormat="1" ht="15" customHeight="1">
      <c r="A275" s="307"/>
      <c r="B275" s="658"/>
      <c r="C275" s="309"/>
      <c r="D275" s="319"/>
      <c r="E275" s="303" t="str">
        <f>Translate!$E$430</f>
        <v>Mineral product for which emissions calculated</v>
      </c>
      <c r="F275" s="914" t="str">
        <f xml:space="preserve"> Translate!E$489</f>
        <v>Coal</v>
      </c>
      <c r="G275" s="303" t="str">
        <f xml:space="preserve"> Translate!E$585</f>
        <v>Label</v>
      </c>
      <c r="H275" s="311"/>
      <c r="I275" s="307"/>
      <c r="J275" s="311"/>
      <c r="K275" s="659"/>
      <c r="L275" s="659"/>
      <c r="M275" s="659"/>
      <c r="N275" s="659"/>
      <c r="O275" s="659"/>
      <c r="P275" s="659"/>
      <c r="Q275" s="659"/>
      <c r="R275" s="659"/>
      <c r="S275" s="659"/>
      <c r="T275" s="659"/>
      <c r="U275" s="659"/>
      <c r="V275" s="659"/>
      <c r="W275" s="659"/>
      <c r="X275" s="659"/>
      <c r="Y275" s="659"/>
      <c r="Z275" s="659"/>
      <c r="AA275" s="659"/>
      <c r="AB275" s="659"/>
      <c r="AC275" s="659"/>
      <c r="AD275" s="659"/>
      <c r="AE275" s="659"/>
      <c r="AF275" s="659"/>
      <c r="AG275" s="659"/>
      <c r="AH275" s="659"/>
      <c r="AI275" s="659"/>
      <c r="AJ275" s="659"/>
      <c r="AK275" s="659"/>
      <c r="AL275" s="659"/>
      <c r="AM275" s="659"/>
      <c r="AN275" s="659"/>
      <c r="AO275" s="659"/>
      <c r="AP275" s="659"/>
      <c r="AQ275" s="659"/>
      <c r="AR275" s="659"/>
      <c r="AS275" s="659"/>
      <c r="AT275" s="659"/>
      <c r="AU275" s="659"/>
      <c r="AV275" s="659"/>
      <c r="AW275" s="659"/>
      <c r="AX275" s="659"/>
    </row>
    <row r="276" spans="1:50" ht="15" customHeight="1">
      <c r="A276" s="73"/>
      <c r="B276" s="141"/>
      <c r="C276" s="75"/>
      <c r="D276" s="131"/>
      <c r="E276" s="45" t="str">
        <f>Translate!$E$431</f>
        <v>Heat content of coal sold</v>
      </c>
      <c r="F276" s="45"/>
      <c r="G276" s="45" t="str">
        <f xml:space="preserve"> Translate!E$751 &amp; " " &amp; Translate!$E$611</f>
        <v>Btu trillion</v>
      </c>
      <c r="H276" s="45"/>
      <c r="I276" s="45">
        <f ca="1" xml:space="preserve"> SUM(K276:AX276)</f>
        <v>0</v>
      </c>
      <c r="J276" s="45"/>
      <c r="K276" s="45">
        <f ca="1" xml:space="preserve"> K272 * $F273 / $F274 * ($F271 = $F275)</f>
        <v>0</v>
      </c>
      <c r="L276" s="45">
        <f t="shared" ref="L276:AX276" ca="1" si="111" xml:space="preserve"> L272 * $F273 / $F274 * ($F271 = $F275)</f>
        <v>0</v>
      </c>
      <c r="M276" s="45">
        <f t="shared" ca="1" si="111"/>
        <v>0</v>
      </c>
      <c r="N276" s="45">
        <f t="shared" ca="1" si="111"/>
        <v>0</v>
      </c>
      <c r="O276" s="45">
        <f t="shared" ca="1" si="111"/>
        <v>0</v>
      </c>
      <c r="P276" s="45">
        <f t="shared" ca="1" si="111"/>
        <v>0</v>
      </c>
      <c r="Q276" s="45">
        <f t="shared" ca="1" si="111"/>
        <v>0</v>
      </c>
      <c r="R276" s="45">
        <f t="shared" ca="1" si="111"/>
        <v>0</v>
      </c>
      <c r="S276" s="45">
        <f t="shared" ca="1" si="111"/>
        <v>0</v>
      </c>
      <c r="T276" s="45">
        <f t="shared" ca="1" si="111"/>
        <v>0</v>
      </c>
      <c r="U276" s="45">
        <f t="shared" ca="1" si="111"/>
        <v>0</v>
      </c>
      <c r="V276" s="45">
        <f t="shared" ca="1" si="111"/>
        <v>0</v>
      </c>
      <c r="W276" s="45">
        <f t="shared" ca="1" si="111"/>
        <v>0</v>
      </c>
      <c r="X276" s="45">
        <f t="shared" ca="1" si="111"/>
        <v>0</v>
      </c>
      <c r="Y276" s="45">
        <f t="shared" ca="1" si="111"/>
        <v>0</v>
      </c>
      <c r="Z276" s="45">
        <f t="shared" ca="1" si="111"/>
        <v>0</v>
      </c>
      <c r="AA276" s="45">
        <f t="shared" ca="1" si="111"/>
        <v>0</v>
      </c>
      <c r="AB276" s="45">
        <f t="shared" ca="1" si="111"/>
        <v>0</v>
      </c>
      <c r="AC276" s="45">
        <f t="shared" ca="1" si="111"/>
        <v>0</v>
      </c>
      <c r="AD276" s="45">
        <f t="shared" ca="1" si="111"/>
        <v>0</v>
      </c>
      <c r="AE276" s="45">
        <f t="shared" ca="1" si="111"/>
        <v>0</v>
      </c>
      <c r="AF276" s="45">
        <f t="shared" ca="1" si="111"/>
        <v>0</v>
      </c>
      <c r="AG276" s="45">
        <f t="shared" ca="1" si="111"/>
        <v>0</v>
      </c>
      <c r="AH276" s="45">
        <f t="shared" ca="1" si="111"/>
        <v>0</v>
      </c>
      <c r="AI276" s="45">
        <f t="shared" ca="1" si="111"/>
        <v>0</v>
      </c>
      <c r="AJ276" s="45">
        <f t="shared" ca="1" si="111"/>
        <v>0</v>
      </c>
      <c r="AK276" s="45">
        <f t="shared" ca="1" si="111"/>
        <v>0</v>
      </c>
      <c r="AL276" s="45">
        <f t="shared" ca="1" si="111"/>
        <v>0</v>
      </c>
      <c r="AM276" s="45">
        <f t="shared" ca="1" si="111"/>
        <v>0</v>
      </c>
      <c r="AN276" s="45">
        <f t="shared" ca="1" si="111"/>
        <v>0</v>
      </c>
      <c r="AO276" s="45">
        <f t="shared" ca="1" si="111"/>
        <v>0</v>
      </c>
      <c r="AP276" s="45">
        <f t="shared" ca="1" si="111"/>
        <v>0</v>
      </c>
      <c r="AQ276" s="45">
        <f t="shared" ca="1" si="111"/>
        <v>0</v>
      </c>
      <c r="AR276" s="45">
        <f t="shared" ca="1" si="111"/>
        <v>0</v>
      </c>
      <c r="AS276" s="45">
        <f t="shared" ca="1" si="111"/>
        <v>0</v>
      </c>
      <c r="AT276" s="45">
        <f t="shared" ca="1" si="111"/>
        <v>0</v>
      </c>
      <c r="AU276" s="45">
        <f t="shared" ca="1" si="111"/>
        <v>0</v>
      </c>
      <c r="AV276" s="45">
        <f t="shared" ca="1" si="111"/>
        <v>0</v>
      </c>
      <c r="AW276" s="45">
        <f t="shared" ca="1" si="111"/>
        <v>0</v>
      </c>
      <c r="AX276" s="45">
        <f t="shared" ca="1" si="111"/>
        <v>0</v>
      </c>
    </row>
    <row r="277" spans="1:50" ht="15" customHeight="1">
      <c r="A277" s="73"/>
      <c r="B277" s="141"/>
      <c r="C277" s="75"/>
      <c r="D277" s="131"/>
      <c r="E277" s="45"/>
      <c r="F277" s="46"/>
      <c r="G277" s="43"/>
      <c r="H277" s="43"/>
      <c r="I277" s="76"/>
      <c r="J277" s="43"/>
      <c r="K277" s="174"/>
      <c r="L277" s="174"/>
      <c r="M277" s="174"/>
      <c r="N277" s="174"/>
      <c r="O277" s="174"/>
      <c r="P277" s="174"/>
      <c r="Q277" s="174"/>
      <c r="R277" s="174"/>
      <c r="S277" s="174"/>
      <c r="T277" s="174"/>
      <c r="U277" s="174"/>
      <c r="V277" s="174"/>
      <c r="W277" s="174"/>
      <c r="X277" s="174"/>
      <c r="Y277" s="174"/>
      <c r="Z277" s="174"/>
      <c r="AA277" s="174"/>
      <c r="AB277" s="174"/>
      <c r="AC277" s="174"/>
      <c r="AD277" s="174"/>
      <c r="AE277" s="174"/>
      <c r="AF277" s="174"/>
      <c r="AG277" s="174"/>
      <c r="AH277" s="174"/>
      <c r="AI277" s="174"/>
      <c r="AJ277" s="174"/>
      <c r="AK277" s="174"/>
      <c r="AL277" s="174"/>
      <c r="AM277" s="174"/>
      <c r="AN277" s="174"/>
      <c r="AO277" s="174"/>
      <c r="AP277" s="174"/>
      <c r="AQ277" s="174"/>
      <c r="AR277" s="174"/>
      <c r="AS277" s="174"/>
      <c r="AT277" s="174"/>
      <c r="AU277" s="174"/>
      <c r="AV277" s="174"/>
      <c r="AW277" s="174"/>
      <c r="AX277" s="174"/>
    </row>
    <row r="278" spans="1:50" ht="15" customHeight="1">
      <c r="A278" s="73"/>
      <c r="B278" s="141"/>
      <c r="C278" s="75"/>
      <c r="D278" s="131"/>
      <c r="E278" s="45" t="str">
        <f xml:space="preserve"> E$276</f>
        <v>Heat content of coal sold</v>
      </c>
      <c r="F278" s="45">
        <f t="shared" ref="F278:AX278" si="112" xml:space="preserve"> F$276</f>
        <v>0</v>
      </c>
      <c r="G278" s="45" t="str">
        <f t="shared" si="112"/>
        <v>Btu trillion</v>
      </c>
      <c r="H278" s="45">
        <f t="shared" si="112"/>
        <v>0</v>
      </c>
      <c r="I278" s="45">
        <f t="shared" ca="1" si="112"/>
        <v>0</v>
      </c>
      <c r="J278" s="45">
        <f t="shared" si="112"/>
        <v>0</v>
      </c>
      <c r="K278" s="45">
        <f t="shared" ca="1" si="112"/>
        <v>0</v>
      </c>
      <c r="L278" s="45">
        <f t="shared" ca="1" si="112"/>
        <v>0</v>
      </c>
      <c r="M278" s="45">
        <f t="shared" ca="1" si="112"/>
        <v>0</v>
      </c>
      <c r="N278" s="45">
        <f t="shared" ca="1" si="112"/>
        <v>0</v>
      </c>
      <c r="O278" s="45">
        <f t="shared" ca="1" si="112"/>
        <v>0</v>
      </c>
      <c r="P278" s="45">
        <f t="shared" ca="1" si="112"/>
        <v>0</v>
      </c>
      <c r="Q278" s="45">
        <f t="shared" ca="1" si="112"/>
        <v>0</v>
      </c>
      <c r="R278" s="45">
        <f t="shared" ca="1" si="112"/>
        <v>0</v>
      </c>
      <c r="S278" s="45">
        <f t="shared" ca="1" si="112"/>
        <v>0</v>
      </c>
      <c r="T278" s="45">
        <f t="shared" ca="1" si="112"/>
        <v>0</v>
      </c>
      <c r="U278" s="45">
        <f t="shared" ca="1" si="112"/>
        <v>0</v>
      </c>
      <c r="V278" s="45">
        <f t="shared" ca="1" si="112"/>
        <v>0</v>
      </c>
      <c r="W278" s="45">
        <f t="shared" ca="1" si="112"/>
        <v>0</v>
      </c>
      <c r="X278" s="45">
        <f t="shared" ca="1" si="112"/>
        <v>0</v>
      </c>
      <c r="Y278" s="45">
        <f t="shared" ca="1" si="112"/>
        <v>0</v>
      </c>
      <c r="Z278" s="45">
        <f t="shared" ca="1" si="112"/>
        <v>0</v>
      </c>
      <c r="AA278" s="45">
        <f t="shared" ca="1" si="112"/>
        <v>0</v>
      </c>
      <c r="AB278" s="45">
        <f t="shared" ca="1" si="112"/>
        <v>0</v>
      </c>
      <c r="AC278" s="45">
        <f t="shared" ca="1" si="112"/>
        <v>0</v>
      </c>
      <c r="AD278" s="45">
        <f t="shared" ca="1" si="112"/>
        <v>0</v>
      </c>
      <c r="AE278" s="45">
        <f t="shared" ca="1" si="112"/>
        <v>0</v>
      </c>
      <c r="AF278" s="45">
        <f t="shared" ca="1" si="112"/>
        <v>0</v>
      </c>
      <c r="AG278" s="45">
        <f t="shared" ca="1" si="112"/>
        <v>0</v>
      </c>
      <c r="AH278" s="45">
        <f t="shared" ca="1" si="112"/>
        <v>0</v>
      </c>
      <c r="AI278" s="45">
        <f t="shared" ca="1" si="112"/>
        <v>0</v>
      </c>
      <c r="AJ278" s="45">
        <f t="shared" ca="1" si="112"/>
        <v>0</v>
      </c>
      <c r="AK278" s="45">
        <f t="shared" ca="1" si="112"/>
        <v>0</v>
      </c>
      <c r="AL278" s="45">
        <f t="shared" ca="1" si="112"/>
        <v>0</v>
      </c>
      <c r="AM278" s="45">
        <f t="shared" ca="1" si="112"/>
        <v>0</v>
      </c>
      <c r="AN278" s="45">
        <f t="shared" ca="1" si="112"/>
        <v>0</v>
      </c>
      <c r="AO278" s="45">
        <f t="shared" ca="1" si="112"/>
        <v>0</v>
      </c>
      <c r="AP278" s="45">
        <f t="shared" ca="1" si="112"/>
        <v>0</v>
      </c>
      <c r="AQ278" s="45">
        <f t="shared" ca="1" si="112"/>
        <v>0</v>
      </c>
      <c r="AR278" s="45">
        <f t="shared" ca="1" si="112"/>
        <v>0</v>
      </c>
      <c r="AS278" s="45">
        <f t="shared" ca="1" si="112"/>
        <v>0</v>
      </c>
      <c r="AT278" s="45">
        <f t="shared" ca="1" si="112"/>
        <v>0</v>
      </c>
      <c r="AU278" s="45">
        <f t="shared" ca="1" si="112"/>
        <v>0</v>
      </c>
      <c r="AV278" s="45">
        <f t="shared" ca="1" si="112"/>
        <v>0</v>
      </c>
      <c r="AW278" s="45">
        <f t="shared" ca="1" si="112"/>
        <v>0</v>
      </c>
      <c r="AX278" s="45">
        <f t="shared" ca="1" si="112"/>
        <v>0</v>
      </c>
    </row>
    <row r="279" spans="1:50" ht="15" customHeight="1">
      <c r="A279" s="73"/>
      <c r="B279" s="141"/>
      <c r="C279" s="75"/>
      <c r="D279" s="131"/>
      <c r="E279" s="107" t="str">
        <f xml:space="preserve"> Inputs!E$64</f>
        <v>Average carbon coefficient of coal combusted (EPA)</v>
      </c>
      <c r="F279" s="503">
        <f xml:space="preserve"> Inputs!F$64</f>
        <v>26.08</v>
      </c>
      <c r="G279" s="107" t="str">
        <f xml:space="preserve"> Inputs!G$64</f>
        <v>kilograms of Carbon / Btu mn</v>
      </c>
      <c r="H279" s="43"/>
      <c r="I279" s="76"/>
      <c r="J279" s="43"/>
      <c r="K279" s="174"/>
      <c r="L279" s="174"/>
      <c r="M279" s="174"/>
      <c r="N279" s="174"/>
      <c r="O279" s="174"/>
      <c r="P279" s="174"/>
      <c r="Q279" s="174"/>
      <c r="R279" s="174"/>
      <c r="S279" s="174"/>
      <c r="T279" s="174"/>
      <c r="U279" s="174"/>
      <c r="V279" s="174"/>
      <c r="W279" s="174"/>
      <c r="X279" s="174"/>
      <c r="Y279" s="174"/>
      <c r="Z279" s="174"/>
      <c r="AA279" s="174"/>
      <c r="AB279" s="174"/>
      <c r="AC279" s="174"/>
      <c r="AD279" s="174"/>
      <c r="AE279" s="174"/>
      <c r="AF279" s="174"/>
      <c r="AG279" s="174"/>
      <c r="AH279" s="174"/>
      <c r="AI279" s="174"/>
      <c r="AJ279" s="174"/>
      <c r="AK279" s="174"/>
      <c r="AL279" s="174"/>
      <c r="AM279" s="174"/>
      <c r="AN279" s="174"/>
      <c r="AO279" s="174"/>
      <c r="AP279" s="174"/>
      <c r="AQ279" s="174"/>
      <c r="AR279" s="174"/>
      <c r="AS279" s="174"/>
      <c r="AT279" s="174"/>
      <c r="AU279" s="174"/>
      <c r="AV279" s="174"/>
      <c r="AW279" s="174"/>
      <c r="AX279" s="174"/>
    </row>
    <row r="280" spans="1:50" ht="15" customHeight="1">
      <c r="A280" s="73"/>
      <c r="B280" s="141"/>
      <c r="C280" s="75"/>
      <c r="D280" s="131"/>
      <c r="E280" s="107" t="str">
        <f xml:space="preserve"> Inputs!E$65</f>
        <v>Ratio of molecular weight of carbon dioxide to carbon</v>
      </c>
      <c r="F280" s="503">
        <f xml:space="preserve"> Inputs!F$65</f>
        <v>3.6666666666666665</v>
      </c>
      <c r="G280" s="107" t="str">
        <f xml:space="preserve"> Inputs!G$65</f>
        <v>kilograms of CO2 / kilograms of Carbon</v>
      </c>
      <c r="H280" s="107">
        <f xml:space="preserve"> Inputs!H$65</f>
        <v>0</v>
      </c>
      <c r="I280" s="107">
        <f xml:space="preserve"> Inputs!I$65</f>
        <v>0</v>
      </c>
      <c r="J280" s="107">
        <f xml:space="preserve"> Inputs!J$65</f>
        <v>0</v>
      </c>
      <c r="K280" s="107">
        <f xml:space="preserve"> Inputs!K$65</f>
        <v>0</v>
      </c>
      <c r="L280" s="107">
        <f xml:space="preserve"> Inputs!L$65</f>
        <v>0</v>
      </c>
      <c r="M280" s="107">
        <f xml:space="preserve"> Inputs!M$65</f>
        <v>0</v>
      </c>
      <c r="N280" s="107">
        <f xml:space="preserve"> Inputs!N$65</f>
        <v>0</v>
      </c>
      <c r="O280" s="107">
        <f xml:space="preserve"> Inputs!O$65</f>
        <v>0</v>
      </c>
      <c r="P280" s="107">
        <f xml:space="preserve"> Inputs!P$65</f>
        <v>0</v>
      </c>
      <c r="Q280" s="107">
        <f xml:space="preserve"> Inputs!Q$65</f>
        <v>0</v>
      </c>
      <c r="R280" s="107">
        <f xml:space="preserve"> Inputs!R$65</f>
        <v>0</v>
      </c>
      <c r="S280" s="107">
        <f xml:space="preserve"> Inputs!S$65</f>
        <v>0</v>
      </c>
      <c r="T280" s="107">
        <f xml:space="preserve"> Inputs!T$65</f>
        <v>0</v>
      </c>
      <c r="U280" s="107">
        <f xml:space="preserve"> Inputs!U$65</f>
        <v>0</v>
      </c>
      <c r="V280" s="107">
        <f xml:space="preserve"> Inputs!V$65</f>
        <v>0</v>
      </c>
      <c r="W280" s="107">
        <f xml:space="preserve"> Inputs!W$65</f>
        <v>0</v>
      </c>
      <c r="X280" s="107">
        <f xml:space="preserve"> Inputs!X$65</f>
        <v>0</v>
      </c>
      <c r="Y280" s="107">
        <f xml:space="preserve"> Inputs!Y$65</f>
        <v>0</v>
      </c>
      <c r="Z280" s="107">
        <f xml:space="preserve"> Inputs!Z$65</f>
        <v>0</v>
      </c>
      <c r="AA280" s="107">
        <f xml:space="preserve"> Inputs!AA$65</f>
        <v>0</v>
      </c>
      <c r="AB280" s="107">
        <f xml:space="preserve"> Inputs!AB$65</f>
        <v>0</v>
      </c>
      <c r="AC280" s="107">
        <f xml:space="preserve"> Inputs!AC$65</f>
        <v>0</v>
      </c>
      <c r="AD280" s="107">
        <f xml:space="preserve"> Inputs!AD$65</f>
        <v>0</v>
      </c>
      <c r="AE280" s="107">
        <f xml:space="preserve"> Inputs!AE$65</f>
        <v>0</v>
      </c>
      <c r="AF280" s="107">
        <f xml:space="preserve"> Inputs!AF$65</f>
        <v>0</v>
      </c>
      <c r="AG280" s="107">
        <f xml:space="preserve"> Inputs!AG$65</f>
        <v>0</v>
      </c>
      <c r="AH280" s="107">
        <f xml:space="preserve"> Inputs!AH$65</f>
        <v>0</v>
      </c>
      <c r="AI280" s="107">
        <f xml:space="preserve"> Inputs!AI$65</f>
        <v>0</v>
      </c>
      <c r="AJ280" s="107">
        <f xml:space="preserve"> Inputs!AJ$65</f>
        <v>0</v>
      </c>
      <c r="AK280" s="107">
        <f xml:space="preserve"> Inputs!AK$65</f>
        <v>0</v>
      </c>
      <c r="AL280" s="107">
        <f xml:space="preserve"> Inputs!AL$65</f>
        <v>0</v>
      </c>
      <c r="AM280" s="107">
        <f xml:space="preserve"> Inputs!AM$65</f>
        <v>0</v>
      </c>
      <c r="AN280" s="107">
        <f xml:space="preserve"> Inputs!AN$65</f>
        <v>0</v>
      </c>
      <c r="AO280" s="107">
        <f xml:space="preserve"> Inputs!AO$65</f>
        <v>0</v>
      </c>
      <c r="AP280" s="107">
        <f xml:space="preserve"> Inputs!AP$65</f>
        <v>0</v>
      </c>
      <c r="AQ280" s="107">
        <f xml:space="preserve"> Inputs!AQ$65</f>
        <v>0</v>
      </c>
      <c r="AR280" s="107">
        <f xml:space="preserve"> Inputs!AR$65</f>
        <v>0</v>
      </c>
      <c r="AS280" s="107">
        <f xml:space="preserve"> Inputs!AS$65</f>
        <v>0</v>
      </c>
      <c r="AT280" s="107">
        <f xml:space="preserve"> Inputs!AT$65</f>
        <v>0</v>
      </c>
      <c r="AU280" s="107">
        <f xml:space="preserve"> Inputs!AU$65</f>
        <v>0</v>
      </c>
      <c r="AV280" s="107">
        <f xml:space="preserve"> Inputs!AV$65</f>
        <v>0</v>
      </c>
      <c r="AW280" s="107">
        <f xml:space="preserve"> Inputs!AW$65</f>
        <v>0</v>
      </c>
      <c r="AX280" s="107">
        <f xml:space="preserve"> Inputs!AX$65</f>
        <v>0</v>
      </c>
    </row>
    <row r="281" spans="1:50" ht="15" customHeight="1">
      <c r="A281" s="73"/>
      <c r="B281" s="141"/>
      <c r="C281" s="75"/>
      <c r="D281" s="131"/>
      <c r="E281" s="107" t="str">
        <f xml:space="preserve"> Inputs!E$76</f>
        <v>one thousand</v>
      </c>
      <c r="F281" s="107">
        <f xml:space="preserve"> Inputs!F$76</f>
        <v>1000</v>
      </c>
      <c r="G281" s="107" t="str">
        <f xml:space="preserve"> Inputs!G$76</f>
        <v>Constant</v>
      </c>
      <c r="H281" s="43"/>
      <c r="I281" s="76"/>
      <c r="J281" s="43"/>
      <c r="K281" s="174"/>
      <c r="L281" s="174"/>
      <c r="M281" s="174"/>
      <c r="N281" s="174"/>
      <c r="O281" s="174"/>
      <c r="P281" s="174"/>
      <c r="Q281" s="174"/>
      <c r="R281" s="174"/>
      <c r="S281" s="174"/>
      <c r="T281" s="174"/>
      <c r="U281" s="174"/>
      <c r="V281" s="174"/>
      <c r="W281" s="174"/>
      <c r="X281" s="174"/>
      <c r="Y281" s="174"/>
      <c r="Z281" s="174"/>
      <c r="AA281" s="174"/>
      <c r="AB281" s="174"/>
      <c r="AC281" s="174"/>
      <c r="AD281" s="174"/>
      <c r="AE281" s="174"/>
      <c r="AF281" s="174"/>
      <c r="AG281" s="174"/>
      <c r="AH281" s="174"/>
      <c r="AI281" s="174"/>
      <c r="AJ281" s="174"/>
      <c r="AK281" s="174"/>
      <c r="AL281" s="174"/>
      <c r="AM281" s="174"/>
      <c r="AN281" s="174"/>
      <c r="AO281" s="174"/>
      <c r="AP281" s="174"/>
      <c r="AQ281" s="174"/>
      <c r="AR281" s="174"/>
      <c r="AS281" s="174"/>
      <c r="AT281" s="174"/>
      <c r="AU281" s="174"/>
      <c r="AV281" s="174"/>
      <c r="AW281" s="174"/>
      <c r="AX281" s="174"/>
    </row>
    <row r="282" spans="1:50" s="66" customFormat="1" ht="15" customHeight="1">
      <c r="A282" s="168"/>
      <c r="B282" s="165"/>
      <c r="C282" s="166"/>
      <c r="D282" s="167"/>
      <c r="E282" s="142" t="str">
        <f>Translate!$E$432</f>
        <v>Scope 3: GHG emissions from coal combusted</v>
      </c>
      <c r="F282" s="142"/>
      <c r="G282" s="142" t="str">
        <f xml:space="preserve"> Translate!E$729</f>
        <v>Mn t CO2 eq</v>
      </c>
      <c r="H282" s="142"/>
      <c r="I282" s="142">
        <f ca="1" xml:space="preserve"> SUM(K282:AX282)</f>
        <v>0</v>
      </c>
      <c r="J282" s="142"/>
      <c r="K282" s="142">
        <f ca="1" xml:space="preserve"> K278 * $F279 * $F280 / $F281</f>
        <v>0</v>
      </c>
      <c r="L282" s="142">
        <f t="shared" ref="L282:AX282" ca="1" si="113" xml:space="preserve"> L278 * $F279 * $F280 / $F281</f>
        <v>0</v>
      </c>
      <c r="M282" s="142">
        <f t="shared" ca="1" si="113"/>
        <v>0</v>
      </c>
      <c r="N282" s="142">
        <f t="shared" ca="1" si="113"/>
        <v>0</v>
      </c>
      <c r="O282" s="142">
        <f t="shared" ca="1" si="113"/>
        <v>0</v>
      </c>
      <c r="P282" s="142">
        <f t="shared" ca="1" si="113"/>
        <v>0</v>
      </c>
      <c r="Q282" s="142">
        <f t="shared" ca="1" si="113"/>
        <v>0</v>
      </c>
      <c r="R282" s="142">
        <f t="shared" ca="1" si="113"/>
        <v>0</v>
      </c>
      <c r="S282" s="142">
        <f t="shared" ca="1" si="113"/>
        <v>0</v>
      </c>
      <c r="T282" s="142">
        <f t="shared" ca="1" si="113"/>
        <v>0</v>
      </c>
      <c r="U282" s="142">
        <f t="shared" ca="1" si="113"/>
        <v>0</v>
      </c>
      <c r="V282" s="142">
        <f t="shared" ca="1" si="113"/>
        <v>0</v>
      </c>
      <c r="W282" s="142">
        <f t="shared" ca="1" si="113"/>
        <v>0</v>
      </c>
      <c r="X282" s="142">
        <f t="shared" ca="1" si="113"/>
        <v>0</v>
      </c>
      <c r="Y282" s="142">
        <f t="shared" ca="1" si="113"/>
        <v>0</v>
      </c>
      <c r="Z282" s="142">
        <f t="shared" ca="1" si="113"/>
        <v>0</v>
      </c>
      <c r="AA282" s="142">
        <f t="shared" ca="1" si="113"/>
        <v>0</v>
      </c>
      <c r="AB282" s="142">
        <f t="shared" ca="1" si="113"/>
        <v>0</v>
      </c>
      <c r="AC282" s="142">
        <f t="shared" ca="1" si="113"/>
        <v>0</v>
      </c>
      <c r="AD282" s="142">
        <f t="shared" ca="1" si="113"/>
        <v>0</v>
      </c>
      <c r="AE282" s="142">
        <f t="shared" ca="1" si="113"/>
        <v>0</v>
      </c>
      <c r="AF282" s="142">
        <f t="shared" ca="1" si="113"/>
        <v>0</v>
      </c>
      <c r="AG282" s="142">
        <f t="shared" ca="1" si="113"/>
        <v>0</v>
      </c>
      <c r="AH282" s="142">
        <f t="shared" ca="1" si="113"/>
        <v>0</v>
      </c>
      <c r="AI282" s="142">
        <f t="shared" ca="1" si="113"/>
        <v>0</v>
      </c>
      <c r="AJ282" s="142">
        <f t="shared" ca="1" si="113"/>
        <v>0</v>
      </c>
      <c r="AK282" s="142">
        <f t="shared" ca="1" si="113"/>
        <v>0</v>
      </c>
      <c r="AL282" s="142">
        <f t="shared" ca="1" si="113"/>
        <v>0</v>
      </c>
      <c r="AM282" s="142">
        <f t="shared" ca="1" si="113"/>
        <v>0</v>
      </c>
      <c r="AN282" s="142">
        <f t="shared" ca="1" si="113"/>
        <v>0</v>
      </c>
      <c r="AO282" s="142">
        <f t="shared" ca="1" si="113"/>
        <v>0</v>
      </c>
      <c r="AP282" s="142">
        <f t="shared" ca="1" si="113"/>
        <v>0</v>
      </c>
      <c r="AQ282" s="142">
        <f t="shared" ca="1" si="113"/>
        <v>0</v>
      </c>
      <c r="AR282" s="142">
        <f t="shared" ca="1" si="113"/>
        <v>0</v>
      </c>
      <c r="AS282" s="142">
        <f t="shared" ca="1" si="113"/>
        <v>0</v>
      </c>
      <c r="AT282" s="142">
        <f t="shared" ca="1" si="113"/>
        <v>0</v>
      </c>
      <c r="AU282" s="142">
        <f t="shared" ca="1" si="113"/>
        <v>0</v>
      </c>
      <c r="AV282" s="142">
        <f t="shared" ca="1" si="113"/>
        <v>0</v>
      </c>
      <c r="AW282" s="142">
        <f t="shared" ca="1" si="113"/>
        <v>0</v>
      </c>
      <c r="AX282" s="142">
        <f t="shared" ca="1" si="113"/>
        <v>0</v>
      </c>
    </row>
    <row r="283" spans="1:50" ht="15" customHeight="1">
      <c r="A283" s="73"/>
      <c r="B283" s="141"/>
      <c r="C283" s="75"/>
      <c r="D283" s="131"/>
      <c r="E283" s="45"/>
      <c r="F283" s="46"/>
      <c r="G283" s="43"/>
      <c r="H283" s="43"/>
      <c r="I283" s="76"/>
      <c r="J283" s="43"/>
      <c r="K283" s="174"/>
      <c r="L283" s="174"/>
      <c r="M283" s="174"/>
      <c r="N283" s="174"/>
      <c r="O283" s="174"/>
      <c r="P283" s="174"/>
      <c r="Q283" s="174"/>
      <c r="R283" s="174"/>
      <c r="S283" s="174"/>
      <c r="T283" s="174"/>
      <c r="U283" s="174"/>
      <c r="V283" s="174"/>
      <c r="W283" s="174"/>
      <c r="X283" s="174"/>
      <c r="Y283" s="174"/>
      <c r="Z283" s="174"/>
      <c r="AA283" s="174"/>
      <c r="AB283" s="174"/>
      <c r="AC283" s="174"/>
      <c r="AD283" s="174"/>
      <c r="AE283" s="174"/>
      <c r="AF283" s="174"/>
      <c r="AG283" s="174"/>
      <c r="AH283" s="174"/>
      <c r="AI283" s="174"/>
      <c r="AJ283" s="174"/>
      <c r="AK283" s="174"/>
      <c r="AL283" s="174"/>
      <c r="AM283" s="174"/>
      <c r="AN283" s="174"/>
      <c r="AO283" s="174"/>
      <c r="AP283" s="174"/>
      <c r="AQ283" s="174"/>
      <c r="AR283" s="174"/>
      <c r="AS283" s="174"/>
      <c r="AT283" s="174"/>
      <c r="AU283" s="174"/>
      <c r="AV283" s="174"/>
      <c r="AW283" s="174"/>
      <c r="AX283" s="174"/>
    </row>
    <row r="284" spans="1:50" ht="15" customHeight="1">
      <c r="A284" s="73"/>
      <c r="B284" s="141"/>
      <c r="C284" s="75"/>
      <c r="D284" s="131"/>
      <c r="E284" s="45"/>
      <c r="F284" s="46"/>
      <c r="G284" s="43"/>
      <c r="H284" s="43"/>
      <c r="I284" s="76"/>
      <c r="J284" s="43"/>
      <c r="K284" s="174"/>
      <c r="L284" s="174"/>
      <c r="M284" s="174"/>
      <c r="N284" s="174"/>
      <c r="O284" s="174"/>
      <c r="P284" s="174"/>
      <c r="Q284" s="174"/>
      <c r="R284" s="174"/>
      <c r="S284" s="174"/>
      <c r="T284" s="174"/>
      <c r="U284" s="174"/>
      <c r="V284" s="174"/>
      <c r="W284" s="174"/>
      <c r="X284" s="174"/>
      <c r="Y284" s="174"/>
      <c r="Z284" s="174"/>
      <c r="AA284" s="174"/>
      <c r="AB284" s="174"/>
      <c r="AC284" s="174"/>
      <c r="AD284" s="174"/>
      <c r="AE284" s="174"/>
      <c r="AF284" s="174"/>
      <c r="AG284" s="174"/>
      <c r="AH284" s="174"/>
      <c r="AI284" s="174"/>
      <c r="AJ284" s="174"/>
      <c r="AK284" s="174"/>
      <c r="AL284" s="174"/>
      <c r="AM284" s="174"/>
      <c r="AN284" s="174"/>
      <c r="AO284" s="174"/>
      <c r="AP284" s="174"/>
      <c r="AQ284" s="174"/>
      <c r="AR284" s="174"/>
      <c r="AS284" s="174"/>
      <c r="AT284" s="174"/>
      <c r="AU284" s="174"/>
      <c r="AV284" s="174"/>
      <c r="AW284" s="174"/>
      <c r="AX284" s="174"/>
    </row>
    <row r="285" spans="1:50" ht="15" customHeight="1">
      <c r="A285" s="56" t="e">
        <f ca="1" xml:space="preserve"> $A$1 &amp; ": " &amp; Translate!$E$609</f>
        <v>#VALUE!</v>
      </c>
      <c r="B285" s="56"/>
      <c r="C285" s="199"/>
      <c r="D285" s="200"/>
      <c r="E285" s="56"/>
      <c r="F285" s="56"/>
      <c r="G285" s="56"/>
    </row>
    <row r="286" spans="1:50" ht="15" customHeight="1">
      <c r="A286" s="57"/>
      <c r="B286" s="58"/>
      <c r="C286" s="201"/>
      <c r="D286" s="59"/>
      <c r="E286" s="124"/>
      <c r="F286" s="851" t="str">
        <f xml:space="preserve"> Translate!E$565</f>
        <v>do not delete row</v>
      </c>
      <c r="G286" s="57"/>
    </row>
    <row r="287" spans="1:50" ht="15" customHeight="1">
      <c r="A287" s="46"/>
      <c r="B287" s="46"/>
      <c r="C287" s="117"/>
      <c r="D287" s="118"/>
      <c r="E287" s="60" t="str">
        <f xml:space="preserve"> E$40</f>
        <v>Check: First row of project data</v>
      </c>
      <c r="F287" s="61">
        <f xml:space="preserve"> F$40</f>
        <v>0</v>
      </c>
      <c r="G287" s="60" t="str">
        <f xml:space="preserve"> G$40</f>
        <v>Check</v>
      </c>
    </row>
    <row r="288" spans="1:50" ht="15" customHeight="1">
      <c r="A288" s="46"/>
      <c r="B288" s="46"/>
      <c r="C288" s="117"/>
      <c r="D288" s="118"/>
      <c r="E288" s="60" t="str">
        <f xml:space="preserve"> ProjectCashflows!E$266</f>
        <v>Check: Project cashflow before decommissioning fund, Total</v>
      </c>
      <c r="F288" s="61">
        <f ca="1" xml:space="preserve"> ProjectCashflows!F$266</f>
        <v>0</v>
      </c>
      <c r="G288" s="60" t="str">
        <f xml:space="preserve"> ProjectCashflows!G$266</f>
        <v>Check</v>
      </c>
      <c r="H288" s="43"/>
      <c r="I288" s="43"/>
      <c r="J288" s="43"/>
      <c r="K288" s="46"/>
      <c r="L288" s="46"/>
      <c r="M288" s="46"/>
      <c r="N288" s="46"/>
      <c r="O288" s="46"/>
      <c r="P288" s="46"/>
      <c r="Q288" s="46"/>
      <c r="R288" s="46"/>
      <c r="S288" s="46"/>
      <c r="T288" s="46"/>
      <c r="U288" s="46"/>
      <c r="V288" s="46"/>
      <c r="W288" s="46"/>
      <c r="X288" s="46"/>
      <c r="Y288" s="46"/>
      <c r="Z288" s="46"/>
      <c r="AA288" s="46"/>
      <c r="AB288" s="46"/>
      <c r="AC288" s="46"/>
      <c r="AD288" s="46"/>
      <c r="AE288" s="46"/>
      <c r="AF288" s="46"/>
      <c r="AG288" s="46"/>
      <c r="AH288" s="46"/>
      <c r="AI288" s="46"/>
      <c r="AJ288" s="46"/>
      <c r="AK288" s="46"/>
      <c r="AL288" s="46"/>
      <c r="AM288" s="46"/>
      <c r="AN288" s="46"/>
      <c r="AO288" s="46"/>
      <c r="AP288" s="46"/>
      <c r="AQ288" s="46"/>
      <c r="AR288" s="46"/>
      <c r="AS288" s="46"/>
      <c r="AT288" s="46"/>
      <c r="AU288" s="46"/>
      <c r="AV288" s="46"/>
      <c r="AW288" s="46"/>
      <c r="AX288" s="46"/>
    </row>
    <row r="289" spans="1:7" ht="15" customHeight="1">
      <c r="A289" s="57"/>
      <c r="B289" s="58"/>
      <c r="C289" s="201"/>
      <c r="D289" s="59"/>
      <c r="E289" s="124"/>
      <c r="F289" s="851" t="str">
        <f xml:space="preserve"> Translate!E$565</f>
        <v>do not delete row</v>
      </c>
      <c r="G289" s="57"/>
    </row>
    <row r="290" spans="1:7" ht="15" customHeight="1">
      <c r="A290" s="19"/>
      <c r="B290" s="19"/>
      <c r="C290" s="202"/>
      <c r="D290" s="203"/>
      <c r="E290" s="4" t="e">
        <f ca="1" xml:space="preserve"> Translate!$E$639 &amp; ": " &amp; $A$1</f>
        <v>#VALUE!</v>
      </c>
      <c r="F290" s="62">
        <f ca="1" xml:space="preserve"> SUM(F286:F289)</f>
        <v>0</v>
      </c>
      <c r="G290" s="1041" t="str">
        <f xml:space="preserve"> Translate!E$444</f>
        <v>Check</v>
      </c>
    </row>
  </sheetData>
  <conditionalFormatting sqref="F3">
    <cfRule type="cellIs" dxfId="125" priority="25" stopIfTrue="1" operator="notEqual">
      <formula>0</formula>
    </cfRule>
    <cfRule type="cellIs" dxfId="124" priority="26" stopIfTrue="1" operator="equal">
      <formula>""</formula>
    </cfRule>
  </conditionalFormatting>
  <conditionalFormatting sqref="F3">
    <cfRule type="cellIs" dxfId="123" priority="23" stopIfTrue="1" operator="notEqual">
      <formula>0</formula>
    </cfRule>
    <cfRule type="cellIs" dxfId="122" priority="24" stopIfTrue="1" operator="equal">
      <formula>""</formula>
    </cfRule>
  </conditionalFormatting>
  <conditionalFormatting sqref="F266">
    <cfRule type="cellIs" dxfId="121" priority="21" stopIfTrue="1" operator="notEqual">
      <formula>0</formula>
    </cfRule>
    <cfRule type="cellIs" dxfId="120" priority="22" stopIfTrue="1" operator="equal">
      <formula>""</formula>
    </cfRule>
  </conditionalFormatting>
  <conditionalFormatting sqref="F40">
    <cfRule type="cellIs" dxfId="119" priority="19" stopIfTrue="1" operator="notEqual">
      <formula>0</formula>
    </cfRule>
    <cfRule type="cellIs" dxfId="118" priority="20" stopIfTrue="1" operator="equal">
      <formula>""</formula>
    </cfRule>
  </conditionalFormatting>
  <conditionalFormatting sqref="F40">
    <cfRule type="cellIs" dxfId="117" priority="17" stopIfTrue="1" operator="notEqual">
      <formula>0</formula>
    </cfRule>
    <cfRule type="cellIs" dxfId="116" priority="18" stopIfTrue="1" operator="equal">
      <formula>""</formula>
    </cfRule>
  </conditionalFormatting>
  <conditionalFormatting sqref="F287">
    <cfRule type="cellIs" dxfId="115" priority="15" stopIfTrue="1" operator="notEqual">
      <formula>0</formula>
    </cfRule>
    <cfRule type="cellIs" dxfId="114" priority="16" stopIfTrue="1" operator="equal">
      <formula>""</formula>
    </cfRule>
  </conditionalFormatting>
  <conditionalFormatting sqref="F290">
    <cfRule type="cellIs" dxfId="113" priority="13" stopIfTrue="1" operator="notEqual">
      <formula>0</formula>
    </cfRule>
    <cfRule type="cellIs" dxfId="112" priority="14" stopIfTrue="1" operator="equal">
      <formula>""</formula>
    </cfRule>
  </conditionalFormatting>
  <conditionalFormatting sqref="F288">
    <cfRule type="cellIs" dxfId="111" priority="11" stopIfTrue="1" operator="notEqual">
      <formula>0</formula>
    </cfRule>
    <cfRule type="cellIs" dxfId="110" priority="12" stopIfTrue="1" operator="equal">
      <formula>""</formula>
    </cfRule>
  </conditionalFormatting>
  <conditionalFormatting sqref="K3">
    <cfRule type="cellIs" dxfId="109" priority="5" stopIfTrue="1" operator="notEqual">
      <formula>0</formula>
    </cfRule>
    <cfRule type="cellIs" dxfId="108" priority="6" stopIfTrue="1" operator="equal">
      <formula>""</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00B0F0"/>
    <pageSetUpPr autoPageBreaks="0"/>
  </sheetPr>
  <dimension ref="A1:AX325"/>
  <sheetViews>
    <sheetView zoomScale="85" zoomScaleNormal="85" workbookViewId="0">
      <pane xSplit="10" ySplit="3" topLeftCell="K4" activePane="bottomRight" state="frozen"/>
      <selection pane="bottomRight" activeCell="E4" sqref="E4"/>
      <selection pane="bottomLeft" activeCell="H1" sqref="H1:H1048576"/>
      <selection pane="topRight" activeCell="H1" sqref="H1:H1048576"/>
    </sheetView>
  </sheetViews>
  <sheetFormatPr defaultColWidth="0" defaultRowHeight="15" outlineLevelCol="1"/>
  <cols>
    <col min="1" max="1" width="1.28515625" style="73" customWidth="1"/>
    <col min="2" max="4" width="1.28515625" style="76" customWidth="1"/>
    <col min="5" max="5" width="50.7109375" style="76" customWidth="1"/>
    <col min="6" max="6" width="12.7109375" style="76" customWidth="1"/>
    <col min="7" max="7" width="20.7109375" style="77" customWidth="1"/>
    <col min="8" max="8" width="40.7109375" style="77" hidden="1" customWidth="1" outlineLevel="1"/>
    <col min="9" max="9" width="12.7109375" style="77" customWidth="1" collapsed="1"/>
    <col min="10" max="10" width="3.7109375" style="77" customWidth="1"/>
    <col min="11" max="12" width="10.7109375" style="76" customWidth="1"/>
    <col min="13" max="13" width="10.7109375" style="78" customWidth="1"/>
    <col min="14" max="50" width="10.7109375" style="76" customWidth="1"/>
    <col min="51" max="16384" width="9.140625" style="76" hidden="1"/>
  </cols>
  <sheetData>
    <row r="1" spans="1:50" s="267" customFormat="1">
      <c r="A1" s="299" t="e">
        <f ca="1" xml:space="preserve"> RIGHT( CELL("filename",$A$1), LEN( CELL("filename",$A$1)) - SEARCH("]", CELL("filename",$A$1)))</f>
        <v>#VALUE!</v>
      </c>
      <c r="K1" s="267">
        <f xml:space="preserve"> ProjectCashflows!K$48</f>
        <v>2021</v>
      </c>
      <c r="L1" s="267">
        <f xml:space="preserve"> ProjectCashflows!L$48</f>
        <v>2022</v>
      </c>
      <c r="M1" s="267">
        <f xml:space="preserve"> ProjectCashflows!M$48</f>
        <v>2023</v>
      </c>
      <c r="N1" s="267">
        <f xml:space="preserve"> ProjectCashflows!N$48</f>
        <v>2024</v>
      </c>
      <c r="O1" s="267">
        <f xml:space="preserve"> ProjectCashflows!O$48</f>
        <v>2025</v>
      </c>
      <c r="P1" s="267">
        <f xml:space="preserve"> ProjectCashflows!P$48</f>
        <v>2026</v>
      </c>
      <c r="Q1" s="267">
        <f xml:space="preserve"> ProjectCashflows!Q$48</f>
        <v>2027</v>
      </c>
      <c r="R1" s="267">
        <f xml:space="preserve"> ProjectCashflows!R$48</f>
        <v>2028</v>
      </c>
      <c r="S1" s="267">
        <f xml:space="preserve"> ProjectCashflows!S$48</f>
        <v>2029</v>
      </c>
      <c r="T1" s="267">
        <f xml:space="preserve"> ProjectCashflows!T$48</f>
        <v>2030</v>
      </c>
      <c r="U1" s="267">
        <f xml:space="preserve"> ProjectCashflows!U$48</f>
        <v>2031</v>
      </c>
      <c r="V1" s="267">
        <f xml:space="preserve"> ProjectCashflows!V$48</f>
        <v>2032</v>
      </c>
      <c r="W1" s="267">
        <f xml:space="preserve"> ProjectCashflows!W$48</f>
        <v>2033</v>
      </c>
      <c r="X1" s="267">
        <f xml:space="preserve"> ProjectCashflows!X$48</f>
        <v>2034</v>
      </c>
      <c r="Y1" s="267">
        <f xml:space="preserve"> ProjectCashflows!Y$48</f>
        <v>2035</v>
      </c>
      <c r="Z1" s="267">
        <f xml:space="preserve"> ProjectCashflows!Z$48</f>
        <v>2036</v>
      </c>
      <c r="AA1" s="267">
        <f xml:space="preserve"> ProjectCashflows!AA$48</f>
        <v>2037</v>
      </c>
      <c r="AB1" s="267">
        <f xml:space="preserve"> ProjectCashflows!AB$48</f>
        <v>2038</v>
      </c>
      <c r="AC1" s="267">
        <f xml:space="preserve"> ProjectCashflows!AC$48</f>
        <v>2039</v>
      </c>
      <c r="AD1" s="267">
        <f xml:space="preserve"> ProjectCashflows!AD$48</f>
        <v>2040</v>
      </c>
      <c r="AE1" s="267">
        <f xml:space="preserve"> ProjectCashflows!AE$48</f>
        <v>2041</v>
      </c>
      <c r="AF1" s="267">
        <f xml:space="preserve"> ProjectCashflows!AF$48</f>
        <v>2042</v>
      </c>
      <c r="AG1" s="267">
        <f xml:space="preserve"> ProjectCashflows!AG$48</f>
        <v>2043</v>
      </c>
      <c r="AH1" s="267">
        <f xml:space="preserve"> ProjectCashflows!AH$48</f>
        <v>2044</v>
      </c>
      <c r="AI1" s="267">
        <f xml:space="preserve"> ProjectCashflows!AI$48</f>
        <v>2045</v>
      </c>
      <c r="AJ1" s="267">
        <f xml:space="preserve"> ProjectCashflows!AJ$48</f>
        <v>2046</v>
      </c>
      <c r="AK1" s="267">
        <f xml:space="preserve"> ProjectCashflows!AK$48</f>
        <v>2047</v>
      </c>
      <c r="AL1" s="267">
        <f xml:space="preserve"> ProjectCashflows!AL$48</f>
        <v>2048</v>
      </c>
      <c r="AM1" s="267">
        <f xml:space="preserve"> ProjectCashflows!AM$48</f>
        <v>2049</v>
      </c>
      <c r="AN1" s="267">
        <f xml:space="preserve"> ProjectCashflows!AN$48</f>
        <v>2050</v>
      </c>
      <c r="AO1" s="267">
        <f xml:space="preserve"> ProjectCashflows!AO$48</f>
        <v>2051</v>
      </c>
      <c r="AP1" s="267">
        <f xml:space="preserve"> ProjectCashflows!AP$48</f>
        <v>2052</v>
      </c>
      <c r="AQ1" s="267">
        <f xml:space="preserve"> ProjectCashflows!AQ$48</f>
        <v>2053</v>
      </c>
      <c r="AR1" s="267">
        <f xml:space="preserve"> ProjectCashflows!AR$48</f>
        <v>2054</v>
      </c>
      <c r="AS1" s="267">
        <f xml:space="preserve"> ProjectCashflows!AS$48</f>
        <v>2055</v>
      </c>
      <c r="AT1" s="267">
        <f xml:space="preserve"> ProjectCashflows!AT$48</f>
        <v>2056</v>
      </c>
      <c r="AU1" s="267">
        <f xml:space="preserve"> ProjectCashflows!AU$48</f>
        <v>2057</v>
      </c>
      <c r="AV1" s="267">
        <f xml:space="preserve"> ProjectCashflows!AV$48</f>
        <v>2058</v>
      </c>
      <c r="AW1" s="267">
        <f xml:space="preserve"> ProjectCashflows!AW$48</f>
        <v>2059</v>
      </c>
      <c r="AX1" s="267">
        <f xml:space="preserve"> ProjectCashflows!AX$48</f>
        <v>2060</v>
      </c>
    </row>
    <row r="2" spans="1:50" s="83" customFormat="1" ht="15" customHeight="1">
      <c r="A2" s="80"/>
      <c r="B2" s="81"/>
      <c r="C2" s="82"/>
      <c r="D2" s="82"/>
      <c r="E2" s="76" t="str">
        <f>Translate!$E$391</f>
        <v>Row description</v>
      </c>
      <c r="F2" s="866" t="str">
        <f xml:space="preserve"> Translate!E$554</f>
        <v>Constant</v>
      </c>
      <c r="G2" s="857" t="str">
        <f xml:space="preserve"> Translate!E$445</f>
        <v>Units</v>
      </c>
      <c r="H2" s="1052" t="str">
        <f>Translate!$E$280</f>
        <v>Comments</v>
      </c>
      <c r="I2" s="857" t="str">
        <f xml:space="preserve"> Translate!E$19</f>
        <v>Total</v>
      </c>
      <c r="J2" s="41"/>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row>
    <row r="3" spans="1:50" s="83" customFormat="1" ht="15" customHeight="1">
      <c r="A3" s="80"/>
      <c r="B3" s="81"/>
      <c r="C3" s="82"/>
      <c r="D3" s="82"/>
      <c r="E3" s="76"/>
      <c r="F3" s="128">
        <f ca="1" xml:space="preserve"> ReadMe!$D$7</f>
        <v>0</v>
      </c>
      <c r="G3" s="77" t="str">
        <f xml:space="preserve"> ReadMe!$E$7</f>
        <v>Checks</v>
      </c>
      <c r="H3" s="77"/>
      <c r="I3" s="77"/>
      <c r="J3" s="41"/>
      <c r="K3" s="512">
        <f ca="1" xml:space="preserve"> Track!$F$1</f>
        <v>0</v>
      </c>
      <c r="L3" s="1041" t="str">
        <f xml:space="preserve"> Track!$G$1</f>
        <v>Track changes</v>
      </c>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row>
    <row r="4" spans="1:50" s="93" customFormat="1" ht="15" customHeight="1">
      <c r="A4" s="56" t="str">
        <f>Translate!E$11 &amp; ": " &amp; Inputs!F$86 &amp; ", " &amp; Inputs!F$83</f>
        <v>Analysis: nominal, full-cycle</v>
      </c>
      <c r="B4" s="56"/>
      <c r="C4" s="56"/>
      <c r="D4" s="56"/>
      <c r="E4" s="56"/>
      <c r="F4" s="56"/>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c r="AJ4" s="56"/>
      <c r="AK4" s="56"/>
      <c r="AL4" s="56"/>
      <c r="AM4" s="56"/>
      <c r="AN4" s="56"/>
      <c r="AO4" s="56"/>
      <c r="AP4" s="56"/>
      <c r="AQ4" s="56"/>
      <c r="AR4" s="56"/>
      <c r="AS4" s="56"/>
      <c r="AT4" s="56"/>
      <c r="AU4" s="56"/>
      <c r="AV4" s="56"/>
      <c r="AW4" s="56"/>
      <c r="AX4" s="56"/>
    </row>
    <row r="5" spans="1:50" s="93" customFormat="1" ht="15" customHeight="1">
      <c r="A5" s="90"/>
      <c r="B5" s="134"/>
    </row>
    <row r="6" spans="1:50" s="93" customFormat="1" ht="15" customHeight="1">
      <c r="A6" s="90"/>
      <c r="B6" s="156" t="str">
        <f xml:space="preserve"> Translate!E$12 &amp; ": " &amp; Inputs!F$83 &amp; ", " &amp; Inputs!F$86</f>
        <v>Cashflows: full-cycle, nominal</v>
      </c>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s="93" customFormat="1" ht="15" customHeight="1">
      <c r="A7" s="90"/>
      <c r="B7" s="156"/>
      <c r="C7" s="92" t="str">
        <f>Translate!E15  &amp; ": " &amp; Inputs!F$83 &amp; ", " &amp; Inputs!F$86</f>
        <v>Project cashflows: full-cycle, nominal</v>
      </c>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s="204" customFormat="1" ht="15" customHeight="1">
      <c r="B8" s="205"/>
      <c r="E8" s="204" t="str">
        <f xml:space="preserve"> ProjectCashflows!E$234</f>
        <v>Sales revenues: gross, after ELT</v>
      </c>
      <c r="F8" s="204">
        <f xml:space="preserve"> ProjectCashflows!F$234</f>
        <v>0</v>
      </c>
      <c r="G8" s="204" t="str">
        <f xml:space="preserve"> ProjectCashflows!G$234</f>
        <v>US$ mn</v>
      </c>
      <c r="H8" s="204">
        <f xml:space="preserve"> ProjectCashflows!H$234</f>
        <v>0</v>
      </c>
      <c r="I8" s="204">
        <f ca="1" xml:space="preserve"> ProjectCashflows!I$234</f>
        <v>3796.5539177649084</v>
      </c>
      <c r="J8" s="204">
        <f xml:space="preserve"> ProjectCashflows!J$234</f>
        <v>0</v>
      </c>
      <c r="K8" s="204">
        <f ca="1" xml:space="preserve"> ProjectCashflows!K$234</f>
        <v>0</v>
      </c>
      <c r="L8" s="204">
        <f ca="1" xml:space="preserve"> ProjectCashflows!L$234</f>
        <v>0</v>
      </c>
      <c r="M8" s="204">
        <f ca="1" xml:space="preserve"> ProjectCashflows!M$234</f>
        <v>0</v>
      </c>
      <c r="N8" s="204">
        <f ca="1" xml:space="preserve"> ProjectCashflows!N$234</f>
        <v>0</v>
      </c>
      <c r="O8" s="204">
        <f ca="1" xml:space="preserve"> ProjectCashflows!O$234</f>
        <v>16.2364824</v>
      </c>
      <c r="P8" s="204">
        <f ca="1" xml:space="preserve"> ProjectCashflows!P$234</f>
        <v>124.20909036</v>
      </c>
      <c r="Q8" s="204">
        <f ca="1" xml:space="preserve"> ProjectCashflows!Q$234</f>
        <v>253.38654433440001</v>
      </c>
      <c r="R8" s="204">
        <f ca="1" xml:space="preserve"> ProjectCashflows!R$234</f>
        <v>258.45427522108798</v>
      </c>
      <c r="S8" s="204">
        <f ca="1" xml:space="preserve"> ProjectCashflows!S$234</f>
        <v>263.62336072550977</v>
      </c>
      <c r="T8" s="204">
        <f ca="1" xml:space="preserve"> ProjectCashflows!T$234</f>
        <v>268.89582794002001</v>
      </c>
      <c r="U8" s="204">
        <f ca="1" xml:space="preserve"> ProjectCashflows!U$234</f>
        <v>274.27374449882041</v>
      </c>
      <c r="V8" s="204">
        <f ca="1" xml:space="preserve"> ProjectCashflows!V$234</f>
        <v>279.75921938879679</v>
      </c>
      <c r="W8" s="204">
        <f ca="1" xml:space="preserve"> ProjectCashflows!W$234</f>
        <v>285.35440377657272</v>
      </c>
      <c r="X8" s="204">
        <f ca="1" xml:space="preserve"> ProjectCashflows!X$234</f>
        <v>291.06149185210415</v>
      </c>
      <c r="Y8" s="204">
        <f ca="1" xml:space="preserve"> ProjectCashflows!Y$234</f>
        <v>296.88272168914631</v>
      </c>
      <c r="Z8" s="204">
        <f ca="1" xml:space="preserve"> ProjectCashflows!Z$234</f>
        <v>302.82037612292925</v>
      </c>
      <c r="AA8" s="204">
        <f ca="1" xml:space="preserve"> ProjectCashflows!AA$234</f>
        <v>257.39731970448986</v>
      </c>
      <c r="AB8" s="204">
        <f ca="1" xml:space="preserve"> ProjectCashflows!AB$234</f>
        <v>210.03621287886372</v>
      </c>
      <c r="AC8" s="204">
        <f ca="1" xml:space="preserve"> ProjectCashflows!AC$234</f>
        <v>160.67770285233075</v>
      </c>
      <c r="AD8" s="204">
        <f ca="1" xml:space="preserve"> ProjectCashflows!AD$234</f>
        <v>142.03908932146038</v>
      </c>
      <c r="AE8" s="204">
        <f ca="1" xml:space="preserve"> ProjectCashflows!AE$234</f>
        <v>111.44605469837661</v>
      </c>
      <c r="AF8" s="204">
        <f ca="1" xml:space="preserve"> ProjectCashflows!AF$234</f>
        <v>0</v>
      </c>
      <c r="AG8" s="204">
        <f ca="1" xml:space="preserve"> ProjectCashflows!AG$234</f>
        <v>0</v>
      </c>
      <c r="AH8" s="204">
        <f ca="1" xml:space="preserve"> ProjectCashflows!AH$234</f>
        <v>0</v>
      </c>
      <c r="AI8" s="204">
        <f ca="1" xml:space="preserve"> ProjectCashflows!AI$234</f>
        <v>0</v>
      </c>
      <c r="AJ8" s="204">
        <f ca="1" xml:space="preserve"> ProjectCashflows!AJ$234</f>
        <v>0</v>
      </c>
      <c r="AK8" s="204">
        <f ca="1" xml:space="preserve"> ProjectCashflows!AK$234</f>
        <v>0</v>
      </c>
      <c r="AL8" s="204">
        <f ca="1" xml:space="preserve"> ProjectCashflows!AL$234</f>
        <v>0</v>
      </c>
      <c r="AM8" s="204">
        <f ca="1" xml:space="preserve"> ProjectCashflows!AM$234</f>
        <v>0</v>
      </c>
      <c r="AN8" s="204">
        <f ca="1" xml:space="preserve"> ProjectCashflows!AN$234</f>
        <v>0</v>
      </c>
      <c r="AO8" s="204">
        <f ca="1" xml:space="preserve"> ProjectCashflows!AO$234</f>
        <v>0</v>
      </c>
      <c r="AP8" s="204">
        <f ca="1" xml:space="preserve"> ProjectCashflows!AP$234</f>
        <v>0</v>
      </c>
      <c r="AQ8" s="204">
        <f ca="1" xml:space="preserve"> ProjectCashflows!AQ$234</f>
        <v>0</v>
      </c>
      <c r="AR8" s="204">
        <f ca="1" xml:space="preserve"> ProjectCashflows!AR$234</f>
        <v>0</v>
      </c>
      <c r="AS8" s="204">
        <f ca="1" xml:space="preserve"> ProjectCashflows!AS$234</f>
        <v>0</v>
      </c>
      <c r="AT8" s="204">
        <f ca="1" xml:space="preserve"> ProjectCashflows!AT$234</f>
        <v>0</v>
      </c>
      <c r="AU8" s="204">
        <f ca="1" xml:space="preserve"> ProjectCashflows!AU$234</f>
        <v>0</v>
      </c>
      <c r="AV8" s="204">
        <f ca="1" xml:space="preserve"> ProjectCashflows!AV$234</f>
        <v>0</v>
      </c>
      <c r="AW8" s="204">
        <f ca="1" xml:space="preserve"> ProjectCashflows!AW$234</f>
        <v>0</v>
      </c>
      <c r="AX8" s="204">
        <f ca="1" xml:space="preserve"> ProjectCashflows!AX$234</f>
        <v>0</v>
      </c>
    </row>
    <row r="9" spans="1:50" s="204" customFormat="1" ht="15" customHeight="1">
      <c r="B9" s="205"/>
      <c r="E9" s="204" t="str">
        <f xml:space="preserve"> ProjectCashflows!E$235</f>
        <v>Transport costs post-fiscal point, after ELT</v>
      </c>
      <c r="F9" s="204">
        <f xml:space="preserve"> ProjectCashflows!F$235</f>
        <v>0</v>
      </c>
      <c r="G9" s="204" t="str">
        <f xml:space="preserve"> ProjectCashflows!G$235</f>
        <v>US$ mn</v>
      </c>
      <c r="H9" s="204">
        <f xml:space="preserve"> ProjectCashflows!H$235</f>
        <v>0</v>
      </c>
      <c r="I9" s="204">
        <f ca="1" xml:space="preserve"> ProjectCashflows!I$235</f>
        <v>63.275898629415138</v>
      </c>
      <c r="J9" s="204">
        <f xml:space="preserve"> ProjectCashflows!J$235</f>
        <v>0</v>
      </c>
      <c r="K9" s="204">
        <f ca="1" xml:space="preserve"> ProjectCashflows!K$235</f>
        <v>0</v>
      </c>
      <c r="L9" s="204">
        <f ca="1" xml:space="preserve"> ProjectCashflows!L$235</f>
        <v>0</v>
      </c>
      <c r="M9" s="204">
        <f ca="1" xml:space="preserve"> ProjectCashflows!M$235</f>
        <v>0</v>
      </c>
      <c r="N9" s="204">
        <f ca="1" xml:space="preserve"> ProjectCashflows!N$235</f>
        <v>0</v>
      </c>
      <c r="O9" s="204">
        <f ca="1" xml:space="preserve"> ProjectCashflows!O$235</f>
        <v>0.27060803999999999</v>
      </c>
      <c r="P9" s="204">
        <f ca="1" xml:space="preserve"> ProjectCashflows!P$235</f>
        <v>2.0701515060000002</v>
      </c>
      <c r="Q9" s="204">
        <f ca="1" xml:space="preserve"> ProjectCashflows!Q$235</f>
        <v>4.2231090722400006</v>
      </c>
      <c r="R9" s="204">
        <f ca="1" xml:space="preserve"> ProjectCashflows!R$235</f>
        <v>4.3075712536848005</v>
      </c>
      <c r="S9" s="204">
        <f ca="1" xml:space="preserve"> ProjectCashflows!S$235</f>
        <v>4.3937226787584969</v>
      </c>
      <c r="T9" s="204">
        <f ca="1" xml:space="preserve"> ProjectCashflows!T$235</f>
        <v>4.4815971323336665</v>
      </c>
      <c r="U9" s="204">
        <f ca="1" xml:space="preserve"> ProjectCashflows!U$235</f>
        <v>4.5712290749803399</v>
      </c>
      <c r="V9" s="204">
        <f ca="1" xml:space="preserve"> ProjectCashflows!V$235</f>
        <v>4.6626536564799466</v>
      </c>
      <c r="W9" s="204">
        <f ca="1" xml:space="preserve"> ProjectCashflows!W$235</f>
        <v>4.7559067296095456</v>
      </c>
      <c r="X9" s="204">
        <f ca="1" xml:space="preserve"> ProjectCashflows!X$235</f>
        <v>4.8510248642017366</v>
      </c>
      <c r="Y9" s="204">
        <f ca="1" xml:space="preserve"> ProjectCashflows!Y$235</f>
        <v>4.9480453614857716</v>
      </c>
      <c r="Z9" s="204">
        <f ca="1" xml:space="preserve"> ProjectCashflows!Z$235</f>
        <v>5.0470062687154869</v>
      </c>
      <c r="AA9" s="204">
        <f ca="1" xml:space="preserve"> ProjectCashflows!AA$235</f>
        <v>4.2899553284081637</v>
      </c>
      <c r="AB9" s="204">
        <f ca="1" xml:space="preserve"> ProjectCashflows!AB$235</f>
        <v>3.5006035479810622</v>
      </c>
      <c r="AC9" s="204">
        <f ca="1" xml:space="preserve"> ProjectCashflows!AC$235</f>
        <v>2.6779617142055128</v>
      </c>
      <c r="AD9" s="204">
        <f ca="1" xml:space="preserve"> ProjectCashflows!AD$235</f>
        <v>2.367318155357673</v>
      </c>
      <c r="AE9" s="204">
        <f ca="1" xml:space="preserve"> ProjectCashflows!AE$235</f>
        <v>1.8574342449729437</v>
      </c>
      <c r="AF9" s="204">
        <f ca="1" xml:space="preserve"> ProjectCashflows!AF$235</f>
        <v>0</v>
      </c>
      <c r="AG9" s="204">
        <f ca="1" xml:space="preserve"> ProjectCashflows!AG$235</f>
        <v>0</v>
      </c>
      <c r="AH9" s="204">
        <f ca="1" xml:space="preserve"> ProjectCashflows!AH$235</f>
        <v>0</v>
      </c>
      <c r="AI9" s="204">
        <f ca="1" xml:space="preserve"> ProjectCashflows!AI$235</f>
        <v>0</v>
      </c>
      <c r="AJ9" s="204">
        <f ca="1" xml:space="preserve"> ProjectCashflows!AJ$235</f>
        <v>0</v>
      </c>
      <c r="AK9" s="204">
        <f ca="1" xml:space="preserve"> ProjectCashflows!AK$235</f>
        <v>0</v>
      </c>
      <c r="AL9" s="204">
        <f ca="1" xml:space="preserve"> ProjectCashflows!AL$235</f>
        <v>0</v>
      </c>
      <c r="AM9" s="204">
        <f ca="1" xml:space="preserve"> ProjectCashflows!AM$235</f>
        <v>0</v>
      </c>
      <c r="AN9" s="204">
        <f ca="1" xml:space="preserve"> ProjectCashflows!AN$235</f>
        <v>0</v>
      </c>
      <c r="AO9" s="204">
        <f ca="1" xml:space="preserve"> ProjectCashflows!AO$235</f>
        <v>0</v>
      </c>
      <c r="AP9" s="204">
        <f ca="1" xml:space="preserve"> ProjectCashflows!AP$235</f>
        <v>0</v>
      </c>
      <c r="AQ9" s="204">
        <f ca="1" xml:space="preserve"> ProjectCashflows!AQ$235</f>
        <v>0</v>
      </c>
      <c r="AR9" s="204">
        <f ca="1" xml:space="preserve"> ProjectCashflows!AR$235</f>
        <v>0</v>
      </c>
      <c r="AS9" s="204">
        <f ca="1" xml:space="preserve"> ProjectCashflows!AS$235</f>
        <v>0</v>
      </c>
      <c r="AT9" s="204">
        <f ca="1" xml:space="preserve"> ProjectCashflows!AT$235</f>
        <v>0</v>
      </c>
      <c r="AU9" s="204">
        <f ca="1" xml:space="preserve"> ProjectCashflows!AU$235</f>
        <v>0</v>
      </c>
      <c r="AV9" s="204">
        <f ca="1" xml:space="preserve"> ProjectCashflows!AV$235</f>
        <v>0</v>
      </c>
      <c r="AW9" s="204">
        <f ca="1" xml:space="preserve"> ProjectCashflows!AW$235</f>
        <v>0</v>
      </c>
      <c r="AX9" s="204">
        <f ca="1" xml:space="preserve"> ProjectCashflows!AX$235</f>
        <v>0</v>
      </c>
    </row>
    <row r="10" spans="1:50" s="204" customFormat="1" ht="15" customHeight="1">
      <c r="B10" s="205"/>
      <c r="E10" s="204" t="str">
        <f xml:space="preserve"> ProjectCashflows!E$236</f>
        <v>Sales revenues: net, after ELT</v>
      </c>
      <c r="F10" s="204">
        <f xml:space="preserve"> ProjectCashflows!F$236</f>
        <v>0</v>
      </c>
      <c r="G10" s="204" t="str">
        <f xml:space="preserve"> ProjectCashflows!G$236</f>
        <v>US$ mn</v>
      </c>
      <c r="H10" s="204">
        <f xml:space="preserve"> ProjectCashflows!H$236</f>
        <v>0</v>
      </c>
      <c r="I10" s="204">
        <f ca="1" xml:space="preserve"> ProjectCashflows!I$236</f>
        <v>3733.2780191354932</v>
      </c>
      <c r="J10" s="204">
        <f xml:space="preserve"> ProjectCashflows!J$236</f>
        <v>0</v>
      </c>
      <c r="K10" s="204">
        <f ca="1" xml:space="preserve"> ProjectCashflows!K$236</f>
        <v>0</v>
      </c>
      <c r="L10" s="204">
        <f ca="1" xml:space="preserve"> ProjectCashflows!L$236</f>
        <v>0</v>
      </c>
      <c r="M10" s="204">
        <f ca="1" xml:space="preserve"> ProjectCashflows!M$236</f>
        <v>0</v>
      </c>
      <c r="N10" s="204">
        <f ca="1" xml:space="preserve"> ProjectCashflows!N$236</f>
        <v>0</v>
      </c>
      <c r="O10" s="204">
        <f ca="1" xml:space="preserve"> ProjectCashflows!O$236</f>
        <v>15.965874359999999</v>
      </c>
      <c r="P10" s="204">
        <f ca="1" xml:space="preserve"> ProjectCashflows!P$236</f>
        <v>122.138938854</v>
      </c>
      <c r="Q10" s="204">
        <f ca="1" xml:space="preserve"> ProjectCashflows!Q$236</f>
        <v>249.16343526216002</v>
      </c>
      <c r="R10" s="204">
        <f ca="1" xml:space="preserve"> ProjectCashflows!R$236</f>
        <v>254.14670396740317</v>
      </c>
      <c r="S10" s="204">
        <f ca="1" xml:space="preserve"> ProjectCashflows!S$236</f>
        <v>259.22963804675129</v>
      </c>
      <c r="T10" s="204">
        <f ca="1" xml:space="preserve"> ProjectCashflows!T$236</f>
        <v>264.41423080768635</v>
      </c>
      <c r="U10" s="204">
        <f ca="1" xml:space="preserve"> ProjectCashflows!U$236</f>
        <v>269.70251542384005</v>
      </c>
      <c r="V10" s="204">
        <f ca="1" xml:space="preserve"> ProjectCashflows!V$236</f>
        <v>275.09656573231683</v>
      </c>
      <c r="W10" s="204">
        <f ca="1" xml:space="preserve"> ProjectCashflows!W$236</f>
        <v>280.59849704696319</v>
      </c>
      <c r="X10" s="204">
        <f ca="1" xml:space="preserve"> ProjectCashflows!X$236</f>
        <v>286.21046698790241</v>
      </c>
      <c r="Y10" s="204">
        <f ca="1" xml:space="preserve"> ProjectCashflows!Y$236</f>
        <v>291.93467632766055</v>
      </c>
      <c r="Z10" s="204">
        <f ca="1" xml:space="preserve"> ProjectCashflows!Z$236</f>
        <v>297.77336985421374</v>
      </c>
      <c r="AA10" s="204">
        <f ca="1" xml:space="preserve"> ProjectCashflows!AA$236</f>
        <v>253.1073643760817</v>
      </c>
      <c r="AB10" s="204">
        <f ca="1" xml:space="preserve"> ProjectCashflows!AB$236</f>
        <v>206.53560933088266</v>
      </c>
      <c r="AC10" s="204">
        <f ca="1" xml:space="preserve"> ProjectCashflows!AC$236</f>
        <v>157.99974113812524</v>
      </c>
      <c r="AD10" s="204">
        <f ca="1" xml:space="preserve"> ProjectCashflows!AD$236</f>
        <v>139.6717711661027</v>
      </c>
      <c r="AE10" s="204">
        <f ca="1" xml:space="preserve"> ProjectCashflows!AE$236</f>
        <v>109.58862045340366</v>
      </c>
      <c r="AF10" s="204">
        <f ca="1" xml:space="preserve"> ProjectCashflows!AF$236</f>
        <v>0</v>
      </c>
      <c r="AG10" s="204">
        <f ca="1" xml:space="preserve"> ProjectCashflows!AG$236</f>
        <v>0</v>
      </c>
      <c r="AH10" s="204">
        <f ca="1" xml:space="preserve"> ProjectCashflows!AH$236</f>
        <v>0</v>
      </c>
      <c r="AI10" s="204">
        <f ca="1" xml:space="preserve"> ProjectCashflows!AI$236</f>
        <v>0</v>
      </c>
      <c r="AJ10" s="204">
        <f ca="1" xml:space="preserve"> ProjectCashflows!AJ$236</f>
        <v>0</v>
      </c>
      <c r="AK10" s="204">
        <f ca="1" xml:space="preserve"> ProjectCashflows!AK$236</f>
        <v>0</v>
      </c>
      <c r="AL10" s="204">
        <f ca="1" xml:space="preserve"> ProjectCashflows!AL$236</f>
        <v>0</v>
      </c>
      <c r="AM10" s="204">
        <f ca="1" xml:space="preserve"> ProjectCashflows!AM$236</f>
        <v>0</v>
      </c>
      <c r="AN10" s="204">
        <f ca="1" xml:space="preserve"> ProjectCashflows!AN$236</f>
        <v>0</v>
      </c>
      <c r="AO10" s="204">
        <f ca="1" xml:space="preserve"> ProjectCashflows!AO$236</f>
        <v>0</v>
      </c>
      <c r="AP10" s="204">
        <f ca="1" xml:space="preserve"> ProjectCashflows!AP$236</f>
        <v>0</v>
      </c>
      <c r="AQ10" s="204">
        <f ca="1" xml:space="preserve"> ProjectCashflows!AQ$236</f>
        <v>0</v>
      </c>
      <c r="AR10" s="204">
        <f ca="1" xml:space="preserve"> ProjectCashflows!AR$236</f>
        <v>0</v>
      </c>
      <c r="AS10" s="204">
        <f ca="1" xml:space="preserve"> ProjectCashflows!AS$236</f>
        <v>0</v>
      </c>
      <c r="AT10" s="204">
        <f ca="1" xml:space="preserve"> ProjectCashflows!AT$236</f>
        <v>0</v>
      </c>
      <c r="AU10" s="204">
        <f ca="1" xml:space="preserve"> ProjectCashflows!AU$236</f>
        <v>0</v>
      </c>
      <c r="AV10" s="204">
        <f ca="1" xml:space="preserve"> ProjectCashflows!AV$236</f>
        <v>0</v>
      </c>
      <c r="AW10" s="204">
        <f ca="1" xml:space="preserve"> ProjectCashflows!AW$236</f>
        <v>0</v>
      </c>
      <c r="AX10" s="204">
        <f ca="1" xml:space="preserve"> ProjectCashflows!AX$236</f>
        <v>0</v>
      </c>
    </row>
    <row r="11" spans="1:50" s="204" customFormat="1" ht="15" customHeight="1">
      <c r="B11" s="205"/>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row>
    <row r="12" spans="1:50" s="204" customFormat="1" ht="15" customHeight="1">
      <c r="B12" s="205"/>
      <c r="E12" s="204" t="str">
        <f xml:space="preserve"> ProjectCashflows!E$238</f>
        <v>Exploration costs, after ELT</v>
      </c>
      <c r="F12" s="204">
        <f xml:space="preserve"> ProjectCashflows!F$238</f>
        <v>0</v>
      </c>
      <c r="G12" s="204" t="str">
        <f xml:space="preserve"> ProjectCashflows!G$238</f>
        <v>US$ mn</v>
      </c>
      <c r="H12" s="204">
        <f xml:space="preserve"> ProjectCashflows!H$238</f>
        <v>0</v>
      </c>
      <c r="I12" s="204">
        <f ca="1" xml:space="preserve"> ProjectCashflows!I$238</f>
        <v>30.603999999999999</v>
      </c>
      <c r="J12" s="204">
        <f xml:space="preserve"> ProjectCashflows!J$238</f>
        <v>0</v>
      </c>
      <c r="K12" s="204">
        <f ca="1" xml:space="preserve"> ProjectCashflows!K$238</f>
        <v>10</v>
      </c>
      <c r="L12" s="204">
        <f ca="1" xml:space="preserve"> ProjectCashflows!L$238</f>
        <v>10.199999999999999</v>
      </c>
      <c r="M12" s="204">
        <f ca="1" xml:space="preserve"> ProjectCashflows!M$238</f>
        <v>10.404</v>
      </c>
      <c r="N12" s="204">
        <f ca="1" xml:space="preserve"> ProjectCashflows!N$238</f>
        <v>0</v>
      </c>
      <c r="O12" s="204">
        <f ca="1" xml:space="preserve"> ProjectCashflows!O$238</f>
        <v>0</v>
      </c>
      <c r="P12" s="204">
        <f ca="1" xml:space="preserve"> ProjectCashflows!P$238</f>
        <v>0</v>
      </c>
      <c r="Q12" s="204">
        <f ca="1" xml:space="preserve"> ProjectCashflows!Q$238</f>
        <v>0</v>
      </c>
      <c r="R12" s="204">
        <f ca="1" xml:space="preserve"> ProjectCashflows!R$238</f>
        <v>0</v>
      </c>
      <c r="S12" s="204">
        <f ca="1" xml:space="preserve"> ProjectCashflows!S$238</f>
        <v>0</v>
      </c>
      <c r="T12" s="204">
        <f ca="1" xml:space="preserve"> ProjectCashflows!T$238</f>
        <v>0</v>
      </c>
      <c r="U12" s="204">
        <f ca="1" xml:space="preserve"> ProjectCashflows!U$238</f>
        <v>0</v>
      </c>
      <c r="V12" s="204">
        <f ca="1" xml:space="preserve"> ProjectCashflows!V$238</f>
        <v>0</v>
      </c>
      <c r="W12" s="204">
        <f ca="1" xml:space="preserve"> ProjectCashflows!W$238</f>
        <v>0</v>
      </c>
      <c r="X12" s="204">
        <f ca="1" xml:space="preserve"> ProjectCashflows!X$238</f>
        <v>0</v>
      </c>
      <c r="Y12" s="204">
        <f ca="1" xml:space="preserve"> ProjectCashflows!Y$238</f>
        <v>0</v>
      </c>
      <c r="Z12" s="204">
        <f ca="1" xml:space="preserve"> ProjectCashflows!Z$238</f>
        <v>0</v>
      </c>
      <c r="AA12" s="204">
        <f ca="1" xml:space="preserve"> ProjectCashflows!AA$238</f>
        <v>0</v>
      </c>
      <c r="AB12" s="204">
        <f ca="1" xml:space="preserve"> ProjectCashflows!AB$238</f>
        <v>0</v>
      </c>
      <c r="AC12" s="204">
        <f ca="1" xml:space="preserve"> ProjectCashflows!AC$238</f>
        <v>0</v>
      </c>
      <c r="AD12" s="204">
        <f ca="1" xml:space="preserve"> ProjectCashflows!AD$238</f>
        <v>0</v>
      </c>
      <c r="AE12" s="204">
        <f ca="1" xml:space="preserve"> ProjectCashflows!AE$238</f>
        <v>0</v>
      </c>
      <c r="AF12" s="204">
        <f ca="1" xml:space="preserve"> ProjectCashflows!AF$238</f>
        <v>0</v>
      </c>
      <c r="AG12" s="204">
        <f ca="1" xml:space="preserve"> ProjectCashflows!AG$238</f>
        <v>0</v>
      </c>
      <c r="AH12" s="204">
        <f ca="1" xml:space="preserve"> ProjectCashflows!AH$238</f>
        <v>0</v>
      </c>
      <c r="AI12" s="204">
        <f ca="1" xml:space="preserve"> ProjectCashflows!AI$238</f>
        <v>0</v>
      </c>
      <c r="AJ12" s="204">
        <f ca="1" xml:space="preserve"> ProjectCashflows!AJ$238</f>
        <v>0</v>
      </c>
      <c r="AK12" s="204">
        <f ca="1" xml:space="preserve"> ProjectCashflows!AK$238</f>
        <v>0</v>
      </c>
      <c r="AL12" s="204">
        <f ca="1" xml:space="preserve"> ProjectCashflows!AL$238</f>
        <v>0</v>
      </c>
      <c r="AM12" s="204">
        <f ca="1" xml:space="preserve"> ProjectCashflows!AM$238</f>
        <v>0</v>
      </c>
      <c r="AN12" s="204">
        <f ca="1" xml:space="preserve"> ProjectCashflows!AN$238</f>
        <v>0</v>
      </c>
      <c r="AO12" s="204">
        <f ca="1" xml:space="preserve"> ProjectCashflows!AO$238</f>
        <v>0</v>
      </c>
      <c r="AP12" s="204">
        <f ca="1" xml:space="preserve"> ProjectCashflows!AP$238</f>
        <v>0</v>
      </c>
      <c r="AQ12" s="204">
        <f ca="1" xml:space="preserve"> ProjectCashflows!AQ$238</f>
        <v>0</v>
      </c>
      <c r="AR12" s="204">
        <f ca="1" xml:space="preserve"> ProjectCashflows!AR$238</f>
        <v>0</v>
      </c>
      <c r="AS12" s="204">
        <f ca="1" xml:space="preserve"> ProjectCashflows!AS$238</f>
        <v>0</v>
      </c>
      <c r="AT12" s="204">
        <f ca="1" xml:space="preserve"> ProjectCashflows!AT$238</f>
        <v>0</v>
      </c>
      <c r="AU12" s="204">
        <f ca="1" xml:space="preserve"> ProjectCashflows!AU$238</f>
        <v>0</v>
      </c>
      <c r="AV12" s="204">
        <f ca="1" xml:space="preserve"> ProjectCashflows!AV$238</f>
        <v>0</v>
      </c>
      <c r="AW12" s="204">
        <f ca="1" xml:space="preserve"> ProjectCashflows!AW$238</f>
        <v>0</v>
      </c>
      <c r="AX12" s="204">
        <f ca="1" xml:space="preserve"> ProjectCashflows!AX$238</f>
        <v>0</v>
      </c>
    </row>
    <row r="13" spans="1:50" s="204" customFormat="1" ht="15" customHeight="1">
      <c r="B13" s="205"/>
      <c r="E13" s="204" t="str">
        <f xml:space="preserve"> ProjectCashflows!E$239</f>
        <v>Development costs, after ELT</v>
      </c>
      <c r="F13" s="204">
        <f xml:space="preserve"> ProjectCashflows!F$239</f>
        <v>0</v>
      </c>
      <c r="G13" s="204" t="str">
        <f xml:space="preserve"> ProjectCashflows!G$239</f>
        <v>US$ mn</v>
      </c>
      <c r="H13" s="204">
        <f xml:space="preserve"> ProjectCashflows!H$239</f>
        <v>0</v>
      </c>
      <c r="I13" s="204">
        <f ca="1" xml:space="preserve"> ProjectCashflows!I$239</f>
        <v>434.07652032000004</v>
      </c>
      <c r="J13" s="204">
        <f xml:space="preserve"> ProjectCashflows!J$239</f>
        <v>0</v>
      </c>
      <c r="K13" s="204">
        <f ca="1" xml:space="preserve"> ProjectCashflows!K$239</f>
        <v>0</v>
      </c>
      <c r="L13" s="204">
        <f ca="1" xml:space="preserve"> ProjectCashflows!L$239</f>
        <v>0</v>
      </c>
      <c r="M13" s="204">
        <f ca="1" xml:space="preserve"> ProjectCashflows!M$239</f>
        <v>0</v>
      </c>
      <c r="N13" s="204">
        <f ca="1" xml:space="preserve"> ProjectCashflows!N$239</f>
        <v>53.060399999999994</v>
      </c>
      <c r="O13" s="204">
        <f ca="1" xml:space="preserve"> ProjectCashflows!O$239</f>
        <v>270.60804000000002</v>
      </c>
      <c r="P13" s="204">
        <f ca="1" xml:space="preserve"> ProjectCashflows!P$239</f>
        <v>110.40808032</v>
      </c>
      <c r="Q13" s="204">
        <f ca="1" xml:space="preserve"> ProjectCashflows!Q$239</f>
        <v>0</v>
      </c>
      <c r="R13" s="204">
        <f ca="1" xml:space="preserve"> ProjectCashflows!R$239</f>
        <v>0</v>
      </c>
      <c r="S13" s="204">
        <f ca="1" xml:space="preserve"> ProjectCashflows!S$239</f>
        <v>0</v>
      </c>
      <c r="T13" s="204">
        <f ca="1" xml:space="preserve"> ProjectCashflows!T$239</f>
        <v>0</v>
      </c>
      <c r="U13" s="204">
        <f ca="1" xml:space="preserve"> ProjectCashflows!U$239</f>
        <v>0</v>
      </c>
      <c r="V13" s="204">
        <f ca="1" xml:space="preserve"> ProjectCashflows!V$239</f>
        <v>0</v>
      </c>
      <c r="W13" s="204">
        <f ca="1" xml:space="preserve"> ProjectCashflows!W$239</f>
        <v>0</v>
      </c>
      <c r="X13" s="204">
        <f ca="1" xml:space="preserve"> ProjectCashflows!X$239</f>
        <v>0</v>
      </c>
      <c r="Y13" s="204">
        <f ca="1" xml:space="preserve"> ProjectCashflows!Y$239</f>
        <v>0</v>
      </c>
      <c r="Z13" s="204">
        <f ca="1" xml:space="preserve"> ProjectCashflows!Z$239</f>
        <v>0</v>
      </c>
      <c r="AA13" s="204">
        <f ca="1" xml:space="preserve"> ProjectCashflows!AA$239</f>
        <v>0</v>
      </c>
      <c r="AB13" s="204">
        <f ca="1" xml:space="preserve"> ProjectCashflows!AB$239</f>
        <v>0</v>
      </c>
      <c r="AC13" s="204">
        <f ca="1" xml:space="preserve"> ProjectCashflows!AC$239</f>
        <v>0</v>
      </c>
      <c r="AD13" s="204">
        <f ca="1" xml:space="preserve"> ProjectCashflows!AD$239</f>
        <v>0</v>
      </c>
      <c r="AE13" s="204">
        <f ca="1" xml:space="preserve"> ProjectCashflows!AE$239</f>
        <v>0</v>
      </c>
      <c r="AF13" s="204">
        <f ca="1" xml:space="preserve"> ProjectCashflows!AF$239</f>
        <v>0</v>
      </c>
      <c r="AG13" s="204">
        <f ca="1" xml:space="preserve"> ProjectCashflows!AG$239</f>
        <v>0</v>
      </c>
      <c r="AH13" s="204">
        <f ca="1" xml:space="preserve"> ProjectCashflows!AH$239</f>
        <v>0</v>
      </c>
      <c r="AI13" s="204">
        <f ca="1" xml:space="preserve"> ProjectCashflows!AI$239</f>
        <v>0</v>
      </c>
      <c r="AJ13" s="204">
        <f ca="1" xml:space="preserve"> ProjectCashflows!AJ$239</f>
        <v>0</v>
      </c>
      <c r="AK13" s="204">
        <f ca="1" xml:space="preserve"> ProjectCashflows!AK$239</f>
        <v>0</v>
      </c>
      <c r="AL13" s="204">
        <f ca="1" xml:space="preserve"> ProjectCashflows!AL$239</f>
        <v>0</v>
      </c>
      <c r="AM13" s="204">
        <f ca="1" xml:space="preserve"> ProjectCashflows!AM$239</f>
        <v>0</v>
      </c>
      <c r="AN13" s="204">
        <f ca="1" xml:space="preserve"> ProjectCashflows!AN$239</f>
        <v>0</v>
      </c>
      <c r="AO13" s="204">
        <f ca="1" xml:space="preserve"> ProjectCashflows!AO$239</f>
        <v>0</v>
      </c>
      <c r="AP13" s="204">
        <f ca="1" xml:space="preserve"> ProjectCashflows!AP$239</f>
        <v>0</v>
      </c>
      <c r="AQ13" s="204">
        <f ca="1" xml:space="preserve"> ProjectCashflows!AQ$239</f>
        <v>0</v>
      </c>
      <c r="AR13" s="204">
        <f ca="1" xml:space="preserve"> ProjectCashflows!AR$239</f>
        <v>0</v>
      </c>
      <c r="AS13" s="204">
        <f ca="1" xml:space="preserve"> ProjectCashflows!AS$239</f>
        <v>0</v>
      </c>
      <c r="AT13" s="204">
        <f ca="1" xml:space="preserve"> ProjectCashflows!AT$239</f>
        <v>0</v>
      </c>
      <c r="AU13" s="204">
        <f ca="1" xml:space="preserve"> ProjectCashflows!AU$239</f>
        <v>0</v>
      </c>
      <c r="AV13" s="204">
        <f ca="1" xml:space="preserve"> ProjectCashflows!AV$239</f>
        <v>0</v>
      </c>
      <c r="AW13" s="204">
        <f ca="1" xml:space="preserve"> ProjectCashflows!AW$239</f>
        <v>0</v>
      </c>
      <c r="AX13" s="204">
        <f ca="1" xml:space="preserve"> ProjectCashflows!AX$239</f>
        <v>0</v>
      </c>
    </row>
    <row r="14" spans="1:50" s="204" customFormat="1" ht="15" customHeight="1">
      <c r="B14" s="205"/>
      <c r="E14" s="204" t="str">
        <f xml:space="preserve"> ProjectCashflows!E$240</f>
        <v>Replacement capital costs, after ELT</v>
      </c>
      <c r="F14" s="204">
        <f xml:space="preserve"> ProjectCashflows!F$240</f>
        <v>0</v>
      </c>
      <c r="G14" s="204" t="str">
        <f xml:space="preserve"> ProjectCashflows!G$240</f>
        <v>US$ mn</v>
      </c>
      <c r="H14" s="204">
        <f xml:space="preserve"> ProjectCashflows!H$240</f>
        <v>0</v>
      </c>
      <c r="I14" s="204">
        <f ca="1" xml:space="preserve"> ProjectCashflows!I$240</f>
        <v>118.46424639696978</v>
      </c>
      <c r="J14" s="204">
        <f xml:space="preserve"> ProjectCashflows!J$240</f>
        <v>0</v>
      </c>
      <c r="K14" s="204">
        <f ca="1" xml:space="preserve"> ProjectCashflows!K$240</f>
        <v>0</v>
      </c>
      <c r="L14" s="204">
        <f ca="1" xml:space="preserve"> ProjectCashflows!L$240</f>
        <v>0</v>
      </c>
      <c r="M14" s="204">
        <f ca="1" xml:space="preserve"> ProjectCashflows!M$240</f>
        <v>0</v>
      </c>
      <c r="N14" s="204">
        <f ca="1" xml:space="preserve"> ProjectCashflows!N$240</f>
        <v>0</v>
      </c>
      <c r="O14" s="204">
        <f ca="1" xml:space="preserve"> ProjectCashflows!O$240</f>
        <v>0</v>
      </c>
      <c r="P14" s="204">
        <f ca="1" xml:space="preserve"> ProjectCashflows!P$240</f>
        <v>8.8326464256000001</v>
      </c>
      <c r="Q14" s="204">
        <f ca="1" xml:space="preserve"> ProjectCashflows!Q$240</f>
        <v>9.0092993541120006</v>
      </c>
      <c r="R14" s="204">
        <f ca="1" xml:space="preserve"> ProjectCashflows!R$240</f>
        <v>9.1894853411942403</v>
      </c>
      <c r="S14" s="204">
        <f ca="1" xml:space="preserve"> ProjectCashflows!S$240</f>
        <v>9.3732750480181259</v>
      </c>
      <c r="T14" s="204">
        <f ca="1" xml:space="preserve"> ProjectCashflows!T$240</f>
        <v>9.5607405489784885</v>
      </c>
      <c r="U14" s="204">
        <f ca="1" xml:space="preserve"> ProjectCashflows!U$240</f>
        <v>9.7519553599580586</v>
      </c>
      <c r="V14" s="204">
        <f ca="1" xml:space="preserve"> ProjectCashflows!V$240</f>
        <v>9.9469944671572197</v>
      </c>
      <c r="W14" s="204">
        <f ca="1" xml:space="preserve"> ProjectCashflows!W$240</f>
        <v>10.145934356500364</v>
      </c>
      <c r="X14" s="204">
        <f ca="1" xml:space="preserve"> ProjectCashflows!X$240</f>
        <v>10.348853043630371</v>
      </c>
      <c r="Y14" s="204">
        <f ca="1" xml:space="preserve"> ProjectCashflows!Y$240</f>
        <v>10.555830104502979</v>
      </c>
      <c r="Z14" s="204">
        <f ca="1" xml:space="preserve"> ProjectCashflows!Z$240</f>
        <v>10.766946706593039</v>
      </c>
      <c r="AA14" s="204">
        <f ca="1" xml:space="preserve"> ProjectCashflows!AA$240</f>
        <v>10.9822856407249</v>
      </c>
      <c r="AB14" s="204">
        <f ca="1" xml:space="preserve"> ProjectCashflows!AB$240</f>
        <v>0</v>
      </c>
      <c r="AC14" s="204">
        <f ca="1" xml:space="preserve"> ProjectCashflows!AC$240</f>
        <v>0</v>
      </c>
      <c r="AD14" s="204">
        <f ca="1" xml:space="preserve"> ProjectCashflows!AD$240</f>
        <v>0</v>
      </c>
      <c r="AE14" s="204">
        <f ca="1" xml:space="preserve"> ProjectCashflows!AE$240</f>
        <v>0</v>
      </c>
      <c r="AF14" s="204">
        <f ca="1" xml:space="preserve"> ProjectCashflows!AF$240</f>
        <v>0</v>
      </c>
      <c r="AG14" s="204">
        <f ca="1" xml:space="preserve"> ProjectCashflows!AG$240</f>
        <v>0</v>
      </c>
      <c r="AH14" s="204">
        <f ca="1" xml:space="preserve"> ProjectCashflows!AH$240</f>
        <v>0</v>
      </c>
      <c r="AI14" s="204">
        <f ca="1" xml:space="preserve"> ProjectCashflows!AI$240</f>
        <v>0</v>
      </c>
      <c r="AJ14" s="204">
        <f ca="1" xml:space="preserve"> ProjectCashflows!AJ$240</f>
        <v>0</v>
      </c>
      <c r="AK14" s="204">
        <f ca="1" xml:space="preserve"> ProjectCashflows!AK$240</f>
        <v>0</v>
      </c>
      <c r="AL14" s="204">
        <f ca="1" xml:space="preserve"> ProjectCashflows!AL$240</f>
        <v>0</v>
      </c>
      <c r="AM14" s="204">
        <f ca="1" xml:space="preserve"> ProjectCashflows!AM$240</f>
        <v>0</v>
      </c>
      <c r="AN14" s="204">
        <f ca="1" xml:space="preserve"> ProjectCashflows!AN$240</f>
        <v>0</v>
      </c>
      <c r="AO14" s="204">
        <f ca="1" xml:space="preserve"> ProjectCashflows!AO$240</f>
        <v>0</v>
      </c>
      <c r="AP14" s="204">
        <f ca="1" xml:space="preserve"> ProjectCashflows!AP$240</f>
        <v>0</v>
      </c>
      <c r="AQ14" s="204">
        <f ca="1" xml:space="preserve"> ProjectCashflows!AQ$240</f>
        <v>0</v>
      </c>
      <c r="AR14" s="204">
        <f ca="1" xml:space="preserve"> ProjectCashflows!AR$240</f>
        <v>0</v>
      </c>
      <c r="AS14" s="204">
        <f ca="1" xml:space="preserve"> ProjectCashflows!AS$240</f>
        <v>0</v>
      </c>
      <c r="AT14" s="204">
        <f ca="1" xml:space="preserve"> ProjectCashflows!AT$240</f>
        <v>0</v>
      </c>
      <c r="AU14" s="204">
        <f ca="1" xml:space="preserve"> ProjectCashflows!AU$240</f>
        <v>0</v>
      </c>
      <c r="AV14" s="204">
        <f ca="1" xml:space="preserve"> ProjectCashflows!AV$240</f>
        <v>0</v>
      </c>
      <c r="AW14" s="204">
        <f ca="1" xml:space="preserve"> ProjectCashflows!AW$240</f>
        <v>0</v>
      </c>
      <c r="AX14" s="204">
        <f ca="1" xml:space="preserve"> ProjectCashflows!AX$240</f>
        <v>0</v>
      </c>
    </row>
    <row r="15" spans="1:50" s="204" customFormat="1" ht="15" customHeight="1">
      <c r="B15" s="205"/>
      <c r="E15" s="204" t="str">
        <f xml:space="preserve"> ProjectCashflows!E$241</f>
        <v>Operating costs, after ELT</v>
      </c>
      <c r="F15" s="204">
        <f xml:space="preserve"> ProjectCashflows!F$241</f>
        <v>0</v>
      </c>
      <c r="G15" s="204" t="str">
        <f xml:space="preserve"> ProjectCashflows!G$241</f>
        <v>US$ mn</v>
      </c>
      <c r="H15" s="204">
        <f xml:space="preserve"> ProjectCashflows!H$241</f>
        <v>0</v>
      </c>
      <c r="I15" s="204">
        <f ca="1" xml:space="preserve"> ProjectCashflows!I$241</f>
        <v>1138.9661753294727</v>
      </c>
      <c r="J15" s="204">
        <f xml:space="preserve"> ProjectCashflows!J$241</f>
        <v>0</v>
      </c>
      <c r="K15" s="204">
        <f ca="1" xml:space="preserve"> ProjectCashflows!K$241</f>
        <v>0</v>
      </c>
      <c r="L15" s="204">
        <f ca="1" xml:space="preserve"> ProjectCashflows!L$241</f>
        <v>0</v>
      </c>
      <c r="M15" s="204">
        <f ca="1" xml:space="preserve"> ProjectCashflows!M$241</f>
        <v>0</v>
      </c>
      <c r="N15" s="204">
        <f ca="1" xml:space="preserve"> ProjectCashflows!N$241</f>
        <v>0</v>
      </c>
      <c r="O15" s="204">
        <f ca="1" xml:space="preserve"> ProjectCashflows!O$241</f>
        <v>4.8709447199999998</v>
      </c>
      <c r="P15" s="204">
        <f ca="1" xml:space="preserve"> ProjectCashflows!P$241</f>
        <v>37.262727108</v>
      </c>
      <c r="Q15" s="204">
        <f ca="1" xml:space="preserve"> ProjectCashflows!Q$241</f>
        <v>76.01596330032001</v>
      </c>
      <c r="R15" s="204">
        <f ca="1" xml:space="preserve"> ProjectCashflows!R$241</f>
        <v>77.536282566326406</v>
      </c>
      <c r="S15" s="204">
        <f ca="1" xml:space="preserve"> ProjectCashflows!S$241</f>
        <v>79.087008217652937</v>
      </c>
      <c r="T15" s="204">
        <f ca="1" xml:space="preserve"> ProjectCashflows!T$241</f>
        <v>80.668748382006001</v>
      </c>
      <c r="U15" s="204">
        <f ca="1" xml:space="preserve"> ProjectCashflows!U$241</f>
        <v>82.282123349646113</v>
      </c>
      <c r="V15" s="204">
        <f ca="1" xml:space="preserve"> ProjectCashflows!V$241</f>
        <v>83.927765816639038</v>
      </c>
      <c r="W15" s="204">
        <f ca="1" xml:space="preserve"> ProjectCashflows!W$241</f>
        <v>85.606321132971814</v>
      </c>
      <c r="X15" s="204">
        <f ca="1" xml:space="preserve"> ProjectCashflows!X$241</f>
        <v>87.318447555631252</v>
      </c>
      <c r="Y15" s="204">
        <f ca="1" xml:space="preserve"> ProjectCashflows!Y$241</f>
        <v>89.064816506743881</v>
      </c>
      <c r="Z15" s="204">
        <f ca="1" xml:space="preserve"> ProjectCashflows!Z$241</f>
        <v>90.846112836878774</v>
      </c>
      <c r="AA15" s="204">
        <f ca="1" xml:space="preserve"> ProjectCashflows!AA$241</f>
        <v>77.219195911346958</v>
      </c>
      <c r="AB15" s="204">
        <f ca="1" xml:space="preserve"> ProjectCashflows!AB$241</f>
        <v>63.010863863659118</v>
      </c>
      <c r="AC15" s="204">
        <f ca="1" xml:space="preserve"> ProjectCashflows!AC$241</f>
        <v>48.203310855699229</v>
      </c>
      <c r="AD15" s="204">
        <f ca="1" xml:space="preserve"> ProjectCashflows!AD$241</f>
        <v>42.611726796438113</v>
      </c>
      <c r="AE15" s="204">
        <f ca="1" xml:space="preserve"> ProjectCashflows!AE$241</f>
        <v>33.433816409512986</v>
      </c>
      <c r="AF15" s="204">
        <f ca="1" xml:space="preserve"> ProjectCashflows!AF$241</f>
        <v>0</v>
      </c>
      <c r="AG15" s="204">
        <f ca="1" xml:space="preserve"> ProjectCashflows!AG$241</f>
        <v>0</v>
      </c>
      <c r="AH15" s="204">
        <f ca="1" xml:space="preserve"> ProjectCashflows!AH$241</f>
        <v>0</v>
      </c>
      <c r="AI15" s="204">
        <f ca="1" xml:space="preserve"> ProjectCashflows!AI$241</f>
        <v>0</v>
      </c>
      <c r="AJ15" s="204">
        <f ca="1" xml:space="preserve"> ProjectCashflows!AJ$241</f>
        <v>0</v>
      </c>
      <c r="AK15" s="204">
        <f ca="1" xml:space="preserve"> ProjectCashflows!AK$241</f>
        <v>0</v>
      </c>
      <c r="AL15" s="204">
        <f ca="1" xml:space="preserve"> ProjectCashflows!AL$241</f>
        <v>0</v>
      </c>
      <c r="AM15" s="204">
        <f ca="1" xml:space="preserve"> ProjectCashflows!AM$241</f>
        <v>0</v>
      </c>
      <c r="AN15" s="204">
        <f ca="1" xml:space="preserve"> ProjectCashflows!AN$241</f>
        <v>0</v>
      </c>
      <c r="AO15" s="204">
        <f ca="1" xml:space="preserve"> ProjectCashflows!AO$241</f>
        <v>0</v>
      </c>
      <c r="AP15" s="204">
        <f ca="1" xml:space="preserve"> ProjectCashflows!AP$241</f>
        <v>0</v>
      </c>
      <c r="AQ15" s="204">
        <f ca="1" xml:space="preserve"> ProjectCashflows!AQ$241</f>
        <v>0</v>
      </c>
      <c r="AR15" s="204">
        <f ca="1" xml:space="preserve"> ProjectCashflows!AR$241</f>
        <v>0</v>
      </c>
      <c r="AS15" s="204">
        <f ca="1" xml:space="preserve"> ProjectCashflows!AS$241</f>
        <v>0</v>
      </c>
      <c r="AT15" s="204">
        <f ca="1" xml:space="preserve"> ProjectCashflows!AT$241</f>
        <v>0</v>
      </c>
      <c r="AU15" s="204">
        <f ca="1" xml:space="preserve"> ProjectCashflows!AU$241</f>
        <v>0</v>
      </c>
      <c r="AV15" s="204">
        <f ca="1" xml:space="preserve"> ProjectCashflows!AV$241</f>
        <v>0</v>
      </c>
      <c r="AW15" s="204">
        <f ca="1" xml:space="preserve"> ProjectCashflows!AW$241</f>
        <v>0</v>
      </c>
      <c r="AX15" s="204">
        <f ca="1" xml:space="preserve"> ProjectCashflows!AX$241</f>
        <v>0</v>
      </c>
    </row>
    <row r="16" spans="1:50" s="204" customFormat="1" ht="15" customHeight="1">
      <c r="B16" s="205"/>
      <c r="E16" s="204" t="str">
        <f xml:space="preserve"> ProjectCashflows!E$242</f>
        <v>Decommissioning costs, after ELT</v>
      </c>
      <c r="F16" s="204">
        <f xml:space="preserve"> ProjectCashflows!F$242</f>
        <v>0</v>
      </c>
      <c r="G16" s="204" t="str">
        <f xml:space="preserve"> ProjectCashflows!G$242</f>
        <v>US$ mn</v>
      </c>
      <c r="H16" s="204">
        <f xml:space="preserve"> ProjectCashflows!H$242</f>
        <v>0</v>
      </c>
      <c r="I16" s="204">
        <f ca="1" xml:space="preserve"> ProjectCashflows!I$242</f>
        <v>30.313326877958442</v>
      </c>
      <c r="J16" s="204">
        <f xml:space="preserve"> ProjectCashflows!J$242</f>
        <v>0</v>
      </c>
      <c r="K16" s="204">
        <f ca="1" xml:space="preserve"> ProjectCashflows!K$242</f>
        <v>0</v>
      </c>
      <c r="L16" s="204">
        <f ca="1" xml:space="preserve"> ProjectCashflows!L$242</f>
        <v>0</v>
      </c>
      <c r="M16" s="204">
        <f ca="1" xml:space="preserve"> ProjectCashflows!M$242</f>
        <v>0</v>
      </c>
      <c r="N16" s="204">
        <f ca="1" xml:space="preserve"> ProjectCashflows!N$242</f>
        <v>0</v>
      </c>
      <c r="O16" s="204">
        <f ca="1" xml:space="preserve"> ProjectCashflows!O$242</f>
        <v>0</v>
      </c>
      <c r="P16" s="204">
        <f ca="1" xml:space="preserve"> ProjectCashflows!P$242</f>
        <v>0</v>
      </c>
      <c r="Q16" s="204">
        <f ca="1" xml:space="preserve"> ProjectCashflows!Q$242</f>
        <v>0</v>
      </c>
      <c r="R16" s="204">
        <f ca="1" xml:space="preserve"> ProjectCashflows!R$242</f>
        <v>0</v>
      </c>
      <c r="S16" s="204">
        <f ca="1" xml:space="preserve"> ProjectCashflows!S$242</f>
        <v>0</v>
      </c>
      <c r="T16" s="204">
        <f ca="1" xml:space="preserve"> ProjectCashflows!T$242</f>
        <v>0</v>
      </c>
      <c r="U16" s="204">
        <f ca="1" xml:space="preserve"> ProjectCashflows!U$242</f>
        <v>0</v>
      </c>
      <c r="V16" s="204">
        <f ca="1" xml:space="preserve"> ProjectCashflows!V$242</f>
        <v>0</v>
      </c>
      <c r="W16" s="204">
        <f ca="1" xml:space="preserve"> ProjectCashflows!W$242</f>
        <v>0</v>
      </c>
      <c r="X16" s="204">
        <f ca="1" xml:space="preserve"> ProjectCashflows!X$242</f>
        <v>0</v>
      </c>
      <c r="Y16" s="204">
        <f ca="1" xml:space="preserve"> ProjectCashflows!Y$242</f>
        <v>0</v>
      </c>
      <c r="Z16" s="204">
        <f ca="1" xml:space="preserve"> ProjectCashflows!Z$242</f>
        <v>0</v>
      </c>
      <c r="AA16" s="204">
        <f ca="1" xml:space="preserve"> ProjectCashflows!AA$242</f>
        <v>0</v>
      </c>
      <c r="AB16" s="204">
        <f ca="1" xml:space="preserve"> ProjectCashflows!AB$242</f>
        <v>0</v>
      </c>
      <c r="AC16" s="204">
        <f ca="1" xml:space="preserve"> ProjectCashflows!AC$242</f>
        <v>0</v>
      </c>
      <c r="AD16" s="204">
        <f ca="1" xml:space="preserve"> ProjectCashflows!AD$242</f>
        <v>0</v>
      </c>
      <c r="AE16" s="204">
        <f ca="1" xml:space="preserve"> ProjectCashflows!AE$242</f>
        <v>0</v>
      </c>
      <c r="AF16" s="204">
        <f ca="1" xml:space="preserve"> ProjectCashflows!AF$242</f>
        <v>30.313326877958442</v>
      </c>
      <c r="AG16" s="204">
        <f ca="1" xml:space="preserve"> ProjectCashflows!AG$242</f>
        <v>0</v>
      </c>
      <c r="AH16" s="204">
        <f ca="1" xml:space="preserve"> ProjectCashflows!AH$242</f>
        <v>0</v>
      </c>
      <c r="AI16" s="204">
        <f ca="1" xml:space="preserve"> ProjectCashflows!AI$242</f>
        <v>0</v>
      </c>
      <c r="AJ16" s="204">
        <f ca="1" xml:space="preserve"> ProjectCashflows!AJ$242</f>
        <v>0</v>
      </c>
      <c r="AK16" s="204">
        <f ca="1" xml:space="preserve"> ProjectCashflows!AK$242</f>
        <v>0</v>
      </c>
      <c r="AL16" s="204">
        <f ca="1" xml:space="preserve"> ProjectCashflows!AL$242</f>
        <v>0</v>
      </c>
      <c r="AM16" s="204">
        <f ca="1" xml:space="preserve"> ProjectCashflows!AM$242</f>
        <v>0</v>
      </c>
      <c r="AN16" s="204">
        <f ca="1" xml:space="preserve"> ProjectCashflows!AN$242</f>
        <v>0</v>
      </c>
      <c r="AO16" s="204">
        <f ca="1" xml:space="preserve"> ProjectCashflows!AO$242</f>
        <v>0</v>
      </c>
      <c r="AP16" s="204">
        <f ca="1" xml:space="preserve"> ProjectCashflows!AP$242</f>
        <v>0</v>
      </c>
      <c r="AQ16" s="204">
        <f ca="1" xml:space="preserve"> ProjectCashflows!AQ$242</f>
        <v>0</v>
      </c>
      <c r="AR16" s="204">
        <f ca="1" xml:space="preserve"> ProjectCashflows!AR$242</f>
        <v>0</v>
      </c>
      <c r="AS16" s="204">
        <f ca="1" xml:space="preserve"> ProjectCashflows!AS$242</f>
        <v>0</v>
      </c>
      <c r="AT16" s="204">
        <f ca="1" xml:space="preserve"> ProjectCashflows!AT$242</f>
        <v>0</v>
      </c>
      <c r="AU16" s="204">
        <f ca="1" xml:space="preserve"> ProjectCashflows!AU$242</f>
        <v>0</v>
      </c>
      <c r="AV16" s="204">
        <f ca="1" xml:space="preserve"> ProjectCashflows!AV$242</f>
        <v>0</v>
      </c>
      <c r="AW16" s="204">
        <f ca="1" xml:space="preserve"> ProjectCashflows!AW$242</f>
        <v>0</v>
      </c>
      <c r="AX16" s="204">
        <f ca="1" xml:space="preserve"> ProjectCashflows!AX$242</f>
        <v>0</v>
      </c>
    </row>
    <row r="17" spans="1:50" s="204" customFormat="1" ht="15" customHeight="1">
      <c r="B17" s="205"/>
      <c r="E17" s="204" t="str">
        <f xml:space="preserve"> ProjectCashflows!E$243</f>
        <v>Project costs, after ELT</v>
      </c>
      <c r="F17" s="204">
        <f xml:space="preserve"> ProjectCashflows!F$243</f>
        <v>0</v>
      </c>
      <c r="G17" s="204" t="str">
        <f xml:space="preserve"> ProjectCashflows!G$243</f>
        <v>US$ mn</v>
      </c>
      <c r="H17" s="204">
        <f xml:space="preserve"> ProjectCashflows!H$243</f>
        <v>0</v>
      </c>
      <c r="I17" s="204">
        <f ca="1" xml:space="preserve"> ProjectCashflows!I$243</f>
        <v>1752.4242689244006</v>
      </c>
      <c r="J17" s="204">
        <f xml:space="preserve"> ProjectCashflows!J$243</f>
        <v>0</v>
      </c>
      <c r="K17" s="204">
        <f ca="1" xml:space="preserve"> ProjectCashflows!K$243</f>
        <v>10</v>
      </c>
      <c r="L17" s="204">
        <f ca="1" xml:space="preserve"> ProjectCashflows!L$243</f>
        <v>10.199999999999999</v>
      </c>
      <c r="M17" s="204">
        <f ca="1" xml:space="preserve"> ProjectCashflows!M$243</f>
        <v>10.404</v>
      </c>
      <c r="N17" s="204">
        <f ca="1" xml:space="preserve"> ProjectCashflows!N$243</f>
        <v>53.060399999999994</v>
      </c>
      <c r="O17" s="204">
        <f ca="1" xml:space="preserve"> ProjectCashflows!O$243</f>
        <v>275.47898472000003</v>
      </c>
      <c r="P17" s="204">
        <f ca="1" xml:space="preserve"> ProjectCashflows!P$243</f>
        <v>156.50345385360001</v>
      </c>
      <c r="Q17" s="204">
        <f ca="1" xml:space="preserve"> ProjectCashflows!Q$243</f>
        <v>85.025262654432012</v>
      </c>
      <c r="R17" s="204">
        <f ca="1" xml:space="preserve"> ProjectCashflows!R$243</f>
        <v>86.725767907520648</v>
      </c>
      <c r="S17" s="204">
        <f ca="1" xml:space="preserve"> ProjectCashflows!S$243</f>
        <v>88.460283265671066</v>
      </c>
      <c r="T17" s="204">
        <f ca="1" xml:space="preserve"> ProjectCashflows!T$243</f>
        <v>90.229488930984488</v>
      </c>
      <c r="U17" s="204">
        <f ca="1" xml:space="preserve"> ProjectCashflows!U$243</f>
        <v>92.034078709604174</v>
      </c>
      <c r="V17" s="204">
        <f ca="1" xml:space="preserve"> ProjectCashflows!V$243</f>
        <v>93.874760283796263</v>
      </c>
      <c r="W17" s="204">
        <f ca="1" xml:space="preserve"> ProjectCashflows!W$243</f>
        <v>95.752255489472176</v>
      </c>
      <c r="X17" s="204">
        <f ca="1" xml:space="preserve"> ProjectCashflows!X$243</f>
        <v>97.667300599261623</v>
      </c>
      <c r="Y17" s="204">
        <f ca="1" xml:space="preserve"> ProjectCashflows!Y$243</f>
        <v>99.620646611246855</v>
      </c>
      <c r="Z17" s="204">
        <f ca="1" xml:space="preserve"> ProjectCashflows!Z$243</f>
        <v>101.61305954347182</v>
      </c>
      <c r="AA17" s="204">
        <f ca="1" xml:space="preserve"> ProjectCashflows!AA$243</f>
        <v>88.201481552071854</v>
      </c>
      <c r="AB17" s="204">
        <f ca="1" xml:space="preserve"> ProjectCashflows!AB$243</f>
        <v>63.010863863659118</v>
      </c>
      <c r="AC17" s="204">
        <f ca="1" xml:space="preserve"> ProjectCashflows!AC$243</f>
        <v>48.203310855699229</v>
      </c>
      <c r="AD17" s="204">
        <f ca="1" xml:space="preserve"> ProjectCashflows!AD$243</f>
        <v>42.611726796438113</v>
      </c>
      <c r="AE17" s="204">
        <f ca="1" xml:space="preserve"> ProjectCashflows!AE$243</f>
        <v>33.433816409512986</v>
      </c>
      <c r="AF17" s="204">
        <f ca="1" xml:space="preserve"> ProjectCashflows!AF$243</f>
        <v>30.313326877958442</v>
      </c>
      <c r="AG17" s="204">
        <f ca="1" xml:space="preserve"> ProjectCashflows!AG$243</f>
        <v>0</v>
      </c>
      <c r="AH17" s="204">
        <f ca="1" xml:space="preserve"> ProjectCashflows!AH$243</f>
        <v>0</v>
      </c>
      <c r="AI17" s="204">
        <f ca="1" xml:space="preserve"> ProjectCashflows!AI$243</f>
        <v>0</v>
      </c>
      <c r="AJ17" s="204">
        <f ca="1" xml:space="preserve"> ProjectCashflows!AJ$243</f>
        <v>0</v>
      </c>
      <c r="AK17" s="204">
        <f ca="1" xml:space="preserve"> ProjectCashflows!AK$243</f>
        <v>0</v>
      </c>
      <c r="AL17" s="204">
        <f ca="1" xml:space="preserve"> ProjectCashflows!AL$243</f>
        <v>0</v>
      </c>
      <c r="AM17" s="204">
        <f ca="1" xml:space="preserve"> ProjectCashflows!AM$243</f>
        <v>0</v>
      </c>
      <c r="AN17" s="204">
        <f ca="1" xml:space="preserve"> ProjectCashflows!AN$243</f>
        <v>0</v>
      </c>
      <c r="AO17" s="204">
        <f ca="1" xml:space="preserve"> ProjectCashflows!AO$243</f>
        <v>0</v>
      </c>
      <c r="AP17" s="204">
        <f ca="1" xml:space="preserve"> ProjectCashflows!AP$243</f>
        <v>0</v>
      </c>
      <c r="AQ17" s="204">
        <f ca="1" xml:space="preserve"> ProjectCashflows!AQ$243</f>
        <v>0</v>
      </c>
      <c r="AR17" s="204">
        <f ca="1" xml:space="preserve"> ProjectCashflows!AR$243</f>
        <v>0</v>
      </c>
      <c r="AS17" s="204">
        <f ca="1" xml:space="preserve"> ProjectCashflows!AS$243</f>
        <v>0</v>
      </c>
      <c r="AT17" s="204">
        <f ca="1" xml:space="preserve"> ProjectCashflows!AT$243</f>
        <v>0</v>
      </c>
      <c r="AU17" s="204">
        <f ca="1" xml:space="preserve"> ProjectCashflows!AU$243</f>
        <v>0</v>
      </c>
      <c r="AV17" s="204">
        <f ca="1" xml:space="preserve"> ProjectCashflows!AV$243</f>
        <v>0</v>
      </c>
      <c r="AW17" s="204">
        <f ca="1" xml:space="preserve"> ProjectCashflows!AW$243</f>
        <v>0</v>
      </c>
      <c r="AX17" s="204">
        <f ca="1" xml:space="preserve"> ProjectCashflows!AX$243</f>
        <v>0</v>
      </c>
    </row>
    <row r="18" spans="1:50" s="204" customFormat="1" ht="15" customHeight="1">
      <c r="B18" s="205"/>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row>
    <row r="19" spans="1:50" s="204" customFormat="1" ht="15" customHeight="1">
      <c r="B19" s="205"/>
      <c r="E19" s="204" t="str">
        <f xml:space="preserve"> ProjectCashflows!E$245</f>
        <v>Project cashflow before decommissioning fund</v>
      </c>
      <c r="F19" s="204">
        <f xml:space="preserve"> ProjectCashflows!F$245</f>
        <v>0</v>
      </c>
      <c r="G19" s="204" t="str">
        <f xml:space="preserve"> ProjectCashflows!G$245</f>
        <v>US$ mn</v>
      </c>
      <c r="H19" s="204">
        <f xml:space="preserve"> ProjectCashflows!H$245</f>
        <v>0</v>
      </c>
      <c r="I19" s="204">
        <f ca="1" xml:space="preserve"> ProjectCashflows!I$245</f>
        <v>1980.8537502110926</v>
      </c>
      <c r="J19" s="204">
        <f xml:space="preserve"> ProjectCashflows!J$245</f>
        <v>0</v>
      </c>
      <c r="K19" s="204">
        <f ca="1" xml:space="preserve"> ProjectCashflows!K$245</f>
        <v>-10</v>
      </c>
      <c r="L19" s="204">
        <f ca="1" xml:space="preserve"> ProjectCashflows!L$245</f>
        <v>-10.199999999999999</v>
      </c>
      <c r="M19" s="204">
        <f ca="1" xml:space="preserve"> ProjectCashflows!M$245</f>
        <v>-10.404</v>
      </c>
      <c r="N19" s="204">
        <f ca="1" xml:space="preserve"> ProjectCashflows!N$245</f>
        <v>-53.060399999999994</v>
      </c>
      <c r="O19" s="204">
        <f ca="1" xml:space="preserve"> ProjectCashflows!O$245</f>
        <v>-259.51311036000004</v>
      </c>
      <c r="P19" s="204">
        <f ca="1" xml:space="preserve"> ProjectCashflows!P$245</f>
        <v>-34.364514999600004</v>
      </c>
      <c r="Q19" s="204">
        <f ca="1" xml:space="preserve"> ProjectCashflows!Q$245</f>
        <v>164.138172607728</v>
      </c>
      <c r="R19" s="204">
        <f ca="1" xml:space="preserve"> ProjectCashflows!R$245</f>
        <v>167.42093605988254</v>
      </c>
      <c r="S19" s="204">
        <f ca="1" xml:space="preserve"> ProjectCashflows!S$245</f>
        <v>170.76935478108021</v>
      </c>
      <c r="T19" s="204">
        <f ca="1" xml:space="preserve"> ProjectCashflows!T$245</f>
        <v>174.18474187670188</v>
      </c>
      <c r="U19" s="204">
        <f ca="1" xml:space="preserve"> ProjectCashflows!U$245</f>
        <v>177.6684367142359</v>
      </c>
      <c r="V19" s="204">
        <f ca="1" xml:space="preserve"> ProjectCashflows!V$245</f>
        <v>181.22180544852057</v>
      </c>
      <c r="W19" s="204">
        <f ca="1" xml:space="preserve"> ProjectCashflows!W$245</f>
        <v>184.846241557491</v>
      </c>
      <c r="X19" s="204">
        <f ca="1" xml:space="preserve"> ProjectCashflows!X$245</f>
        <v>188.54316638864077</v>
      </c>
      <c r="Y19" s="204">
        <f ca="1" xml:space="preserve"> ProjectCashflows!Y$245</f>
        <v>192.3140297164137</v>
      </c>
      <c r="Z19" s="204">
        <f ca="1" xml:space="preserve"> ProjectCashflows!Z$245</f>
        <v>196.16031031074192</v>
      </c>
      <c r="AA19" s="204">
        <f ca="1" xml:space="preserve"> ProjectCashflows!AA$245</f>
        <v>164.90588282400984</v>
      </c>
      <c r="AB19" s="204">
        <f ca="1" xml:space="preserve"> ProjectCashflows!AB$245</f>
        <v>143.52474546722354</v>
      </c>
      <c r="AC19" s="204">
        <f ca="1" xml:space="preserve"> ProjectCashflows!AC$245</f>
        <v>109.79643028242602</v>
      </c>
      <c r="AD19" s="204">
        <f ca="1" xml:space="preserve"> ProjectCashflows!AD$245</f>
        <v>97.060044369664581</v>
      </c>
      <c r="AE19" s="204">
        <f ca="1" xml:space="preserve"> ProjectCashflows!AE$245</f>
        <v>76.154804043890678</v>
      </c>
      <c r="AF19" s="204">
        <f ca="1" xml:space="preserve"> ProjectCashflows!AF$245</f>
        <v>-30.313326877958442</v>
      </c>
      <c r="AG19" s="204">
        <f ca="1" xml:space="preserve"> ProjectCashflows!AG$245</f>
        <v>0</v>
      </c>
      <c r="AH19" s="204">
        <f ca="1" xml:space="preserve"> ProjectCashflows!AH$245</f>
        <v>0</v>
      </c>
      <c r="AI19" s="204">
        <f ca="1" xml:space="preserve"> ProjectCashflows!AI$245</f>
        <v>0</v>
      </c>
      <c r="AJ19" s="204">
        <f ca="1" xml:space="preserve"> ProjectCashflows!AJ$245</f>
        <v>0</v>
      </c>
      <c r="AK19" s="204">
        <f ca="1" xml:space="preserve"> ProjectCashflows!AK$245</f>
        <v>0</v>
      </c>
      <c r="AL19" s="204">
        <f ca="1" xml:space="preserve"> ProjectCashflows!AL$245</f>
        <v>0</v>
      </c>
      <c r="AM19" s="204">
        <f ca="1" xml:space="preserve"> ProjectCashflows!AM$245</f>
        <v>0</v>
      </c>
      <c r="AN19" s="204">
        <f ca="1" xml:space="preserve"> ProjectCashflows!AN$245</f>
        <v>0</v>
      </c>
      <c r="AO19" s="204">
        <f ca="1" xml:space="preserve"> ProjectCashflows!AO$245</f>
        <v>0</v>
      </c>
      <c r="AP19" s="204">
        <f ca="1" xml:space="preserve"> ProjectCashflows!AP$245</f>
        <v>0</v>
      </c>
      <c r="AQ19" s="204">
        <f ca="1" xml:space="preserve"> ProjectCashflows!AQ$245</f>
        <v>0</v>
      </c>
      <c r="AR19" s="204">
        <f ca="1" xml:space="preserve"> ProjectCashflows!AR$245</f>
        <v>0</v>
      </c>
      <c r="AS19" s="204">
        <f ca="1" xml:space="preserve"> ProjectCashflows!AS$245</f>
        <v>0</v>
      </c>
      <c r="AT19" s="204">
        <f ca="1" xml:space="preserve"> ProjectCashflows!AT$245</f>
        <v>0</v>
      </c>
      <c r="AU19" s="204">
        <f ca="1" xml:space="preserve"> ProjectCashflows!AU$245</f>
        <v>0</v>
      </c>
      <c r="AV19" s="204">
        <f ca="1" xml:space="preserve"> ProjectCashflows!AV$245</f>
        <v>0</v>
      </c>
      <c r="AW19" s="204">
        <f ca="1" xml:space="preserve"> ProjectCashflows!AW$245</f>
        <v>0</v>
      </c>
      <c r="AX19" s="204">
        <f ca="1" xml:space="preserve"> ProjectCashflows!AX$245</f>
        <v>0</v>
      </c>
    </row>
    <row r="20" spans="1:50" s="93" customFormat="1" ht="15" customHeight="1">
      <c r="A20" s="90"/>
      <c r="B20" s="156"/>
    </row>
    <row r="21" spans="1:50" s="93" customFormat="1" ht="15" customHeight="1">
      <c r="A21" s="90"/>
      <c r="B21" s="156"/>
      <c r="C21" s="92" t="str">
        <f>Translate!E16  &amp; ": " &amp; Inputs!F$83 &amp; ", " &amp; Inputs!F$86</f>
        <v>Project participants: full-cycle, nominal</v>
      </c>
    </row>
    <row r="22" spans="1:50" s="204" customFormat="1" ht="15" customHeight="1">
      <c r="B22" s="205"/>
      <c r="E22" s="204" t="str">
        <f xml:space="preserve"> ProjectCashflows!E$245</f>
        <v>Project cashflow before decommissioning fund</v>
      </c>
      <c r="F22" s="204">
        <f xml:space="preserve"> ProjectCashflows!F$245</f>
        <v>0</v>
      </c>
      <c r="G22" s="204" t="str">
        <f xml:space="preserve"> ProjectCashflows!G$245</f>
        <v>US$ mn</v>
      </c>
      <c r="H22" s="204">
        <f xml:space="preserve"> ProjectCashflows!H$245</f>
        <v>0</v>
      </c>
      <c r="I22" s="204">
        <f ca="1" xml:space="preserve"> ProjectCashflows!I$245</f>
        <v>1980.8537502110926</v>
      </c>
      <c r="J22" s="204">
        <f xml:space="preserve"> ProjectCashflows!J$245</f>
        <v>0</v>
      </c>
      <c r="K22" s="204">
        <f ca="1" xml:space="preserve"> ProjectCashflows!K$245</f>
        <v>-10</v>
      </c>
      <c r="L22" s="204">
        <f ca="1" xml:space="preserve"> ProjectCashflows!L$245</f>
        <v>-10.199999999999999</v>
      </c>
      <c r="M22" s="204">
        <f ca="1" xml:space="preserve"> ProjectCashflows!M$245</f>
        <v>-10.404</v>
      </c>
      <c r="N22" s="204">
        <f ca="1" xml:space="preserve"> ProjectCashflows!N$245</f>
        <v>-53.060399999999994</v>
      </c>
      <c r="O22" s="204">
        <f ca="1" xml:space="preserve"> ProjectCashflows!O$245</f>
        <v>-259.51311036000004</v>
      </c>
      <c r="P22" s="204">
        <f ca="1" xml:space="preserve"> ProjectCashflows!P$245</f>
        <v>-34.364514999600004</v>
      </c>
      <c r="Q22" s="204">
        <f ca="1" xml:space="preserve"> ProjectCashflows!Q$245</f>
        <v>164.138172607728</v>
      </c>
      <c r="R22" s="204">
        <f ca="1" xml:space="preserve"> ProjectCashflows!R$245</f>
        <v>167.42093605988254</v>
      </c>
      <c r="S22" s="204">
        <f ca="1" xml:space="preserve"> ProjectCashflows!S$245</f>
        <v>170.76935478108021</v>
      </c>
      <c r="T22" s="204">
        <f ca="1" xml:space="preserve"> ProjectCashflows!T$245</f>
        <v>174.18474187670188</v>
      </c>
      <c r="U22" s="204">
        <f ca="1" xml:space="preserve"> ProjectCashflows!U$245</f>
        <v>177.6684367142359</v>
      </c>
      <c r="V22" s="204">
        <f ca="1" xml:space="preserve"> ProjectCashflows!V$245</f>
        <v>181.22180544852057</v>
      </c>
      <c r="W22" s="204">
        <f ca="1" xml:space="preserve"> ProjectCashflows!W$245</f>
        <v>184.846241557491</v>
      </c>
      <c r="X22" s="204">
        <f ca="1" xml:space="preserve"> ProjectCashflows!X$245</f>
        <v>188.54316638864077</v>
      </c>
      <c r="Y22" s="204">
        <f ca="1" xml:space="preserve"> ProjectCashflows!Y$245</f>
        <v>192.3140297164137</v>
      </c>
      <c r="Z22" s="204">
        <f ca="1" xml:space="preserve"> ProjectCashflows!Z$245</f>
        <v>196.16031031074192</v>
      </c>
      <c r="AA22" s="204">
        <f ca="1" xml:space="preserve"> ProjectCashflows!AA$245</f>
        <v>164.90588282400984</v>
      </c>
      <c r="AB22" s="204">
        <f ca="1" xml:space="preserve"> ProjectCashflows!AB$245</f>
        <v>143.52474546722354</v>
      </c>
      <c r="AC22" s="204">
        <f ca="1" xml:space="preserve"> ProjectCashflows!AC$245</f>
        <v>109.79643028242602</v>
      </c>
      <c r="AD22" s="204">
        <f ca="1" xml:space="preserve"> ProjectCashflows!AD$245</f>
        <v>97.060044369664581</v>
      </c>
      <c r="AE22" s="204">
        <f ca="1" xml:space="preserve"> ProjectCashflows!AE$245</f>
        <v>76.154804043890678</v>
      </c>
      <c r="AF22" s="204">
        <f ca="1" xml:space="preserve"> ProjectCashflows!AF$245</f>
        <v>-30.313326877958442</v>
      </c>
      <c r="AG22" s="204">
        <f ca="1" xml:space="preserve"> ProjectCashflows!AG$245</f>
        <v>0</v>
      </c>
      <c r="AH22" s="204">
        <f ca="1" xml:space="preserve"> ProjectCashflows!AH$245</f>
        <v>0</v>
      </c>
      <c r="AI22" s="204">
        <f ca="1" xml:space="preserve"> ProjectCashflows!AI$245</f>
        <v>0</v>
      </c>
      <c r="AJ22" s="204">
        <f ca="1" xml:space="preserve"> ProjectCashflows!AJ$245</f>
        <v>0</v>
      </c>
      <c r="AK22" s="204">
        <f ca="1" xml:space="preserve"> ProjectCashflows!AK$245</f>
        <v>0</v>
      </c>
      <c r="AL22" s="204">
        <f ca="1" xml:space="preserve"> ProjectCashflows!AL$245</f>
        <v>0</v>
      </c>
      <c r="AM22" s="204">
        <f ca="1" xml:space="preserve"> ProjectCashflows!AM$245</f>
        <v>0</v>
      </c>
      <c r="AN22" s="204">
        <f ca="1" xml:space="preserve"> ProjectCashflows!AN$245</f>
        <v>0</v>
      </c>
      <c r="AO22" s="204">
        <f ca="1" xml:space="preserve"> ProjectCashflows!AO$245</f>
        <v>0</v>
      </c>
      <c r="AP22" s="204">
        <f ca="1" xml:space="preserve"> ProjectCashflows!AP$245</f>
        <v>0</v>
      </c>
      <c r="AQ22" s="204">
        <f ca="1" xml:space="preserve"> ProjectCashflows!AQ$245</f>
        <v>0</v>
      </c>
      <c r="AR22" s="204">
        <f ca="1" xml:space="preserve"> ProjectCashflows!AR$245</f>
        <v>0</v>
      </c>
      <c r="AS22" s="204">
        <f ca="1" xml:space="preserve"> ProjectCashflows!AS$245</f>
        <v>0</v>
      </c>
      <c r="AT22" s="204">
        <f ca="1" xml:space="preserve"> ProjectCashflows!AT$245</f>
        <v>0</v>
      </c>
      <c r="AU22" s="204">
        <f ca="1" xml:space="preserve"> ProjectCashflows!AU$245</f>
        <v>0</v>
      </c>
      <c r="AV22" s="204">
        <f ca="1" xml:space="preserve"> ProjectCashflows!AV$245</f>
        <v>0</v>
      </c>
      <c r="AW22" s="204">
        <f ca="1" xml:space="preserve"> ProjectCashflows!AW$245</f>
        <v>0</v>
      </c>
      <c r="AX22" s="204">
        <f ca="1" xml:space="preserve"> ProjectCashflows!AX$245</f>
        <v>0</v>
      </c>
    </row>
    <row r="23" spans="1:50" s="204" customFormat="1" ht="15" customHeight="1">
      <c r="B23" s="206"/>
      <c r="E23" s="204" t="str">
        <f xml:space="preserve"> FiscalModel!E$125</f>
        <v>Net decommissioning cashflows</v>
      </c>
      <c r="F23" s="204">
        <f xml:space="preserve"> FiscalModel!F$125</f>
        <v>0</v>
      </c>
      <c r="G23" s="204" t="str">
        <f xml:space="preserve"> FiscalModel!G$125</f>
        <v>US$ mn</v>
      </c>
      <c r="H23" s="204">
        <f xml:space="preserve"> FiscalModel!H$125</f>
        <v>0</v>
      </c>
      <c r="I23" s="204">
        <f ca="1" xml:space="preserve"> FiscalModel!I$125</f>
        <v>2.0589298729422225</v>
      </c>
      <c r="J23" s="204">
        <f xml:space="preserve"> FiscalModel!J$125</f>
        <v>0</v>
      </c>
      <c r="K23" s="204">
        <f ca="1" xml:space="preserve"> FiscalModel!K$125</f>
        <v>0</v>
      </c>
      <c r="L23" s="204">
        <f ca="1" xml:space="preserve"> FiscalModel!L$125</f>
        <v>0</v>
      </c>
      <c r="M23" s="204">
        <f ca="1" xml:space="preserve"> FiscalModel!M$125</f>
        <v>0</v>
      </c>
      <c r="N23" s="204">
        <f ca="1" xml:space="preserve"> FiscalModel!N$125</f>
        <v>0</v>
      </c>
      <c r="O23" s="204">
        <f ca="1" xml:space="preserve"> FiscalModel!O$125</f>
        <v>0</v>
      </c>
      <c r="P23" s="204">
        <f ca="1" xml:space="preserve"> FiscalModel!P$125</f>
        <v>0</v>
      </c>
      <c r="Q23" s="204">
        <f ca="1" xml:space="preserve"> FiscalModel!Q$125</f>
        <v>0</v>
      </c>
      <c r="R23" s="204">
        <f ca="1" xml:space="preserve"> FiscalModel!R$125</f>
        <v>0</v>
      </c>
      <c r="S23" s="204">
        <f ca="1" xml:space="preserve"> FiscalModel!S$125</f>
        <v>0</v>
      </c>
      <c r="T23" s="204">
        <f ca="1" xml:space="preserve"> FiscalModel!T$125</f>
        <v>0</v>
      </c>
      <c r="U23" s="204">
        <f ca="1" xml:space="preserve"> FiscalModel!U$125</f>
        <v>0</v>
      </c>
      <c r="V23" s="204">
        <f ca="1" xml:space="preserve"> FiscalModel!V$125</f>
        <v>0</v>
      </c>
      <c r="W23" s="204">
        <f ca="1" xml:space="preserve"> FiscalModel!W$125</f>
        <v>0</v>
      </c>
      <c r="X23" s="204">
        <f ca="1" xml:space="preserve"> FiscalModel!X$125</f>
        <v>-3.5317996256270274</v>
      </c>
      <c r="Y23" s="204">
        <f ca="1" xml:space="preserve"> FiscalModel!Y$125</f>
        <v>-3.5317996256270274</v>
      </c>
      <c r="Z23" s="204">
        <f ca="1" xml:space="preserve"> FiscalModel!Z$125</f>
        <v>-3.5317996256270274</v>
      </c>
      <c r="AA23" s="204">
        <f ca="1" xml:space="preserve"> FiscalModel!AA$125</f>
        <v>-3.5317996256270274</v>
      </c>
      <c r="AB23" s="204">
        <f ca="1" xml:space="preserve"> FiscalModel!AB$125</f>
        <v>-3.5317996256270274</v>
      </c>
      <c r="AC23" s="204">
        <f ca="1" xml:space="preserve"> FiscalModel!AC$125</f>
        <v>-3.5317996256270274</v>
      </c>
      <c r="AD23" s="204">
        <f ca="1" xml:space="preserve"> FiscalModel!AD$125</f>
        <v>-3.5317996256270274</v>
      </c>
      <c r="AE23" s="204">
        <f ca="1" xml:space="preserve"> FiscalModel!AE$125</f>
        <v>-3.5317996256270274</v>
      </c>
      <c r="AF23" s="204">
        <f ca="1" xml:space="preserve"> FiscalModel!AF$125</f>
        <v>30.313326877958442</v>
      </c>
      <c r="AG23" s="204">
        <f ca="1" xml:space="preserve"> FiscalModel!AG$125</f>
        <v>0</v>
      </c>
      <c r="AH23" s="204">
        <f ca="1" xml:space="preserve"> FiscalModel!AH$125</f>
        <v>0</v>
      </c>
      <c r="AI23" s="204">
        <f ca="1" xml:space="preserve"> FiscalModel!AI$125</f>
        <v>0</v>
      </c>
      <c r="AJ23" s="204">
        <f ca="1" xml:space="preserve"> FiscalModel!AJ$125</f>
        <v>0</v>
      </c>
      <c r="AK23" s="204">
        <f ca="1" xml:space="preserve"> FiscalModel!AK$125</f>
        <v>0</v>
      </c>
      <c r="AL23" s="204">
        <f ca="1" xml:space="preserve"> FiscalModel!AL$125</f>
        <v>0</v>
      </c>
      <c r="AM23" s="204">
        <f ca="1" xml:space="preserve"> FiscalModel!AM$125</f>
        <v>0</v>
      </c>
      <c r="AN23" s="204">
        <f ca="1" xml:space="preserve"> FiscalModel!AN$125</f>
        <v>0</v>
      </c>
      <c r="AO23" s="204">
        <f ca="1" xml:space="preserve"> FiscalModel!AO$125</f>
        <v>0</v>
      </c>
      <c r="AP23" s="204">
        <f ca="1" xml:space="preserve"> FiscalModel!AP$125</f>
        <v>0</v>
      </c>
      <c r="AQ23" s="204">
        <f ca="1" xml:space="preserve"> FiscalModel!AQ$125</f>
        <v>0</v>
      </c>
      <c r="AR23" s="204">
        <f ca="1" xml:space="preserve"> FiscalModel!AR$125</f>
        <v>0</v>
      </c>
      <c r="AS23" s="204">
        <f ca="1" xml:space="preserve"> FiscalModel!AS$125</f>
        <v>0</v>
      </c>
      <c r="AT23" s="204">
        <f ca="1" xml:space="preserve"> FiscalModel!AT$125</f>
        <v>0</v>
      </c>
      <c r="AU23" s="204">
        <f ca="1" xml:space="preserve"> FiscalModel!AU$125</f>
        <v>0</v>
      </c>
      <c r="AV23" s="204">
        <f ca="1" xml:space="preserve"> FiscalModel!AV$125</f>
        <v>0</v>
      </c>
      <c r="AW23" s="204">
        <f ca="1" xml:space="preserve"> FiscalModel!AW$125</f>
        <v>0</v>
      </c>
      <c r="AX23" s="204">
        <f ca="1" xml:space="preserve"> FiscalModel!AX$125</f>
        <v>0</v>
      </c>
    </row>
    <row r="24" spans="1:50" s="204" customFormat="1" ht="15" customHeight="1">
      <c r="B24" s="206"/>
      <c r="E24" s="204" t="str">
        <f xml:space="preserve"> FiscalModel!E$741</f>
        <v>Government revenues excluding participation</v>
      </c>
      <c r="F24" s="204">
        <f xml:space="preserve"> FiscalModel!F$741</f>
        <v>0</v>
      </c>
      <c r="G24" s="204" t="str">
        <f xml:space="preserve"> FiscalModel!G$741</f>
        <v>US$ mn</v>
      </c>
      <c r="H24" s="204">
        <f xml:space="preserve"> FiscalModel!H$741</f>
        <v>0</v>
      </c>
      <c r="I24" s="204">
        <f ca="1" xml:space="preserve"> FiscalModel!I$741</f>
        <v>790.3139390764552</v>
      </c>
      <c r="J24" s="204">
        <f xml:space="preserve"> FiscalModel!J$741</f>
        <v>0</v>
      </c>
      <c r="K24" s="204">
        <f ca="1" xml:space="preserve"> FiscalModel!K$741</f>
        <v>0</v>
      </c>
      <c r="L24" s="204">
        <f ca="1" xml:space="preserve"> FiscalModel!L$741</f>
        <v>0</v>
      </c>
      <c r="M24" s="204">
        <f ca="1" xml:space="preserve"> FiscalModel!M$741</f>
        <v>0</v>
      </c>
      <c r="N24" s="204">
        <f ca="1" xml:space="preserve"> FiscalModel!N$741</f>
        <v>0</v>
      </c>
      <c r="O24" s="204">
        <f ca="1" xml:space="preserve"> FiscalModel!O$741</f>
        <v>0.79829371800000004</v>
      </c>
      <c r="P24" s="204">
        <f ca="1" xml:space="preserve"> FiscalModel!P$741</f>
        <v>9.7883663708699995</v>
      </c>
      <c r="Q24" s="204">
        <f ca="1" xml:space="preserve"> FiscalModel!Q$741</f>
        <v>20.94172481397851</v>
      </c>
      <c r="R24" s="204">
        <f ca="1" xml:space="preserve"> FiscalModel!R$741</f>
        <v>21.494248250929903</v>
      </c>
      <c r="S24" s="204">
        <f ca="1" xml:space="preserve"> FiscalModel!S$741</f>
        <v>30.348145553227901</v>
      </c>
      <c r="T24" s="204">
        <f ca="1" xml:space="preserve"> FiscalModel!T$741</f>
        <v>55.331721514308498</v>
      </c>
      <c r="U24" s="204">
        <f ca="1" xml:space="preserve"> FiscalModel!U$741</f>
        <v>63.491723992137253</v>
      </c>
      <c r="V24" s="204">
        <f ca="1" xml:space="preserve"> FiscalModel!V$741</f>
        <v>72.799595334758507</v>
      </c>
      <c r="W24" s="204">
        <f ca="1" xml:space="preserve"> FiscalModel!W$741</f>
        <v>74.255587241453682</v>
      </c>
      <c r="X24" s="204">
        <f ca="1" xml:space="preserve"> FiscalModel!X$741</f>
        <v>74.497505518062013</v>
      </c>
      <c r="Y24" s="204">
        <f ca="1" xml:space="preserve"> FiscalModel!Y$741</f>
        <v>76.012319497787715</v>
      </c>
      <c r="Z24" s="204">
        <f ca="1" xml:space="preserve"> FiscalModel!Z$741</f>
        <v>77.557429757107855</v>
      </c>
      <c r="AA24" s="204">
        <f ca="1" xml:space="preserve"> FiscalModel!AA$741</f>
        <v>65.110779440540114</v>
      </c>
      <c r="AB24" s="204">
        <f ca="1" xml:space="preserve"> FiscalModel!AB$741</f>
        <v>53.819513337591829</v>
      </c>
      <c r="AC24" s="204">
        <f ca="1" xml:space="preserve"> FiscalModel!AC$741</f>
        <v>40.404225879285249</v>
      </c>
      <c r="AD24" s="204">
        <f ca="1" xml:space="preserve"> FiscalModel!AD$741</f>
        <v>29.99813527886041</v>
      </c>
      <c r="AE24" s="204">
        <f ca="1" xml:space="preserve"> FiscalModel!AE$741</f>
        <v>23.664623577555759</v>
      </c>
      <c r="AF24" s="204">
        <f ca="1" xml:space="preserve"> FiscalModel!AF$741</f>
        <v>0</v>
      </c>
      <c r="AG24" s="204">
        <f ca="1" xml:space="preserve"> FiscalModel!AG$741</f>
        <v>0</v>
      </c>
      <c r="AH24" s="204">
        <f ca="1" xml:space="preserve"> FiscalModel!AH$741</f>
        <v>0</v>
      </c>
      <c r="AI24" s="204">
        <f ca="1" xml:space="preserve"> FiscalModel!AI$741</f>
        <v>0</v>
      </c>
      <c r="AJ24" s="204">
        <f ca="1" xml:space="preserve"> FiscalModel!AJ$741</f>
        <v>0</v>
      </c>
      <c r="AK24" s="204">
        <f ca="1" xml:space="preserve"> FiscalModel!AK$741</f>
        <v>0</v>
      </c>
      <c r="AL24" s="204">
        <f ca="1" xml:space="preserve"> FiscalModel!AL$741</f>
        <v>0</v>
      </c>
      <c r="AM24" s="204">
        <f ca="1" xml:space="preserve"> FiscalModel!AM$741</f>
        <v>0</v>
      </c>
      <c r="AN24" s="204">
        <f ca="1" xml:space="preserve"> FiscalModel!AN$741</f>
        <v>0</v>
      </c>
      <c r="AO24" s="204">
        <f ca="1" xml:space="preserve"> FiscalModel!AO$741</f>
        <v>0</v>
      </c>
      <c r="AP24" s="204">
        <f ca="1" xml:space="preserve"> FiscalModel!AP$741</f>
        <v>0</v>
      </c>
      <c r="AQ24" s="204">
        <f ca="1" xml:space="preserve"> FiscalModel!AQ$741</f>
        <v>0</v>
      </c>
      <c r="AR24" s="204">
        <f ca="1" xml:space="preserve"> FiscalModel!AR$741</f>
        <v>0</v>
      </c>
      <c r="AS24" s="204">
        <f ca="1" xml:space="preserve"> FiscalModel!AS$741</f>
        <v>0</v>
      </c>
      <c r="AT24" s="204">
        <f ca="1" xml:space="preserve"> FiscalModel!AT$741</f>
        <v>0</v>
      </c>
      <c r="AU24" s="204">
        <f ca="1" xml:space="preserve"> FiscalModel!AU$741</f>
        <v>0</v>
      </c>
      <c r="AV24" s="204">
        <f ca="1" xml:space="preserve"> FiscalModel!AV$741</f>
        <v>0</v>
      </c>
      <c r="AW24" s="204">
        <f ca="1" xml:space="preserve"> FiscalModel!AW$741</f>
        <v>0</v>
      </c>
      <c r="AX24" s="204">
        <f ca="1" xml:space="preserve"> FiscalModel!AX$741</f>
        <v>0</v>
      </c>
    </row>
    <row r="25" spans="1:50" s="204" customFormat="1" ht="15" customHeight="1">
      <c r="B25" s="206"/>
      <c r="E25" s="204" t="str">
        <f xml:space="preserve"> FiscalModel!E$709</f>
        <v>State participation cashflows including share of loan</v>
      </c>
      <c r="F25" s="204">
        <f xml:space="preserve"> FiscalModel!F$709</f>
        <v>0</v>
      </c>
      <c r="G25" s="204" t="str">
        <f xml:space="preserve"> FiscalModel!G$709</f>
        <v>US$ mn</v>
      </c>
      <c r="H25" s="204">
        <f xml:space="preserve"> FiscalModel!H$709</f>
        <v>0</v>
      </c>
      <c r="I25" s="204">
        <f ca="1" xml:space="preserve"> FiscalModel!I$709</f>
        <v>0</v>
      </c>
      <c r="J25" s="204">
        <f xml:space="preserve"> FiscalModel!J$709</f>
        <v>0</v>
      </c>
      <c r="K25" s="204">
        <f ca="1" xml:space="preserve"> FiscalModel!K$709</f>
        <v>0</v>
      </c>
      <c r="L25" s="204">
        <f ca="1" xml:space="preserve"> FiscalModel!L$709</f>
        <v>0</v>
      </c>
      <c r="M25" s="204">
        <f ca="1" xml:space="preserve"> FiscalModel!M$709</f>
        <v>0</v>
      </c>
      <c r="N25" s="204">
        <f ca="1" xml:space="preserve"> FiscalModel!N$709</f>
        <v>0</v>
      </c>
      <c r="O25" s="204">
        <f ca="1" xml:space="preserve"> FiscalModel!O$709</f>
        <v>0</v>
      </c>
      <c r="P25" s="204">
        <f ca="1" xml:space="preserve"> FiscalModel!P$709</f>
        <v>0</v>
      </c>
      <c r="Q25" s="204">
        <f ca="1" xml:space="preserve"> FiscalModel!Q$709</f>
        <v>0</v>
      </c>
      <c r="R25" s="204">
        <f ca="1" xml:space="preserve"> FiscalModel!R$709</f>
        <v>0</v>
      </c>
      <c r="S25" s="204">
        <f ca="1" xml:space="preserve"> FiscalModel!S$709</f>
        <v>0</v>
      </c>
      <c r="T25" s="204">
        <f ca="1" xml:space="preserve"> FiscalModel!T$709</f>
        <v>0</v>
      </c>
      <c r="U25" s="204">
        <f ca="1" xml:space="preserve"> FiscalModel!U$709</f>
        <v>0</v>
      </c>
      <c r="V25" s="204">
        <f ca="1" xml:space="preserve"> FiscalModel!V$709</f>
        <v>0</v>
      </c>
      <c r="W25" s="204">
        <f ca="1" xml:space="preserve"> FiscalModel!W$709</f>
        <v>0</v>
      </c>
      <c r="X25" s="204">
        <f ca="1" xml:space="preserve"> FiscalModel!X$709</f>
        <v>0</v>
      </c>
      <c r="Y25" s="204">
        <f ca="1" xml:space="preserve"> FiscalModel!Y$709</f>
        <v>0</v>
      </c>
      <c r="Z25" s="204">
        <f ca="1" xml:space="preserve"> FiscalModel!Z$709</f>
        <v>0</v>
      </c>
      <c r="AA25" s="204">
        <f ca="1" xml:space="preserve"> FiscalModel!AA$709</f>
        <v>0</v>
      </c>
      <c r="AB25" s="204">
        <f ca="1" xml:space="preserve"> FiscalModel!AB$709</f>
        <v>0</v>
      </c>
      <c r="AC25" s="204">
        <f ca="1" xml:space="preserve"> FiscalModel!AC$709</f>
        <v>0</v>
      </c>
      <c r="AD25" s="204">
        <f ca="1" xml:space="preserve"> FiscalModel!AD$709</f>
        <v>0</v>
      </c>
      <c r="AE25" s="204">
        <f ca="1" xml:space="preserve"> FiscalModel!AE$709</f>
        <v>0</v>
      </c>
      <c r="AF25" s="204">
        <f ca="1" xml:space="preserve"> FiscalModel!AF$709</f>
        <v>0</v>
      </c>
      <c r="AG25" s="204">
        <f ca="1" xml:space="preserve"> FiscalModel!AG$709</f>
        <v>0</v>
      </c>
      <c r="AH25" s="204">
        <f ca="1" xml:space="preserve"> FiscalModel!AH$709</f>
        <v>0</v>
      </c>
      <c r="AI25" s="204">
        <f ca="1" xml:space="preserve"> FiscalModel!AI$709</f>
        <v>0</v>
      </c>
      <c r="AJ25" s="204">
        <f ca="1" xml:space="preserve"> FiscalModel!AJ$709</f>
        <v>0</v>
      </c>
      <c r="AK25" s="204">
        <f ca="1" xml:space="preserve"> FiscalModel!AK$709</f>
        <v>0</v>
      </c>
      <c r="AL25" s="204">
        <f ca="1" xml:space="preserve"> FiscalModel!AL$709</f>
        <v>0</v>
      </c>
      <c r="AM25" s="204">
        <f ca="1" xml:space="preserve"> FiscalModel!AM$709</f>
        <v>0</v>
      </c>
      <c r="AN25" s="204">
        <f ca="1" xml:space="preserve"> FiscalModel!AN$709</f>
        <v>0</v>
      </c>
      <c r="AO25" s="204">
        <f ca="1" xml:space="preserve"> FiscalModel!AO$709</f>
        <v>0</v>
      </c>
      <c r="AP25" s="204">
        <f ca="1" xml:space="preserve"> FiscalModel!AP$709</f>
        <v>0</v>
      </c>
      <c r="AQ25" s="204">
        <f ca="1" xml:space="preserve"> FiscalModel!AQ$709</f>
        <v>0</v>
      </c>
      <c r="AR25" s="204">
        <f ca="1" xml:space="preserve"> FiscalModel!AR$709</f>
        <v>0</v>
      </c>
      <c r="AS25" s="204">
        <f ca="1" xml:space="preserve"> FiscalModel!AS$709</f>
        <v>0</v>
      </c>
      <c r="AT25" s="204">
        <f ca="1" xml:space="preserve"> FiscalModel!AT$709</f>
        <v>0</v>
      </c>
      <c r="AU25" s="204">
        <f ca="1" xml:space="preserve"> FiscalModel!AU$709</f>
        <v>0</v>
      </c>
      <c r="AV25" s="204">
        <f ca="1" xml:space="preserve"> FiscalModel!AV$709</f>
        <v>0</v>
      </c>
      <c r="AW25" s="204">
        <f ca="1" xml:space="preserve"> FiscalModel!AW$709</f>
        <v>0</v>
      </c>
      <c r="AX25" s="204">
        <f ca="1" xml:space="preserve"> FiscalModel!AX$709</f>
        <v>0</v>
      </c>
    </row>
    <row r="26" spans="1:50" s="93" customFormat="1" ht="15" customHeight="1">
      <c r="A26" s="90"/>
      <c r="B26" s="134"/>
      <c r="E26" s="93" t="str">
        <f>Translate!$E$276</f>
        <v>Government revenues including participation</v>
      </c>
      <c r="G26" s="76" t="str">
        <f xml:space="preserve"> Translate!E$10</f>
        <v>US$ mn</v>
      </c>
      <c r="I26" s="93">
        <f ca="1" xml:space="preserve"> SUM(K26:AX26)</f>
        <v>790.3139390764552</v>
      </c>
      <c r="K26" s="93">
        <f ca="1" xml:space="preserve"> K24 + K25</f>
        <v>0</v>
      </c>
      <c r="L26" s="93">
        <f t="shared" ref="L26:AX26" ca="1" si="0" xml:space="preserve"> L24 + L25</f>
        <v>0</v>
      </c>
      <c r="M26" s="93">
        <f t="shared" ca="1" si="0"/>
        <v>0</v>
      </c>
      <c r="N26" s="93">
        <f t="shared" ca="1" si="0"/>
        <v>0</v>
      </c>
      <c r="O26" s="93">
        <f t="shared" ca="1" si="0"/>
        <v>0.79829371800000004</v>
      </c>
      <c r="P26" s="93">
        <f t="shared" ca="1" si="0"/>
        <v>9.7883663708699995</v>
      </c>
      <c r="Q26" s="93">
        <f t="shared" ca="1" si="0"/>
        <v>20.94172481397851</v>
      </c>
      <c r="R26" s="93">
        <f t="shared" ca="1" si="0"/>
        <v>21.494248250929903</v>
      </c>
      <c r="S26" s="93">
        <f t="shared" ca="1" si="0"/>
        <v>30.348145553227901</v>
      </c>
      <c r="T26" s="93">
        <f t="shared" ca="1" si="0"/>
        <v>55.331721514308498</v>
      </c>
      <c r="U26" s="93">
        <f t="shared" ca="1" si="0"/>
        <v>63.491723992137253</v>
      </c>
      <c r="V26" s="93">
        <f t="shared" ca="1" si="0"/>
        <v>72.799595334758507</v>
      </c>
      <c r="W26" s="93">
        <f t="shared" ca="1" si="0"/>
        <v>74.255587241453682</v>
      </c>
      <c r="X26" s="93">
        <f t="shared" ca="1" si="0"/>
        <v>74.497505518062013</v>
      </c>
      <c r="Y26" s="93">
        <f t="shared" ca="1" si="0"/>
        <v>76.012319497787715</v>
      </c>
      <c r="Z26" s="93">
        <f t="shared" ca="1" si="0"/>
        <v>77.557429757107855</v>
      </c>
      <c r="AA26" s="93">
        <f t="shared" ca="1" si="0"/>
        <v>65.110779440540114</v>
      </c>
      <c r="AB26" s="93">
        <f t="shared" ca="1" si="0"/>
        <v>53.819513337591829</v>
      </c>
      <c r="AC26" s="93">
        <f t="shared" ca="1" si="0"/>
        <v>40.404225879285249</v>
      </c>
      <c r="AD26" s="93">
        <f t="shared" ca="1" si="0"/>
        <v>29.99813527886041</v>
      </c>
      <c r="AE26" s="93">
        <f t="shared" ca="1" si="0"/>
        <v>23.664623577555759</v>
      </c>
      <c r="AF26" s="93">
        <f t="shared" ca="1" si="0"/>
        <v>0</v>
      </c>
      <c r="AG26" s="93">
        <f t="shared" ca="1" si="0"/>
        <v>0</v>
      </c>
      <c r="AH26" s="93">
        <f t="shared" ca="1" si="0"/>
        <v>0</v>
      </c>
      <c r="AI26" s="93">
        <f t="shared" ca="1" si="0"/>
        <v>0</v>
      </c>
      <c r="AJ26" s="93">
        <f t="shared" ca="1" si="0"/>
        <v>0</v>
      </c>
      <c r="AK26" s="93">
        <f t="shared" ca="1" si="0"/>
        <v>0</v>
      </c>
      <c r="AL26" s="93">
        <f t="shared" ca="1" si="0"/>
        <v>0</v>
      </c>
      <c r="AM26" s="93">
        <f t="shared" ca="1" si="0"/>
        <v>0</v>
      </c>
      <c r="AN26" s="93">
        <f t="shared" ca="1" si="0"/>
        <v>0</v>
      </c>
      <c r="AO26" s="93">
        <f t="shared" ca="1" si="0"/>
        <v>0</v>
      </c>
      <c r="AP26" s="93">
        <f t="shared" ca="1" si="0"/>
        <v>0</v>
      </c>
      <c r="AQ26" s="93">
        <f t="shared" ca="1" si="0"/>
        <v>0</v>
      </c>
      <c r="AR26" s="93">
        <f t="shared" ca="1" si="0"/>
        <v>0</v>
      </c>
      <c r="AS26" s="93">
        <f t="shared" ca="1" si="0"/>
        <v>0</v>
      </c>
      <c r="AT26" s="93">
        <f t="shared" ca="1" si="0"/>
        <v>0</v>
      </c>
      <c r="AU26" s="93">
        <f t="shared" ca="1" si="0"/>
        <v>0</v>
      </c>
      <c r="AV26" s="93">
        <f t="shared" ca="1" si="0"/>
        <v>0</v>
      </c>
      <c r="AW26" s="93">
        <f t="shared" ca="1" si="0"/>
        <v>0</v>
      </c>
      <c r="AX26" s="93">
        <f t="shared" ca="1" si="0"/>
        <v>0</v>
      </c>
    </row>
    <row r="27" spans="1:50" s="204" customFormat="1" ht="15" customHeight="1">
      <c r="B27" s="206"/>
      <c r="E27" s="204" t="str">
        <f xml:space="preserve"> FiscalModel!E$727</f>
        <v>Net cashflow after fiscal regime: Parent company (excluding loan)</v>
      </c>
      <c r="F27" s="204">
        <f xml:space="preserve"> FiscalModel!F$727</f>
        <v>0</v>
      </c>
      <c r="G27" s="204" t="str">
        <f xml:space="preserve"> FiscalModel!G$727</f>
        <v>US$ mn</v>
      </c>
      <c r="H27" s="204">
        <f xml:space="preserve"> FiscalModel!H$727</f>
        <v>0</v>
      </c>
      <c r="I27" s="204">
        <f ca="1" xml:space="preserve"> FiscalModel!I$727</f>
        <v>1098.1595287350306</v>
      </c>
      <c r="J27" s="204">
        <f xml:space="preserve"> FiscalModel!J$727</f>
        <v>0</v>
      </c>
      <c r="K27" s="204">
        <f ca="1" xml:space="preserve"> FiscalModel!K$727</f>
        <v>-10</v>
      </c>
      <c r="L27" s="204">
        <f ca="1" xml:space="preserve"> FiscalModel!L$727</f>
        <v>-10.199999999999999</v>
      </c>
      <c r="M27" s="204">
        <f ca="1" xml:space="preserve"> FiscalModel!M$727</f>
        <v>-10.404</v>
      </c>
      <c r="N27" s="204">
        <f ca="1" xml:space="preserve"> FiscalModel!N$727</f>
        <v>-15.918120000000002</v>
      </c>
      <c r="O27" s="204">
        <f ca="1" xml:space="preserve"> FiscalModel!O$727</f>
        <v>-70.885776078000021</v>
      </c>
      <c r="P27" s="204">
        <f ca="1" xml:space="preserve"> FiscalModel!P$727</f>
        <v>33.132774853529988</v>
      </c>
      <c r="Q27" s="204">
        <f ca="1" xml:space="preserve"> FiscalModel!Q$727</f>
        <v>54.99516918550971</v>
      </c>
      <c r="R27" s="204">
        <f ca="1" xml:space="preserve"> FiscalModel!R$727</f>
        <v>61.996770855177814</v>
      </c>
      <c r="S27" s="204">
        <f ca="1" xml:space="preserve"> FiscalModel!S$727</f>
        <v>60.762653928542512</v>
      </c>
      <c r="T27" s="204">
        <f ca="1" xml:space="preserve"> FiscalModel!T$727</f>
        <v>43.465826717548509</v>
      </c>
      <c r="U27" s="204">
        <f ca="1" xml:space="preserve"> FiscalModel!U$727</f>
        <v>43.060880731718782</v>
      </c>
      <c r="V27" s="204">
        <f ca="1" xml:space="preserve"> FiscalModel!V$727</f>
        <v>108.42221011376205</v>
      </c>
      <c r="W27" s="204">
        <f ca="1" xml:space="preserve"> FiscalModel!W$727</f>
        <v>110.59065431603734</v>
      </c>
      <c r="X27" s="204">
        <f ca="1" xml:space="preserve"> FiscalModel!X$727</f>
        <v>110.51386124495176</v>
      </c>
      <c r="Y27" s="204">
        <f ca="1" xml:space="preserve"> FiscalModel!Y$727</f>
        <v>112.76991059299894</v>
      </c>
      <c r="Z27" s="204">
        <f ca="1" xml:space="preserve"> FiscalModel!Z$727</f>
        <v>115.07108092800704</v>
      </c>
      <c r="AA27" s="204">
        <f ca="1" xml:space="preserve"> FiscalModel!AA$727</f>
        <v>96.263303757842721</v>
      </c>
      <c r="AB27" s="204">
        <f ca="1" xml:space="preserve"> FiscalModel!AB$727</f>
        <v>86.173432504004694</v>
      </c>
      <c r="AC27" s="204">
        <f ca="1" xml:space="preserve"> FiscalModel!AC$727</f>
        <v>65.860404777513722</v>
      </c>
      <c r="AD27" s="204">
        <f ca="1" xml:space="preserve"> FiscalModel!AD$727</f>
        <v>63.530109465177134</v>
      </c>
      <c r="AE27" s="204">
        <f ca="1" xml:space="preserve"> FiscalModel!AE$727</f>
        <v>48.958380840707889</v>
      </c>
      <c r="AF27" s="204">
        <f ca="1" xml:space="preserve"> FiscalModel!AF$727</f>
        <v>0</v>
      </c>
      <c r="AG27" s="204">
        <f ca="1" xml:space="preserve"> FiscalModel!AG$727</f>
        <v>0</v>
      </c>
      <c r="AH27" s="204">
        <f ca="1" xml:space="preserve"> FiscalModel!AH$727</f>
        <v>0</v>
      </c>
      <c r="AI27" s="204">
        <f ca="1" xml:space="preserve"> FiscalModel!AI$727</f>
        <v>0</v>
      </c>
      <c r="AJ27" s="204">
        <f ca="1" xml:space="preserve"> FiscalModel!AJ$727</f>
        <v>0</v>
      </c>
      <c r="AK27" s="204">
        <f ca="1" xml:space="preserve"> FiscalModel!AK$727</f>
        <v>0</v>
      </c>
      <c r="AL27" s="204">
        <f ca="1" xml:space="preserve"> FiscalModel!AL$727</f>
        <v>0</v>
      </c>
      <c r="AM27" s="204">
        <f ca="1" xml:space="preserve"> FiscalModel!AM$727</f>
        <v>0</v>
      </c>
      <c r="AN27" s="204">
        <f ca="1" xml:space="preserve"> FiscalModel!AN$727</f>
        <v>0</v>
      </c>
      <c r="AO27" s="204">
        <f ca="1" xml:space="preserve"> FiscalModel!AO$727</f>
        <v>0</v>
      </c>
      <c r="AP27" s="204">
        <f ca="1" xml:space="preserve"> FiscalModel!AP$727</f>
        <v>0</v>
      </c>
      <c r="AQ27" s="204">
        <f ca="1" xml:space="preserve"> FiscalModel!AQ$727</f>
        <v>0</v>
      </c>
      <c r="AR27" s="204">
        <f ca="1" xml:space="preserve"> FiscalModel!AR$727</f>
        <v>0</v>
      </c>
      <c r="AS27" s="204">
        <f ca="1" xml:space="preserve"> FiscalModel!AS$727</f>
        <v>0</v>
      </c>
      <c r="AT27" s="204">
        <f ca="1" xml:space="preserve"> FiscalModel!AT$727</f>
        <v>0</v>
      </c>
      <c r="AU27" s="204">
        <f ca="1" xml:space="preserve"> FiscalModel!AU$727</f>
        <v>0</v>
      </c>
      <c r="AV27" s="204">
        <f ca="1" xml:space="preserve"> FiscalModel!AV$727</f>
        <v>0</v>
      </c>
      <c r="AW27" s="204">
        <f ca="1" xml:space="preserve"> FiscalModel!AW$727</f>
        <v>0</v>
      </c>
      <c r="AX27" s="204">
        <f ca="1" xml:space="preserve"> FiscalModel!AX$727</f>
        <v>0</v>
      </c>
    </row>
    <row r="28" spans="1:50" s="204" customFormat="1" ht="15" customHeight="1">
      <c r="B28" s="206"/>
      <c r="E28" s="204" t="str">
        <f xml:space="preserve"> FiscalModel!E$704</f>
        <v>Project loan cashflows net of state participation share, met by parent company</v>
      </c>
      <c r="F28" s="204">
        <f xml:space="preserve"> FiscalModel!F$704</f>
        <v>0</v>
      </c>
      <c r="G28" s="204" t="str">
        <f xml:space="preserve"> FiscalModel!G$704</f>
        <v>US$ mn</v>
      </c>
      <c r="H28" s="204">
        <f xml:space="preserve"> FiscalModel!H$704</f>
        <v>0</v>
      </c>
      <c r="I28" s="204">
        <f ca="1" xml:space="preserve"> FiscalModel!I$704</f>
        <v>94.43921227254917</v>
      </c>
      <c r="J28" s="204">
        <f xml:space="preserve"> FiscalModel!J$704</f>
        <v>0</v>
      </c>
      <c r="K28" s="204">
        <f ca="1" xml:space="preserve"> FiscalModel!K$704</f>
        <v>0</v>
      </c>
      <c r="L28" s="204">
        <f ca="1" xml:space="preserve"> FiscalModel!L$704</f>
        <v>0</v>
      </c>
      <c r="M28" s="204">
        <f ca="1" xml:space="preserve"> FiscalModel!M$704</f>
        <v>0</v>
      </c>
      <c r="N28" s="204">
        <f ca="1" xml:space="preserve"> FiscalModel!N$704</f>
        <v>-37.142279999999992</v>
      </c>
      <c r="O28" s="204">
        <f ca="1" xml:space="preserve"> FiscalModel!O$704</f>
        <v>-189.42562799999999</v>
      </c>
      <c r="P28" s="204">
        <f ca="1" xml:space="preserve"> FiscalModel!P$704</f>
        <v>-77.285656223999993</v>
      </c>
      <c r="Q28" s="204">
        <f ca="1" xml:space="preserve"> FiscalModel!Q$704</f>
        <v>88.201278608239775</v>
      </c>
      <c r="R28" s="204">
        <f ca="1" xml:space="preserve"> FiscalModel!R$704</f>
        <v>83.929916953774793</v>
      </c>
      <c r="S28" s="204">
        <f ca="1" xml:space="preserve"> FiscalModel!S$704</f>
        <v>79.658555299309825</v>
      </c>
      <c r="T28" s="204">
        <f ca="1" xml:space="preserve"> FiscalModel!T$704</f>
        <v>75.387193644844857</v>
      </c>
      <c r="U28" s="204">
        <f ca="1" xml:space="preserve"> FiscalModel!U$704</f>
        <v>71.115831990379888</v>
      </c>
      <c r="V28" s="204">
        <f ca="1" xml:space="preserve"> FiscalModel!V$704</f>
        <v>0</v>
      </c>
      <c r="W28" s="204">
        <f ca="1" xml:space="preserve"> FiscalModel!W$704</f>
        <v>0</v>
      </c>
      <c r="X28" s="204">
        <f ca="1" xml:space="preserve"> FiscalModel!X$704</f>
        <v>0</v>
      </c>
      <c r="Y28" s="204">
        <f ca="1" xml:space="preserve"> FiscalModel!Y$704</f>
        <v>0</v>
      </c>
      <c r="Z28" s="204">
        <f ca="1" xml:space="preserve"> FiscalModel!Z$704</f>
        <v>0</v>
      </c>
      <c r="AA28" s="204">
        <f ca="1" xml:space="preserve"> FiscalModel!AA$704</f>
        <v>0</v>
      </c>
      <c r="AB28" s="204">
        <f ca="1" xml:space="preserve"> FiscalModel!AB$704</f>
        <v>0</v>
      </c>
      <c r="AC28" s="204">
        <f ca="1" xml:space="preserve"> FiscalModel!AC$704</f>
        <v>0</v>
      </c>
      <c r="AD28" s="204">
        <f ca="1" xml:space="preserve"> FiscalModel!AD$704</f>
        <v>0</v>
      </c>
      <c r="AE28" s="204">
        <f ca="1" xml:space="preserve"> FiscalModel!AE$704</f>
        <v>0</v>
      </c>
      <c r="AF28" s="204">
        <f ca="1" xml:space="preserve"> FiscalModel!AF$704</f>
        <v>0</v>
      </c>
      <c r="AG28" s="204">
        <f ca="1" xml:space="preserve"> FiscalModel!AG$704</f>
        <v>0</v>
      </c>
      <c r="AH28" s="204">
        <f ca="1" xml:space="preserve"> FiscalModel!AH$704</f>
        <v>0</v>
      </c>
      <c r="AI28" s="204">
        <f ca="1" xml:space="preserve"> FiscalModel!AI$704</f>
        <v>0</v>
      </c>
      <c r="AJ28" s="204">
        <f ca="1" xml:space="preserve"> FiscalModel!AJ$704</f>
        <v>0</v>
      </c>
      <c r="AK28" s="204">
        <f ca="1" xml:space="preserve"> FiscalModel!AK$704</f>
        <v>0</v>
      </c>
      <c r="AL28" s="204">
        <f ca="1" xml:space="preserve"> FiscalModel!AL$704</f>
        <v>0</v>
      </c>
      <c r="AM28" s="204">
        <f ca="1" xml:space="preserve"> FiscalModel!AM$704</f>
        <v>0</v>
      </c>
      <c r="AN28" s="204">
        <f ca="1" xml:space="preserve"> FiscalModel!AN$704</f>
        <v>0</v>
      </c>
      <c r="AO28" s="204">
        <f ca="1" xml:space="preserve"> FiscalModel!AO$704</f>
        <v>0</v>
      </c>
      <c r="AP28" s="204">
        <f ca="1" xml:space="preserve"> FiscalModel!AP$704</f>
        <v>0</v>
      </c>
      <c r="AQ28" s="204">
        <f ca="1" xml:space="preserve"> FiscalModel!AQ$704</f>
        <v>0</v>
      </c>
      <c r="AR28" s="204">
        <f ca="1" xml:space="preserve"> FiscalModel!AR$704</f>
        <v>0</v>
      </c>
      <c r="AS28" s="204">
        <f ca="1" xml:space="preserve"> FiscalModel!AS$704</f>
        <v>0</v>
      </c>
      <c r="AT28" s="204">
        <f ca="1" xml:space="preserve"> FiscalModel!AT$704</f>
        <v>0</v>
      </c>
      <c r="AU28" s="204">
        <f ca="1" xml:space="preserve"> FiscalModel!AU$704</f>
        <v>0</v>
      </c>
      <c r="AV28" s="204">
        <f ca="1" xml:space="preserve"> FiscalModel!AV$704</f>
        <v>0</v>
      </c>
      <c r="AW28" s="204">
        <f ca="1" xml:space="preserve"> FiscalModel!AW$704</f>
        <v>0</v>
      </c>
      <c r="AX28" s="204">
        <f ca="1" xml:space="preserve"> FiscalModel!AX$704</f>
        <v>0</v>
      </c>
    </row>
    <row r="29" spans="1:50" s="93" customFormat="1" ht="15" customHeight="1">
      <c r="A29" s="90"/>
      <c r="B29" s="134"/>
      <c r="E29" s="93" t="str">
        <f>Translate!$E$433</f>
        <v>Investors (Parent company + lender)</v>
      </c>
      <c r="G29" s="93" t="str">
        <f xml:space="preserve"> Translate!E$10</f>
        <v>US$ mn</v>
      </c>
      <c r="I29" s="93">
        <f ca="1" xml:space="preserve"> SUM(K29:AX29)</f>
        <v>1192.5987410075795</v>
      </c>
      <c r="K29" s="93">
        <f ca="1" xml:space="preserve"> K27 + K28</f>
        <v>-10</v>
      </c>
      <c r="L29" s="93">
        <f t="shared" ref="L29:AX29" ca="1" si="1" xml:space="preserve"> L27 + L28</f>
        <v>-10.199999999999999</v>
      </c>
      <c r="M29" s="93">
        <f t="shared" ca="1" si="1"/>
        <v>-10.404</v>
      </c>
      <c r="N29" s="93">
        <f t="shared" ca="1" si="1"/>
        <v>-53.060399999999994</v>
      </c>
      <c r="O29" s="93">
        <f t="shared" ca="1" si="1"/>
        <v>-260.31140407800001</v>
      </c>
      <c r="P29" s="93">
        <f t="shared" ca="1" si="1"/>
        <v>-44.152881370470006</v>
      </c>
      <c r="Q29" s="93">
        <f t="shared" ca="1" si="1"/>
        <v>143.19644779374948</v>
      </c>
      <c r="R29" s="93">
        <f t="shared" ca="1" si="1"/>
        <v>145.92668780895261</v>
      </c>
      <c r="S29" s="93">
        <f t="shared" ca="1" si="1"/>
        <v>140.42120922785233</v>
      </c>
      <c r="T29" s="93">
        <f t="shared" ca="1" si="1"/>
        <v>118.85302036239337</v>
      </c>
      <c r="U29" s="93">
        <f t="shared" ca="1" si="1"/>
        <v>114.17671272209867</v>
      </c>
      <c r="V29" s="93">
        <f t="shared" ca="1" si="1"/>
        <v>108.42221011376205</v>
      </c>
      <c r="W29" s="93">
        <f t="shared" ca="1" si="1"/>
        <v>110.59065431603734</v>
      </c>
      <c r="X29" s="93">
        <f t="shared" ca="1" si="1"/>
        <v>110.51386124495176</v>
      </c>
      <c r="Y29" s="93">
        <f t="shared" ca="1" si="1"/>
        <v>112.76991059299894</v>
      </c>
      <c r="Z29" s="93">
        <f t="shared" ca="1" si="1"/>
        <v>115.07108092800704</v>
      </c>
      <c r="AA29" s="93">
        <f t="shared" ca="1" si="1"/>
        <v>96.263303757842721</v>
      </c>
      <c r="AB29" s="93">
        <f t="shared" ca="1" si="1"/>
        <v>86.173432504004694</v>
      </c>
      <c r="AC29" s="93">
        <f t="shared" ca="1" si="1"/>
        <v>65.860404777513722</v>
      </c>
      <c r="AD29" s="93">
        <f t="shared" ca="1" si="1"/>
        <v>63.530109465177134</v>
      </c>
      <c r="AE29" s="93">
        <f t="shared" ca="1" si="1"/>
        <v>48.958380840707889</v>
      </c>
      <c r="AF29" s="93">
        <f t="shared" ca="1" si="1"/>
        <v>0</v>
      </c>
      <c r="AG29" s="93">
        <f t="shared" ca="1" si="1"/>
        <v>0</v>
      </c>
      <c r="AH29" s="93">
        <f t="shared" ca="1" si="1"/>
        <v>0</v>
      </c>
      <c r="AI29" s="93">
        <f t="shared" ca="1" si="1"/>
        <v>0</v>
      </c>
      <c r="AJ29" s="93">
        <f t="shared" ca="1" si="1"/>
        <v>0</v>
      </c>
      <c r="AK29" s="93">
        <f t="shared" ca="1" si="1"/>
        <v>0</v>
      </c>
      <c r="AL29" s="93">
        <f t="shared" ca="1" si="1"/>
        <v>0</v>
      </c>
      <c r="AM29" s="93">
        <f t="shared" ca="1" si="1"/>
        <v>0</v>
      </c>
      <c r="AN29" s="93">
        <f t="shared" ca="1" si="1"/>
        <v>0</v>
      </c>
      <c r="AO29" s="93">
        <f t="shared" ca="1" si="1"/>
        <v>0</v>
      </c>
      <c r="AP29" s="93">
        <f t="shared" ca="1" si="1"/>
        <v>0</v>
      </c>
      <c r="AQ29" s="93">
        <f t="shared" ca="1" si="1"/>
        <v>0</v>
      </c>
      <c r="AR29" s="93">
        <f t="shared" ca="1" si="1"/>
        <v>0</v>
      </c>
      <c r="AS29" s="93">
        <f t="shared" ca="1" si="1"/>
        <v>0</v>
      </c>
      <c r="AT29" s="93">
        <f t="shared" ca="1" si="1"/>
        <v>0</v>
      </c>
      <c r="AU29" s="93">
        <f t="shared" ca="1" si="1"/>
        <v>0</v>
      </c>
      <c r="AV29" s="93">
        <f t="shared" ca="1" si="1"/>
        <v>0</v>
      </c>
      <c r="AW29" s="93">
        <f t="shared" ca="1" si="1"/>
        <v>0</v>
      </c>
      <c r="AX29" s="93">
        <f t="shared" ca="1" si="1"/>
        <v>0</v>
      </c>
    </row>
    <row r="30" spans="1:50" s="204" customFormat="1" ht="15" customHeight="1">
      <c r="B30" s="206"/>
      <c r="E30" s="204" t="str">
        <f xml:space="preserve"> ProjectCashflows!E$252</f>
        <v>Project benefits</v>
      </c>
      <c r="F30" s="204">
        <f xml:space="preserve"> ProjectCashflows!F$252</f>
        <v>0</v>
      </c>
      <c r="G30" s="204" t="str">
        <f xml:space="preserve"> ProjectCashflows!G$252</f>
        <v>US$ mn</v>
      </c>
      <c r="H30" s="204" t="str">
        <f xml:space="preserve"> ProjectCashflows!H$252</f>
        <v>cashflows excluding exploration &amp; development costs</v>
      </c>
      <c r="I30" s="204">
        <f ca="1" xml:space="preserve"> ProjectCashflows!I$252</f>
        <v>2445.5342705310932</v>
      </c>
      <c r="J30" s="204">
        <f xml:space="preserve"> ProjectCashflows!J$252</f>
        <v>0</v>
      </c>
      <c r="K30" s="204">
        <f ca="1" xml:space="preserve"> ProjectCashflows!K$252</f>
        <v>0</v>
      </c>
      <c r="L30" s="204">
        <f ca="1" xml:space="preserve"> ProjectCashflows!L$252</f>
        <v>0</v>
      </c>
      <c r="M30" s="204">
        <f ca="1" xml:space="preserve"> ProjectCashflows!M$252</f>
        <v>0</v>
      </c>
      <c r="N30" s="204">
        <f ca="1" xml:space="preserve"> ProjectCashflows!N$252</f>
        <v>0</v>
      </c>
      <c r="O30" s="204">
        <f ca="1" xml:space="preserve"> ProjectCashflows!O$252</f>
        <v>11.09492964</v>
      </c>
      <c r="P30" s="204">
        <f ca="1" xml:space="preserve"> ProjectCashflows!P$252</f>
        <v>76.043565320400006</v>
      </c>
      <c r="Q30" s="204">
        <f ca="1" xml:space="preserve"> ProjectCashflows!Q$252</f>
        <v>164.13817260772802</v>
      </c>
      <c r="R30" s="204">
        <f ca="1" xml:space="preserve"> ProjectCashflows!R$252</f>
        <v>167.42093605988254</v>
      </c>
      <c r="S30" s="204">
        <f ca="1" xml:space="preserve"> ProjectCashflows!S$252</f>
        <v>170.76935478108024</v>
      </c>
      <c r="T30" s="204">
        <f ca="1" xml:space="preserve"> ProjectCashflows!T$252</f>
        <v>174.18474187670188</v>
      </c>
      <c r="U30" s="204">
        <f ca="1" xml:space="preserve"> ProjectCashflows!U$252</f>
        <v>177.6684367142359</v>
      </c>
      <c r="V30" s="204">
        <f ca="1" xml:space="preserve"> ProjectCashflows!V$252</f>
        <v>181.2218054485206</v>
      </c>
      <c r="W30" s="204">
        <f ca="1" xml:space="preserve"> ProjectCashflows!W$252</f>
        <v>184.846241557491</v>
      </c>
      <c r="X30" s="204">
        <f ca="1" xml:space="preserve"> ProjectCashflows!X$252</f>
        <v>188.5431663886408</v>
      </c>
      <c r="Y30" s="204">
        <f ca="1" xml:space="preserve"> ProjectCashflows!Y$252</f>
        <v>192.31402971641367</v>
      </c>
      <c r="Z30" s="204">
        <f ca="1" xml:space="preserve"> ProjectCashflows!Z$252</f>
        <v>196.16031031074192</v>
      </c>
      <c r="AA30" s="204">
        <f ca="1" xml:space="preserve"> ProjectCashflows!AA$252</f>
        <v>164.90588282400984</v>
      </c>
      <c r="AB30" s="204">
        <f ca="1" xml:space="preserve"> ProjectCashflows!AB$252</f>
        <v>143.52474546722354</v>
      </c>
      <c r="AC30" s="204">
        <f ca="1" xml:space="preserve"> ProjectCashflows!AC$252</f>
        <v>109.79643028242602</v>
      </c>
      <c r="AD30" s="204">
        <f ca="1" xml:space="preserve"> ProjectCashflows!AD$252</f>
        <v>97.060044369664581</v>
      </c>
      <c r="AE30" s="204">
        <f ca="1" xml:space="preserve"> ProjectCashflows!AE$252</f>
        <v>76.154804043890678</v>
      </c>
      <c r="AF30" s="204">
        <f ca="1" xml:space="preserve"> ProjectCashflows!AF$252</f>
        <v>-30.313326877958442</v>
      </c>
      <c r="AG30" s="204">
        <f ca="1" xml:space="preserve"> ProjectCashflows!AG$252</f>
        <v>0</v>
      </c>
      <c r="AH30" s="204">
        <f ca="1" xml:space="preserve"> ProjectCashflows!AH$252</f>
        <v>0</v>
      </c>
      <c r="AI30" s="204">
        <f ca="1" xml:space="preserve"> ProjectCashflows!AI$252</f>
        <v>0</v>
      </c>
      <c r="AJ30" s="204">
        <f ca="1" xml:space="preserve"> ProjectCashflows!AJ$252</f>
        <v>0</v>
      </c>
      <c r="AK30" s="204">
        <f ca="1" xml:space="preserve"> ProjectCashflows!AK$252</f>
        <v>0</v>
      </c>
      <c r="AL30" s="204">
        <f ca="1" xml:space="preserve"> ProjectCashflows!AL$252</f>
        <v>0</v>
      </c>
      <c r="AM30" s="204">
        <f ca="1" xml:space="preserve"> ProjectCashflows!AM$252</f>
        <v>0</v>
      </c>
      <c r="AN30" s="204">
        <f ca="1" xml:space="preserve"> ProjectCashflows!AN$252</f>
        <v>0</v>
      </c>
      <c r="AO30" s="204">
        <f ca="1" xml:space="preserve"> ProjectCashflows!AO$252</f>
        <v>0</v>
      </c>
      <c r="AP30" s="204">
        <f ca="1" xml:space="preserve"> ProjectCashflows!AP$252</f>
        <v>0</v>
      </c>
      <c r="AQ30" s="204">
        <f ca="1" xml:space="preserve"> ProjectCashflows!AQ$252</f>
        <v>0</v>
      </c>
      <c r="AR30" s="204">
        <f ca="1" xml:space="preserve"> ProjectCashflows!AR$252</f>
        <v>0</v>
      </c>
      <c r="AS30" s="204">
        <f ca="1" xml:space="preserve"> ProjectCashflows!AS$252</f>
        <v>0</v>
      </c>
      <c r="AT30" s="204">
        <f ca="1" xml:space="preserve"> ProjectCashflows!AT$252</f>
        <v>0</v>
      </c>
      <c r="AU30" s="204">
        <f ca="1" xml:space="preserve"> ProjectCashflows!AU$252</f>
        <v>0</v>
      </c>
      <c r="AV30" s="204">
        <f ca="1" xml:space="preserve"> ProjectCashflows!AV$252</f>
        <v>0</v>
      </c>
      <c r="AW30" s="204">
        <f ca="1" xml:space="preserve"> ProjectCashflows!AW$252</f>
        <v>0</v>
      </c>
      <c r="AX30" s="204">
        <f ca="1" xml:space="preserve"> ProjectCashflows!AX$252</f>
        <v>0</v>
      </c>
    </row>
    <row r="31" spans="1:50" s="93" customFormat="1" ht="15" customHeight="1">
      <c r="A31" s="90"/>
      <c r="B31" s="134"/>
    </row>
    <row r="32" spans="1:50" s="93" customFormat="1" ht="15" customHeight="1">
      <c r="A32" s="90"/>
      <c r="B32" s="134"/>
      <c r="E32" s="93" t="str">
        <f xml:space="preserve"> Translate!E$444 &amp;  ": " &amp; B6</f>
        <v>Check: Cashflows: full-cycle, nominal</v>
      </c>
      <c r="G32" s="93" t="str">
        <f xml:space="preserve"> G23</f>
        <v>US$ mn</v>
      </c>
      <c r="I32" s="93">
        <f ca="1" xml:space="preserve"> SUM(K32:AX32)</f>
        <v>0</v>
      </c>
      <c r="K32" s="93">
        <f ca="1" xml:space="preserve"> K22 + K23 - SUM(K26:K28)</f>
        <v>0</v>
      </c>
      <c r="L32" s="93">
        <f t="shared" ref="L32:AX32" ca="1" si="2" xml:space="preserve"> L22 + L23 - SUM(L26:L28)</f>
        <v>0</v>
      </c>
      <c r="M32" s="93">
        <f t="shared" ca="1" si="2"/>
        <v>0</v>
      </c>
      <c r="N32" s="93">
        <f t="shared" ca="1" si="2"/>
        <v>0</v>
      </c>
      <c r="O32" s="93">
        <f t="shared" ca="1" si="2"/>
        <v>0</v>
      </c>
      <c r="P32" s="93">
        <f t="shared" ca="1" si="2"/>
        <v>0</v>
      </c>
      <c r="Q32" s="93">
        <f t="shared" ca="1" si="2"/>
        <v>0</v>
      </c>
      <c r="R32" s="93">
        <f t="shared" ca="1" si="2"/>
        <v>0</v>
      </c>
      <c r="S32" s="93">
        <f t="shared" ca="1" si="2"/>
        <v>0</v>
      </c>
      <c r="T32" s="93">
        <f t="shared" ca="1" si="2"/>
        <v>0</v>
      </c>
      <c r="U32" s="93">
        <f t="shared" ca="1" si="2"/>
        <v>0</v>
      </c>
      <c r="V32" s="93">
        <f t="shared" ca="1" si="2"/>
        <v>0</v>
      </c>
      <c r="W32" s="93">
        <f t="shared" ca="1" si="2"/>
        <v>0</v>
      </c>
      <c r="X32" s="93">
        <f t="shared" ca="1" si="2"/>
        <v>0</v>
      </c>
      <c r="Y32" s="93">
        <f t="shared" ca="1" si="2"/>
        <v>0</v>
      </c>
      <c r="Z32" s="93">
        <f t="shared" ca="1" si="2"/>
        <v>0</v>
      </c>
      <c r="AA32" s="93">
        <f t="shared" ca="1" si="2"/>
        <v>0</v>
      </c>
      <c r="AB32" s="93">
        <f t="shared" ca="1" si="2"/>
        <v>0</v>
      </c>
      <c r="AC32" s="93">
        <f t="shared" ca="1" si="2"/>
        <v>0</v>
      </c>
      <c r="AD32" s="93">
        <f t="shared" ca="1" si="2"/>
        <v>0</v>
      </c>
      <c r="AE32" s="93">
        <f t="shared" ca="1" si="2"/>
        <v>0</v>
      </c>
      <c r="AF32" s="93">
        <f t="shared" ca="1" si="2"/>
        <v>0</v>
      </c>
      <c r="AG32" s="93">
        <f t="shared" ca="1" si="2"/>
        <v>0</v>
      </c>
      <c r="AH32" s="93">
        <f t="shared" ca="1" si="2"/>
        <v>0</v>
      </c>
      <c r="AI32" s="93">
        <f t="shared" ca="1" si="2"/>
        <v>0</v>
      </c>
      <c r="AJ32" s="93">
        <f t="shared" ca="1" si="2"/>
        <v>0</v>
      </c>
      <c r="AK32" s="93">
        <f t="shared" ca="1" si="2"/>
        <v>0</v>
      </c>
      <c r="AL32" s="93">
        <f t="shared" ca="1" si="2"/>
        <v>0</v>
      </c>
      <c r="AM32" s="93">
        <f t="shared" ca="1" si="2"/>
        <v>0</v>
      </c>
      <c r="AN32" s="93">
        <f t="shared" ca="1" si="2"/>
        <v>0</v>
      </c>
      <c r="AO32" s="93">
        <f t="shared" ca="1" si="2"/>
        <v>0</v>
      </c>
      <c r="AP32" s="93">
        <f t="shared" ca="1" si="2"/>
        <v>0</v>
      </c>
      <c r="AQ32" s="93">
        <f t="shared" ca="1" si="2"/>
        <v>0</v>
      </c>
      <c r="AR32" s="93">
        <f t="shared" ca="1" si="2"/>
        <v>0</v>
      </c>
      <c r="AS32" s="93">
        <f t="shared" ca="1" si="2"/>
        <v>0</v>
      </c>
      <c r="AT32" s="93">
        <f t="shared" ca="1" si="2"/>
        <v>0</v>
      </c>
      <c r="AU32" s="93">
        <f t="shared" ca="1" si="2"/>
        <v>0</v>
      </c>
      <c r="AV32" s="93">
        <f t="shared" ca="1" si="2"/>
        <v>0</v>
      </c>
      <c r="AW32" s="93">
        <f t="shared" ca="1" si="2"/>
        <v>0</v>
      </c>
      <c r="AX32" s="93">
        <f t="shared" ca="1" si="2"/>
        <v>0</v>
      </c>
    </row>
    <row r="33" spans="1:50" s="93" customFormat="1" ht="15" customHeight="1">
      <c r="A33" s="90"/>
      <c r="B33" s="134"/>
      <c r="E33" s="93" t="str">
        <f xml:space="preserve"> E32</f>
        <v>Check: Cashflows: full-cycle, nominal</v>
      </c>
      <c r="F33" s="61">
        <f ca="1" xml:space="preserve"> MIN( 1, SUM(K33:AX33))</f>
        <v>0</v>
      </c>
      <c r="G33" s="1041" t="str">
        <f xml:space="preserve"> Translate!E$444</f>
        <v>Check</v>
      </c>
      <c r="I33" s="93">
        <f ca="1" xml:space="preserve"> SUM(K33:AX33)</f>
        <v>0</v>
      </c>
      <c r="K33" s="61">
        <f t="shared" ref="K33:AX33" ca="1" si="3" xml:space="preserve"> IF( ABS( K32) &gt; CHK_TOL, 1, 0)</f>
        <v>0</v>
      </c>
      <c r="L33" s="61">
        <f t="shared" ca="1" si="3"/>
        <v>0</v>
      </c>
      <c r="M33" s="61">
        <f t="shared" ca="1" si="3"/>
        <v>0</v>
      </c>
      <c r="N33" s="61">
        <f t="shared" ca="1" si="3"/>
        <v>0</v>
      </c>
      <c r="O33" s="61">
        <f t="shared" ca="1" si="3"/>
        <v>0</v>
      </c>
      <c r="P33" s="61">
        <f t="shared" ca="1" si="3"/>
        <v>0</v>
      </c>
      <c r="Q33" s="61">
        <f t="shared" ca="1" si="3"/>
        <v>0</v>
      </c>
      <c r="R33" s="61">
        <f t="shared" ca="1" si="3"/>
        <v>0</v>
      </c>
      <c r="S33" s="61">
        <f t="shared" ca="1" si="3"/>
        <v>0</v>
      </c>
      <c r="T33" s="61">
        <f t="shared" ca="1" si="3"/>
        <v>0</v>
      </c>
      <c r="U33" s="61">
        <f t="shared" ca="1" si="3"/>
        <v>0</v>
      </c>
      <c r="V33" s="61">
        <f t="shared" ca="1" si="3"/>
        <v>0</v>
      </c>
      <c r="W33" s="61">
        <f t="shared" ca="1" si="3"/>
        <v>0</v>
      </c>
      <c r="X33" s="61">
        <f t="shared" ca="1" si="3"/>
        <v>0</v>
      </c>
      <c r="Y33" s="61">
        <f t="shared" ca="1" si="3"/>
        <v>0</v>
      </c>
      <c r="Z33" s="61">
        <f t="shared" ca="1" si="3"/>
        <v>0</v>
      </c>
      <c r="AA33" s="61">
        <f t="shared" ca="1" si="3"/>
        <v>0</v>
      </c>
      <c r="AB33" s="61">
        <f t="shared" ca="1" si="3"/>
        <v>0</v>
      </c>
      <c r="AC33" s="61">
        <f t="shared" ca="1" si="3"/>
        <v>0</v>
      </c>
      <c r="AD33" s="61">
        <f t="shared" ca="1" si="3"/>
        <v>0</v>
      </c>
      <c r="AE33" s="61">
        <f t="shared" ca="1" si="3"/>
        <v>0</v>
      </c>
      <c r="AF33" s="61">
        <f t="shared" ca="1" si="3"/>
        <v>0</v>
      </c>
      <c r="AG33" s="61">
        <f t="shared" ca="1" si="3"/>
        <v>0</v>
      </c>
      <c r="AH33" s="61">
        <f t="shared" ca="1" si="3"/>
        <v>0</v>
      </c>
      <c r="AI33" s="61">
        <f t="shared" ca="1" si="3"/>
        <v>0</v>
      </c>
      <c r="AJ33" s="61">
        <f t="shared" ca="1" si="3"/>
        <v>0</v>
      </c>
      <c r="AK33" s="61">
        <f t="shared" ca="1" si="3"/>
        <v>0</v>
      </c>
      <c r="AL33" s="61">
        <f t="shared" ca="1" si="3"/>
        <v>0</v>
      </c>
      <c r="AM33" s="61">
        <f t="shared" ca="1" si="3"/>
        <v>0</v>
      </c>
      <c r="AN33" s="61">
        <f t="shared" ca="1" si="3"/>
        <v>0</v>
      </c>
      <c r="AO33" s="61">
        <f t="shared" ca="1" si="3"/>
        <v>0</v>
      </c>
      <c r="AP33" s="61">
        <f t="shared" ca="1" si="3"/>
        <v>0</v>
      </c>
      <c r="AQ33" s="61">
        <f t="shared" ca="1" si="3"/>
        <v>0</v>
      </c>
      <c r="AR33" s="61">
        <f t="shared" ca="1" si="3"/>
        <v>0</v>
      </c>
      <c r="AS33" s="61">
        <f t="shared" ca="1" si="3"/>
        <v>0</v>
      </c>
      <c r="AT33" s="61">
        <f t="shared" ca="1" si="3"/>
        <v>0</v>
      </c>
      <c r="AU33" s="61">
        <f t="shared" ca="1" si="3"/>
        <v>0</v>
      </c>
      <c r="AV33" s="61">
        <f t="shared" ca="1" si="3"/>
        <v>0</v>
      </c>
      <c r="AW33" s="61">
        <f t="shared" ca="1" si="3"/>
        <v>0</v>
      </c>
      <c r="AX33" s="61">
        <f t="shared" ca="1" si="3"/>
        <v>0</v>
      </c>
    </row>
    <row r="34" spans="1:50" s="93" customFormat="1" ht="15" customHeight="1">
      <c r="A34" s="90"/>
      <c r="B34" s="134"/>
    </row>
    <row r="35" spans="1:50" s="93" customFormat="1" ht="15" customHeight="1">
      <c r="A35" s="90"/>
      <c r="B35" s="134"/>
      <c r="E35" s="93" t="str">
        <f xml:space="preserve"> Translate!$E$19 &amp;  ": " &amp; E22</f>
        <v>Total: Project cashflow before decommissioning fund</v>
      </c>
      <c r="F35" s="93">
        <f t="shared" ref="F35:F43" ca="1" si="4" xml:space="preserve"> SUM(K22:AX22)</f>
        <v>1980.8537502110926</v>
      </c>
      <c r="G35" s="93" t="str">
        <f t="shared" ref="G35:G43" si="5" xml:space="preserve"> G22</f>
        <v>US$ mn</v>
      </c>
    </row>
    <row r="36" spans="1:50" s="93" customFormat="1" ht="15" customHeight="1">
      <c r="A36" s="90"/>
      <c r="B36" s="134"/>
      <c r="E36" s="93" t="str">
        <f xml:space="preserve"> Translate!$E$19 &amp;  ": " &amp; E23</f>
        <v>Total: Net decommissioning cashflows</v>
      </c>
      <c r="F36" s="93">
        <f t="shared" ca="1" si="4"/>
        <v>2.0589298729422225</v>
      </c>
      <c r="G36" s="93" t="str">
        <f t="shared" si="5"/>
        <v>US$ mn</v>
      </c>
    </row>
    <row r="37" spans="1:50" s="93" customFormat="1" ht="15" customHeight="1">
      <c r="A37" s="90"/>
      <c r="B37" s="134"/>
      <c r="E37" s="93" t="str">
        <f xml:space="preserve"> Translate!$E$19 &amp;  ": " &amp; E24</f>
        <v>Total: Government revenues excluding participation</v>
      </c>
      <c r="F37" s="93">
        <f t="shared" ca="1" si="4"/>
        <v>790.3139390764552</v>
      </c>
      <c r="G37" s="93" t="str">
        <f t="shared" si="5"/>
        <v>US$ mn</v>
      </c>
    </row>
    <row r="38" spans="1:50" s="93" customFormat="1" ht="15" customHeight="1">
      <c r="A38" s="90"/>
      <c r="B38" s="134"/>
      <c r="E38" s="93" t="str">
        <f xml:space="preserve"> Translate!$E$19 &amp;  ": " &amp; E25</f>
        <v>Total: State participation cashflows including share of loan</v>
      </c>
      <c r="F38" s="93">
        <f t="shared" ca="1" si="4"/>
        <v>0</v>
      </c>
      <c r="G38" s="93" t="str">
        <f t="shared" si="5"/>
        <v>US$ mn</v>
      </c>
    </row>
    <row r="39" spans="1:50" s="93" customFormat="1" ht="15" customHeight="1">
      <c r="A39" s="90"/>
      <c r="B39" s="134"/>
      <c r="E39" s="93" t="str">
        <f xml:space="preserve"> Translate!$E$19 &amp;  ": " &amp; E26</f>
        <v>Total: Government revenues including participation</v>
      </c>
      <c r="F39" s="93">
        <f t="shared" ca="1" si="4"/>
        <v>790.3139390764552</v>
      </c>
      <c r="G39" s="93" t="str">
        <f t="shared" si="5"/>
        <v>US$ mn</v>
      </c>
    </row>
    <row r="40" spans="1:50" s="93" customFormat="1" ht="15" customHeight="1">
      <c r="A40" s="90"/>
      <c r="B40" s="134"/>
      <c r="E40" s="93" t="str">
        <f xml:space="preserve"> Translate!$E$19 &amp;  ": " &amp; E27</f>
        <v>Total: Net cashflow after fiscal regime: Parent company (excluding loan)</v>
      </c>
      <c r="F40" s="93">
        <f t="shared" ca="1" si="4"/>
        <v>1098.1595287350306</v>
      </c>
      <c r="G40" s="93" t="str">
        <f t="shared" si="5"/>
        <v>US$ mn</v>
      </c>
    </row>
    <row r="41" spans="1:50" s="93" customFormat="1" ht="15" customHeight="1">
      <c r="A41" s="90"/>
      <c r="B41" s="134"/>
      <c r="E41" s="93" t="str">
        <f xml:space="preserve"> Translate!$E$19 &amp;  ": " &amp; E28</f>
        <v>Total: Project loan cashflows net of state participation share, met by parent company</v>
      </c>
      <c r="F41" s="93">
        <f t="shared" ca="1" si="4"/>
        <v>94.43921227254917</v>
      </c>
      <c r="G41" s="93" t="str">
        <f t="shared" si="5"/>
        <v>US$ mn</v>
      </c>
    </row>
    <row r="42" spans="1:50" s="93" customFormat="1" ht="15" customHeight="1">
      <c r="A42" s="90"/>
      <c r="B42" s="134"/>
      <c r="E42" s="93" t="str">
        <f xml:space="preserve"> Translate!$E$19 &amp;  ": " &amp; E29</f>
        <v>Total: Investors (Parent company + lender)</v>
      </c>
      <c r="F42" s="93">
        <f t="shared" ca="1" si="4"/>
        <v>1192.5987410075795</v>
      </c>
      <c r="G42" s="93" t="str">
        <f t="shared" si="5"/>
        <v>US$ mn</v>
      </c>
    </row>
    <row r="43" spans="1:50" s="93" customFormat="1" ht="15" customHeight="1">
      <c r="A43" s="90"/>
      <c r="B43" s="134"/>
      <c r="E43" s="93" t="str">
        <f xml:space="preserve"> Translate!$E$19 &amp;  ": " &amp; E30</f>
        <v>Total: Project benefits</v>
      </c>
      <c r="F43" s="93">
        <f t="shared" ca="1" si="4"/>
        <v>2445.5342705310932</v>
      </c>
      <c r="G43" s="93" t="str">
        <f t="shared" si="5"/>
        <v>US$ mn</v>
      </c>
    </row>
    <row r="44" spans="1:50" s="93" customFormat="1" ht="15" customHeight="1">
      <c r="A44" s="90"/>
      <c r="B44" s="134"/>
    </row>
    <row r="45" spans="1:50" s="93" customFormat="1" ht="15" customHeight="1">
      <c r="A45" s="90"/>
      <c r="B45" s="134"/>
      <c r="E45" s="93" t="str">
        <f xml:space="preserve"> Translate!$E$444 &amp; ": "  &amp; B6 &amp;  ", " &amp; Translate!$E$19</f>
        <v>Check: Cashflows: full-cycle, nominal, Total</v>
      </c>
      <c r="F45" s="61">
        <f ca="1" xml:space="preserve"> IF( ABS(F35 + F36 - SUM(F39:F41) ) &gt; CHK_TOL, 1, 0)</f>
        <v>0</v>
      </c>
      <c r="G45" s="1041" t="str">
        <f xml:space="preserve"> Translate!E$444</f>
        <v>Check</v>
      </c>
    </row>
    <row r="46" spans="1:50" s="93" customFormat="1" ht="15" customHeight="1">
      <c r="A46" s="90"/>
      <c r="B46" s="134"/>
    </row>
    <row r="47" spans="1:50" s="93" customFormat="1" ht="15" customHeight="1">
      <c r="A47" s="90"/>
      <c r="B47" s="156" t="str">
        <f xml:space="preserve"> Translate!E$13 &amp; ": " &amp; Inputs!F$83 &amp; ", " &amp; Inputs!F$86</f>
        <v>IRR: full-cycle, nominal</v>
      </c>
    </row>
    <row r="48" spans="1:50" s="93" customFormat="1" ht="15" customHeight="1">
      <c r="A48" s="90"/>
      <c r="B48" s="134"/>
      <c r="E48" s="93" t="str">
        <f xml:space="preserve"> E22</f>
        <v>Project cashflow before decommissioning fund</v>
      </c>
      <c r="F48" s="65">
        <f ca="1" xml:space="preserve"> IFERROR( IRR( K22:AX22), 0)</f>
        <v>0.30265048310200227</v>
      </c>
      <c r="G48" s="93" t="str">
        <f xml:space="preserve"> "% " &amp; Translate!E$18 &amp; " " &amp; G23</f>
        <v>% p.a. US$ mn</v>
      </c>
    </row>
    <row r="49" spans="1:50" s="93" customFormat="1" ht="15" customHeight="1">
      <c r="A49" s="90"/>
      <c r="B49" s="134"/>
      <c r="E49" s="93" t="str">
        <f xml:space="preserve"> E27</f>
        <v>Net cashflow after fiscal regime: Parent company (excluding loan)</v>
      </c>
      <c r="F49" s="65">
        <f ca="1" xml:space="preserve"> IFERROR( IRR( K27:AX27), 0)</f>
        <v>0.34012645554266663</v>
      </c>
      <c r="G49" s="93" t="str">
        <f xml:space="preserve"> "% " &amp; Translate!E$18 &amp; " " &amp; G27</f>
        <v>% p.a. US$ mn</v>
      </c>
    </row>
    <row r="50" spans="1:50" s="93" customFormat="1" ht="15" customHeight="1">
      <c r="A50" s="90"/>
      <c r="B50" s="134"/>
      <c r="E50" s="93" t="str">
        <f xml:space="preserve"> E28</f>
        <v>Project loan cashflows net of state participation share, met by parent company</v>
      </c>
      <c r="F50" s="65">
        <f ca="1" xml:space="preserve"> IFERROR( IRR( K28:AX28), 0)</f>
        <v>7.5857902388054788E-2</v>
      </c>
      <c r="G50" s="93" t="str">
        <f xml:space="preserve"> "% " &amp; Translate!E$18 &amp; " " &amp; G28</f>
        <v>% p.a. US$ mn</v>
      </c>
    </row>
    <row r="51" spans="1:50" s="93" customFormat="1" ht="15" customHeight="1">
      <c r="A51" s="90"/>
      <c r="B51" s="134"/>
      <c r="E51" s="93" t="str">
        <f xml:space="preserve"> E29</f>
        <v>Investors (Parent company + lender)</v>
      </c>
      <c r="F51" s="65">
        <f ca="1" xml:space="preserve"> IFERROR( IRR( K29:AX29), 0)</f>
        <v>0.23125950791025351</v>
      </c>
      <c r="G51" s="93" t="str">
        <f xml:space="preserve"> "% " &amp; Translate!E$18 &amp; " " &amp; G29</f>
        <v>% p.a. US$ mn</v>
      </c>
    </row>
    <row r="52" spans="1:50" s="93" customFormat="1" ht="15" customHeight="1">
      <c r="A52" s="90"/>
      <c r="B52" s="134"/>
      <c r="E52" s="93" t="str">
        <f xml:space="preserve"> E25</f>
        <v>State participation cashflows including share of loan</v>
      </c>
      <c r="F52" s="65">
        <f ca="1" xml:space="preserve"> IFERROR( IRR( K25:AX25), 0)</f>
        <v>0</v>
      </c>
      <c r="G52" s="93" t="str">
        <f xml:space="preserve"> "% " &amp; Translate!E$18 &amp; " " &amp; G25</f>
        <v>% p.a. US$ mn</v>
      </c>
    </row>
    <row r="53" spans="1:50" s="93" customFormat="1" ht="15" customHeight="1">
      <c r="A53" s="90"/>
      <c r="B53" s="134"/>
    </row>
    <row r="54" spans="1:50" s="93" customFormat="1" ht="15" customHeight="1">
      <c r="A54" s="90"/>
      <c r="B54" s="156" t="str">
        <f xml:space="preserve">  Translate!$E$14 &amp; ": " &amp; Inputs!F$83 &amp; ", " &amp; Inputs!F$86 &amp; ", " &amp; Inputs!F$87</f>
        <v>Payback: full-cycle, nominal, undiscounted</v>
      </c>
    </row>
    <row r="55" spans="1:50" s="93" customFormat="1" ht="15" customHeight="1">
      <c r="A55" s="90"/>
      <c r="B55" s="156"/>
      <c r="E55" s="204" t="str">
        <f xml:space="preserve"> ProjectCashflows!E$245</f>
        <v>Project cashflow before decommissioning fund</v>
      </c>
      <c r="F55" s="204">
        <f xml:space="preserve"> ProjectCashflows!F$245</f>
        <v>0</v>
      </c>
      <c r="G55" s="204" t="str">
        <f xml:space="preserve"> ProjectCashflows!G$245</f>
        <v>US$ mn</v>
      </c>
      <c r="H55" s="204">
        <f xml:space="preserve"> ProjectCashflows!H$245</f>
        <v>0</v>
      </c>
      <c r="I55" s="204">
        <f ca="1" xml:space="preserve"> ProjectCashflows!I$245</f>
        <v>1980.8537502110926</v>
      </c>
      <c r="J55" s="204">
        <f xml:space="preserve"> ProjectCashflows!J$245</f>
        <v>0</v>
      </c>
      <c r="K55" s="204">
        <f ca="1" xml:space="preserve"> ProjectCashflows!K$245</f>
        <v>-10</v>
      </c>
      <c r="L55" s="204">
        <f ca="1" xml:space="preserve"> ProjectCashflows!L$245</f>
        <v>-10.199999999999999</v>
      </c>
      <c r="M55" s="204">
        <f ca="1" xml:space="preserve"> ProjectCashflows!M$245</f>
        <v>-10.404</v>
      </c>
      <c r="N55" s="204">
        <f ca="1" xml:space="preserve"> ProjectCashflows!N$245</f>
        <v>-53.060399999999994</v>
      </c>
      <c r="O55" s="204">
        <f ca="1" xml:space="preserve"> ProjectCashflows!O$245</f>
        <v>-259.51311036000004</v>
      </c>
      <c r="P55" s="204">
        <f ca="1" xml:space="preserve"> ProjectCashflows!P$245</f>
        <v>-34.364514999600004</v>
      </c>
      <c r="Q55" s="204">
        <f ca="1" xml:space="preserve"> ProjectCashflows!Q$245</f>
        <v>164.138172607728</v>
      </c>
      <c r="R55" s="204">
        <f ca="1" xml:space="preserve"> ProjectCashflows!R$245</f>
        <v>167.42093605988254</v>
      </c>
      <c r="S55" s="204">
        <f ca="1" xml:space="preserve"> ProjectCashflows!S$245</f>
        <v>170.76935478108021</v>
      </c>
      <c r="T55" s="204">
        <f ca="1" xml:space="preserve"> ProjectCashflows!T$245</f>
        <v>174.18474187670188</v>
      </c>
      <c r="U55" s="204">
        <f ca="1" xml:space="preserve"> ProjectCashflows!U$245</f>
        <v>177.6684367142359</v>
      </c>
      <c r="V55" s="204">
        <f ca="1" xml:space="preserve"> ProjectCashflows!V$245</f>
        <v>181.22180544852057</v>
      </c>
      <c r="W55" s="204">
        <f ca="1" xml:space="preserve"> ProjectCashflows!W$245</f>
        <v>184.846241557491</v>
      </c>
      <c r="X55" s="204">
        <f ca="1" xml:space="preserve"> ProjectCashflows!X$245</f>
        <v>188.54316638864077</v>
      </c>
      <c r="Y55" s="204">
        <f ca="1" xml:space="preserve"> ProjectCashflows!Y$245</f>
        <v>192.3140297164137</v>
      </c>
      <c r="Z55" s="204">
        <f ca="1" xml:space="preserve"> ProjectCashflows!Z$245</f>
        <v>196.16031031074192</v>
      </c>
      <c r="AA55" s="204">
        <f ca="1" xml:space="preserve"> ProjectCashflows!AA$245</f>
        <v>164.90588282400984</v>
      </c>
      <c r="AB55" s="204">
        <f ca="1" xml:space="preserve"> ProjectCashflows!AB$245</f>
        <v>143.52474546722354</v>
      </c>
      <c r="AC55" s="204">
        <f ca="1" xml:space="preserve"> ProjectCashflows!AC$245</f>
        <v>109.79643028242602</v>
      </c>
      <c r="AD55" s="204">
        <f ca="1" xml:space="preserve"> ProjectCashflows!AD$245</f>
        <v>97.060044369664581</v>
      </c>
      <c r="AE55" s="204">
        <f ca="1" xml:space="preserve"> ProjectCashflows!AE$245</f>
        <v>76.154804043890678</v>
      </c>
      <c r="AF55" s="204">
        <f ca="1" xml:space="preserve"> ProjectCashflows!AF$245</f>
        <v>-30.313326877958442</v>
      </c>
      <c r="AG55" s="204">
        <f ca="1" xml:space="preserve"> ProjectCashflows!AG$245</f>
        <v>0</v>
      </c>
      <c r="AH55" s="204">
        <f ca="1" xml:space="preserve"> ProjectCashflows!AH$245</f>
        <v>0</v>
      </c>
      <c r="AI55" s="204">
        <f ca="1" xml:space="preserve"> ProjectCashflows!AI$245</f>
        <v>0</v>
      </c>
      <c r="AJ55" s="204">
        <f ca="1" xml:space="preserve"> ProjectCashflows!AJ$245</f>
        <v>0</v>
      </c>
      <c r="AK55" s="204">
        <f ca="1" xml:space="preserve"> ProjectCashflows!AK$245</f>
        <v>0</v>
      </c>
      <c r="AL55" s="204">
        <f ca="1" xml:space="preserve"> ProjectCashflows!AL$245</f>
        <v>0</v>
      </c>
      <c r="AM55" s="204">
        <f ca="1" xml:space="preserve"> ProjectCashflows!AM$245</f>
        <v>0</v>
      </c>
      <c r="AN55" s="204">
        <f ca="1" xml:space="preserve"> ProjectCashflows!AN$245</f>
        <v>0</v>
      </c>
      <c r="AO55" s="204">
        <f ca="1" xml:space="preserve"> ProjectCashflows!AO$245</f>
        <v>0</v>
      </c>
      <c r="AP55" s="204">
        <f ca="1" xml:space="preserve"> ProjectCashflows!AP$245</f>
        <v>0</v>
      </c>
      <c r="AQ55" s="204">
        <f ca="1" xml:space="preserve"> ProjectCashflows!AQ$245</f>
        <v>0</v>
      </c>
      <c r="AR55" s="204">
        <f ca="1" xml:space="preserve"> ProjectCashflows!AR$245</f>
        <v>0</v>
      </c>
      <c r="AS55" s="204">
        <f ca="1" xml:space="preserve"> ProjectCashflows!AS$245</f>
        <v>0</v>
      </c>
      <c r="AT55" s="204">
        <f ca="1" xml:space="preserve"> ProjectCashflows!AT$245</f>
        <v>0</v>
      </c>
      <c r="AU55" s="204">
        <f ca="1" xml:space="preserve"> ProjectCashflows!AU$245</f>
        <v>0</v>
      </c>
      <c r="AV55" s="204">
        <f ca="1" xml:space="preserve"> ProjectCashflows!AV$245</f>
        <v>0</v>
      </c>
      <c r="AW55" s="204">
        <f ca="1" xml:space="preserve"> ProjectCashflows!AW$245</f>
        <v>0</v>
      </c>
      <c r="AX55" s="204">
        <f ca="1" xml:space="preserve"> ProjectCashflows!AX$245</f>
        <v>0</v>
      </c>
    </row>
    <row r="56" spans="1:50" s="93" customFormat="1" ht="15" customHeight="1">
      <c r="A56" s="90"/>
      <c r="B56" s="156"/>
      <c r="E56" s="93" t="str">
        <f t="shared" ref="E56:K56" si="6" xml:space="preserve"> E29</f>
        <v>Investors (Parent company + lender)</v>
      </c>
      <c r="F56" s="93">
        <f t="shared" si="6"/>
        <v>0</v>
      </c>
      <c r="G56" s="93" t="str">
        <f t="shared" si="6"/>
        <v>US$ mn</v>
      </c>
      <c r="H56" s="93">
        <f t="shared" si="6"/>
        <v>0</v>
      </c>
      <c r="I56" s="93">
        <f t="shared" ca="1" si="6"/>
        <v>1192.5987410075795</v>
      </c>
      <c r="J56" s="93">
        <f t="shared" si="6"/>
        <v>0</v>
      </c>
      <c r="K56" s="93">
        <f t="shared" ca="1" si="6"/>
        <v>-10</v>
      </c>
      <c r="L56" s="93">
        <f t="shared" ref="L56:AX56" ca="1" si="7" xml:space="preserve"> L29</f>
        <v>-10.199999999999999</v>
      </c>
      <c r="M56" s="93">
        <f t="shared" ca="1" si="7"/>
        <v>-10.404</v>
      </c>
      <c r="N56" s="93">
        <f t="shared" ca="1" si="7"/>
        <v>-53.060399999999994</v>
      </c>
      <c r="O56" s="93">
        <f t="shared" ca="1" si="7"/>
        <v>-260.31140407800001</v>
      </c>
      <c r="P56" s="93">
        <f t="shared" ca="1" si="7"/>
        <v>-44.152881370470006</v>
      </c>
      <c r="Q56" s="93">
        <f t="shared" ca="1" si="7"/>
        <v>143.19644779374948</v>
      </c>
      <c r="R56" s="93">
        <f t="shared" ca="1" si="7"/>
        <v>145.92668780895261</v>
      </c>
      <c r="S56" s="93">
        <f t="shared" ca="1" si="7"/>
        <v>140.42120922785233</v>
      </c>
      <c r="T56" s="93">
        <f t="shared" ca="1" si="7"/>
        <v>118.85302036239337</v>
      </c>
      <c r="U56" s="93">
        <f t="shared" ca="1" si="7"/>
        <v>114.17671272209867</v>
      </c>
      <c r="V56" s="93">
        <f t="shared" ca="1" si="7"/>
        <v>108.42221011376205</v>
      </c>
      <c r="W56" s="93">
        <f t="shared" ca="1" si="7"/>
        <v>110.59065431603734</v>
      </c>
      <c r="X56" s="93">
        <f t="shared" ca="1" si="7"/>
        <v>110.51386124495176</v>
      </c>
      <c r="Y56" s="93">
        <f t="shared" ca="1" si="7"/>
        <v>112.76991059299894</v>
      </c>
      <c r="Z56" s="93">
        <f t="shared" ca="1" si="7"/>
        <v>115.07108092800704</v>
      </c>
      <c r="AA56" s="93">
        <f t="shared" ca="1" si="7"/>
        <v>96.263303757842721</v>
      </c>
      <c r="AB56" s="93">
        <f t="shared" ca="1" si="7"/>
        <v>86.173432504004694</v>
      </c>
      <c r="AC56" s="93">
        <f t="shared" ca="1" si="7"/>
        <v>65.860404777513722</v>
      </c>
      <c r="AD56" s="93">
        <f t="shared" ca="1" si="7"/>
        <v>63.530109465177134</v>
      </c>
      <c r="AE56" s="93">
        <f t="shared" ca="1" si="7"/>
        <v>48.958380840707889</v>
      </c>
      <c r="AF56" s="93">
        <f t="shared" ca="1" si="7"/>
        <v>0</v>
      </c>
      <c r="AG56" s="93">
        <f t="shared" ca="1" si="7"/>
        <v>0</v>
      </c>
      <c r="AH56" s="93">
        <f t="shared" ca="1" si="7"/>
        <v>0</v>
      </c>
      <c r="AI56" s="93">
        <f t="shared" ca="1" si="7"/>
        <v>0</v>
      </c>
      <c r="AJ56" s="93">
        <f t="shared" ca="1" si="7"/>
        <v>0</v>
      </c>
      <c r="AK56" s="93">
        <f t="shared" ca="1" si="7"/>
        <v>0</v>
      </c>
      <c r="AL56" s="93">
        <f t="shared" ca="1" si="7"/>
        <v>0</v>
      </c>
      <c r="AM56" s="93">
        <f t="shared" ca="1" si="7"/>
        <v>0</v>
      </c>
      <c r="AN56" s="93">
        <f t="shared" ca="1" si="7"/>
        <v>0</v>
      </c>
      <c r="AO56" s="93">
        <f t="shared" ca="1" si="7"/>
        <v>0</v>
      </c>
      <c r="AP56" s="93">
        <f t="shared" ca="1" si="7"/>
        <v>0</v>
      </c>
      <c r="AQ56" s="93">
        <f t="shared" ca="1" si="7"/>
        <v>0</v>
      </c>
      <c r="AR56" s="93">
        <f t="shared" ca="1" si="7"/>
        <v>0</v>
      </c>
      <c r="AS56" s="93">
        <f t="shared" ca="1" si="7"/>
        <v>0</v>
      </c>
      <c r="AT56" s="93">
        <f t="shared" ca="1" si="7"/>
        <v>0</v>
      </c>
      <c r="AU56" s="93">
        <f t="shared" ca="1" si="7"/>
        <v>0</v>
      </c>
      <c r="AV56" s="93">
        <f t="shared" ca="1" si="7"/>
        <v>0</v>
      </c>
      <c r="AW56" s="93">
        <f t="shared" ca="1" si="7"/>
        <v>0</v>
      </c>
      <c r="AX56" s="93">
        <f t="shared" ca="1" si="7"/>
        <v>0</v>
      </c>
    </row>
    <row r="57" spans="1:50" s="93" customFormat="1" ht="15" customHeight="1">
      <c r="A57" s="90"/>
      <c r="B57" s="134"/>
      <c r="E57" s="93" t="str">
        <f xml:space="preserve"> E55 &amp; " Cum"</f>
        <v>Project cashflow before decommissioning fund Cum</v>
      </c>
      <c r="G57" s="93" t="str">
        <f xml:space="preserve"> G23</f>
        <v>US$ mn</v>
      </c>
      <c r="J57" s="207"/>
      <c r="K57" s="93">
        <f t="shared" ref="K57:AX57" ca="1" si="8" xml:space="preserve"> J57 + K55</f>
        <v>-10</v>
      </c>
      <c r="L57" s="93">
        <f t="shared" ca="1" si="8"/>
        <v>-20.2</v>
      </c>
      <c r="M57" s="93">
        <f t="shared" ca="1" si="8"/>
        <v>-30.603999999999999</v>
      </c>
      <c r="N57" s="93">
        <f t="shared" ca="1" si="8"/>
        <v>-83.664400000000001</v>
      </c>
      <c r="O57" s="93">
        <f t="shared" ca="1" si="8"/>
        <v>-343.17751036000004</v>
      </c>
      <c r="P57" s="93">
        <f t="shared" ca="1" si="8"/>
        <v>-377.54202535960007</v>
      </c>
      <c r="Q57" s="93">
        <f t="shared" ca="1" si="8"/>
        <v>-213.40385275187208</v>
      </c>
      <c r="R57" s="93">
        <f t="shared" ca="1" si="8"/>
        <v>-45.982916691989544</v>
      </c>
      <c r="S57" s="93">
        <f t="shared" ca="1" si="8"/>
        <v>124.78643808909067</v>
      </c>
      <c r="T57" s="93">
        <f t="shared" ca="1" si="8"/>
        <v>298.97117996579254</v>
      </c>
      <c r="U57" s="93">
        <f t="shared" ca="1" si="8"/>
        <v>476.63961668002844</v>
      </c>
      <c r="V57" s="93">
        <f t="shared" ca="1" si="8"/>
        <v>657.86142212854907</v>
      </c>
      <c r="W57" s="93">
        <f t="shared" ca="1" si="8"/>
        <v>842.70766368604006</v>
      </c>
      <c r="X57" s="93">
        <f t="shared" ca="1" si="8"/>
        <v>1031.2508300746808</v>
      </c>
      <c r="Y57" s="93">
        <f t="shared" ca="1" si="8"/>
        <v>1223.5648597910945</v>
      </c>
      <c r="Z57" s="93">
        <f t="shared" ca="1" si="8"/>
        <v>1419.7251701018363</v>
      </c>
      <c r="AA57" s="93">
        <f t="shared" ca="1" si="8"/>
        <v>1584.6310529258462</v>
      </c>
      <c r="AB57" s="93">
        <f t="shared" ca="1" si="8"/>
        <v>1728.1557983930697</v>
      </c>
      <c r="AC57" s="93">
        <f t="shared" ca="1" si="8"/>
        <v>1837.9522286754957</v>
      </c>
      <c r="AD57" s="93">
        <f t="shared" ca="1" si="8"/>
        <v>1935.0122730451603</v>
      </c>
      <c r="AE57" s="93">
        <f t="shared" ca="1" si="8"/>
        <v>2011.167077089051</v>
      </c>
      <c r="AF57" s="93">
        <f t="shared" ca="1" si="8"/>
        <v>1980.8537502110926</v>
      </c>
      <c r="AG57" s="93">
        <f t="shared" ca="1" si="8"/>
        <v>1980.8537502110926</v>
      </c>
      <c r="AH57" s="93">
        <f t="shared" ca="1" si="8"/>
        <v>1980.8537502110926</v>
      </c>
      <c r="AI57" s="93">
        <f t="shared" ca="1" si="8"/>
        <v>1980.8537502110926</v>
      </c>
      <c r="AJ57" s="93">
        <f t="shared" ca="1" si="8"/>
        <v>1980.8537502110926</v>
      </c>
      <c r="AK57" s="93">
        <f t="shared" ca="1" si="8"/>
        <v>1980.8537502110926</v>
      </c>
      <c r="AL57" s="93">
        <f t="shared" ca="1" si="8"/>
        <v>1980.8537502110926</v>
      </c>
      <c r="AM57" s="93">
        <f t="shared" ca="1" si="8"/>
        <v>1980.8537502110926</v>
      </c>
      <c r="AN57" s="93">
        <f t="shared" ca="1" si="8"/>
        <v>1980.8537502110926</v>
      </c>
      <c r="AO57" s="93">
        <f t="shared" ca="1" si="8"/>
        <v>1980.8537502110926</v>
      </c>
      <c r="AP57" s="93">
        <f t="shared" ca="1" si="8"/>
        <v>1980.8537502110926</v>
      </c>
      <c r="AQ57" s="93">
        <f t="shared" ca="1" si="8"/>
        <v>1980.8537502110926</v>
      </c>
      <c r="AR57" s="93">
        <f t="shared" ca="1" si="8"/>
        <v>1980.8537502110926</v>
      </c>
      <c r="AS57" s="93">
        <f t="shared" ca="1" si="8"/>
        <v>1980.8537502110926</v>
      </c>
      <c r="AT57" s="93">
        <f t="shared" ca="1" si="8"/>
        <v>1980.8537502110926</v>
      </c>
      <c r="AU57" s="93">
        <f t="shared" ca="1" si="8"/>
        <v>1980.8537502110926</v>
      </c>
      <c r="AV57" s="93">
        <f t="shared" ca="1" si="8"/>
        <v>1980.8537502110926</v>
      </c>
      <c r="AW57" s="93">
        <f t="shared" ca="1" si="8"/>
        <v>1980.8537502110926</v>
      </c>
      <c r="AX57" s="93">
        <f t="shared" ca="1" si="8"/>
        <v>1980.8537502110926</v>
      </c>
    </row>
    <row r="58" spans="1:50" s="93" customFormat="1" ht="15" customHeight="1">
      <c r="A58" s="90"/>
      <c r="B58" s="134"/>
      <c r="E58" s="93" t="str">
        <f xml:space="preserve"> E56 &amp; " Cum"</f>
        <v>Investors (Parent company + lender) Cum</v>
      </c>
      <c r="G58" s="93" t="str">
        <f xml:space="preserve"> G27</f>
        <v>US$ mn</v>
      </c>
      <c r="J58" s="207"/>
      <c r="K58" s="93">
        <f t="shared" ref="K58:AX58" ca="1" si="9" xml:space="preserve"> J58 + K56</f>
        <v>-10</v>
      </c>
      <c r="L58" s="93">
        <f t="shared" ca="1" si="9"/>
        <v>-20.2</v>
      </c>
      <c r="M58" s="93">
        <f t="shared" ca="1" si="9"/>
        <v>-30.603999999999999</v>
      </c>
      <c r="N58" s="93">
        <f t="shared" ca="1" si="9"/>
        <v>-83.664400000000001</v>
      </c>
      <c r="O58" s="93">
        <f t="shared" ca="1" si="9"/>
        <v>-343.97580407800001</v>
      </c>
      <c r="P58" s="93">
        <f t="shared" ca="1" si="9"/>
        <v>-388.12868544847004</v>
      </c>
      <c r="Q58" s="93">
        <f t="shared" ca="1" si="9"/>
        <v>-244.93223765472055</v>
      </c>
      <c r="R58" s="93">
        <f t="shared" ca="1" si="9"/>
        <v>-99.005549845767945</v>
      </c>
      <c r="S58" s="93">
        <f t="shared" ca="1" si="9"/>
        <v>41.415659382084385</v>
      </c>
      <c r="T58" s="93">
        <f t="shared" ca="1" si="9"/>
        <v>160.26867974447777</v>
      </c>
      <c r="U58" s="93">
        <f t="shared" ca="1" si="9"/>
        <v>274.44539246657644</v>
      </c>
      <c r="V58" s="93">
        <f t="shared" ca="1" si="9"/>
        <v>382.86760258033848</v>
      </c>
      <c r="W58" s="93">
        <f t="shared" ca="1" si="9"/>
        <v>493.45825689637581</v>
      </c>
      <c r="X58" s="93">
        <f t="shared" ca="1" si="9"/>
        <v>603.97211814132754</v>
      </c>
      <c r="Y58" s="93">
        <f t="shared" ca="1" si="9"/>
        <v>716.74202873432648</v>
      </c>
      <c r="Z58" s="93">
        <f t="shared" ca="1" si="9"/>
        <v>831.81310966233355</v>
      </c>
      <c r="AA58" s="93">
        <f t="shared" ca="1" si="9"/>
        <v>928.07641342017632</v>
      </c>
      <c r="AB58" s="93">
        <f t="shared" ca="1" si="9"/>
        <v>1014.249845924181</v>
      </c>
      <c r="AC58" s="93">
        <f t="shared" ca="1" si="9"/>
        <v>1080.1102507016947</v>
      </c>
      <c r="AD58" s="93">
        <f t="shared" ca="1" si="9"/>
        <v>1143.6403601668717</v>
      </c>
      <c r="AE58" s="93">
        <f t="shared" ca="1" si="9"/>
        <v>1192.5987410075795</v>
      </c>
      <c r="AF58" s="93">
        <f t="shared" ca="1" si="9"/>
        <v>1192.5987410075795</v>
      </c>
      <c r="AG58" s="93">
        <f t="shared" ca="1" si="9"/>
        <v>1192.5987410075795</v>
      </c>
      <c r="AH58" s="93">
        <f t="shared" ca="1" si="9"/>
        <v>1192.5987410075795</v>
      </c>
      <c r="AI58" s="93">
        <f t="shared" ca="1" si="9"/>
        <v>1192.5987410075795</v>
      </c>
      <c r="AJ58" s="93">
        <f t="shared" ca="1" si="9"/>
        <v>1192.5987410075795</v>
      </c>
      <c r="AK58" s="93">
        <f t="shared" ca="1" si="9"/>
        <v>1192.5987410075795</v>
      </c>
      <c r="AL58" s="93">
        <f t="shared" ca="1" si="9"/>
        <v>1192.5987410075795</v>
      </c>
      <c r="AM58" s="93">
        <f t="shared" ca="1" si="9"/>
        <v>1192.5987410075795</v>
      </c>
      <c r="AN58" s="93">
        <f t="shared" ca="1" si="9"/>
        <v>1192.5987410075795</v>
      </c>
      <c r="AO58" s="93">
        <f t="shared" ca="1" si="9"/>
        <v>1192.5987410075795</v>
      </c>
      <c r="AP58" s="93">
        <f t="shared" ca="1" si="9"/>
        <v>1192.5987410075795</v>
      </c>
      <c r="AQ58" s="93">
        <f t="shared" ca="1" si="9"/>
        <v>1192.5987410075795</v>
      </c>
      <c r="AR58" s="93">
        <f t="shared" ca="1" si="9"/>
        <v>1192.5987410075795</v>
      </c>
      <c r="AS58" s="93">
        <f t="shared" ca="1" si="9"/>
        <v>1192.5987410075795</v>
      </c>
      <c r="AT58" s="93">
        <f t="shared" ca="1" si="9"/>
        <v>1192.5987410075795</v>
      </c>
      <c r="AU58" s="93">
        <f t="shared" ca="1" si="9"/>
        <v>1192.5987410075795</v>
      </c>
      <c r="AV58" s="93">
        <f t="shared" ca="1" si="9"/>
        <v>1192.5987410075795</v>
      </c>
      <c r="AW58" s="93">
        <f t="shared" ca="1" si="9"/>
        <v>1192.5987410075795</v>
      </c>
      <c r="AX58" s="93">
        <f t="shared" ca="1" si="9"/>
        <v>1192.5987410075795</v>
      </c>
    </row>
    <row r="59" spans="1:50" s="93" customFormat="1" ht="15" customHeight="1">
      <c r="A59" s="90"/>
      <c r="B59" s="156"/>
    </row>
    <row r="60" spans="1:50" s="204" customFormat="1" ht="15" customHeight="1">
      <c r="B60" s="205"/>
      <c r="E60" s="204" t="str">
        <f xml:space="preserve"> ProjectCashflows!E$193</f>
        <v>Cumulative production years</v>
      </c>
      <c r="F60" s="204">
        <f xml:space="preserve"> ProjectCashflows!F$193</f>
        <v>0</v>
      </c>
      <c r="G60" s="204" t="str">
        <f xml:space="preserve"> ProjectCashflows!G$193</f>
        <v>Years</v>
      </c>
      <c r="H60" s="204">
        <f xml:space="preserve"> ProjectCashflows!H$193</f>
        <v>0</v>
      </c>
      <c r="I60" s="204">
        <f xml:space="preserve"> ProjectCashflows!I$193</f>
        <v>0</v>
      </c>
      <c r="J60" s="204">
        <f xml:space="preserve"> ProjectCashflows!J$193</f>
        <v>0</v>
      </c>
      <c r="K60" s="204">
        <f ca="1" xml:space="preserve"> ProjectCashflows!K$193</f>
        <v>0</v>
      </c>
      <c r="L60" s="204">
        <f ca="1" xml:space="preserve"> ProjectCashflows!L$193</f>
        <v>0</v>
      </c>
      <c r="M60" s="204">
        <f ca="1" xml:space="preserve"> ProjectCashflows!M$193</f>
        <v>0</v>
      </c>
      <c r="N60" s="204">
        <f ca="1" xml:space="preserve"> ProjectCashflows!N$193</f>
        <v>0</v>
      </c>
      <c r="O60" s="204">
        <f ca="1" xml:space="preserve"> ProjectCashflows!O$193</f>
        <v>1</v>
      </c>
      <c r="P60" s="204">
        <f ca="1" xml:space="preserve"> ProjectCashflows!P$193</f>
        <v>2</v>
      </c>
      <c r="Q60" s="204">
        <f ca="1" xml:space="preserve"> ProjectCashflows!Q$193</f>
        <v>3</v>
      </c>
      <c r="R60" s="204">
        <f ca="1" xml:space="preserve"> ProjectCashflows!R$193</f>
        <v>4</v>
      </c>
      <c r="S60" s="204">
        <f ca="1" xml:space="preserve"> ProjectCashflows!S$193</f>
        <v>5</v>
      </c>
      <c r="T60" s="204">
        <f ca="1" xml:space="preserve"> ProjectCashflows!T$193</f>
        <v>6</v>
      </c>
      <c r="U60" s="204">
        <f ca="1" xml:space="preserve"> ProjectCashflows!U$193</f>
        <v>7</v>
      </c>
      <c r="V60" s="204">
        <f ca="1" xml:space="preserve"> ProjectCashflows!V$193</f>
        <v>8</v>
      </c>
      <c r="W60" s="204">
        <f ca="1" xml:space="preserve"> ProjectCashflows!W$193</f>
        <v>9</v>
      </c>
      <c r="X60" s="204">
        <f ca="1" xml:space="preserve"> ProjectCashflows!X$193</f>
        <v>10</v>
      </c>
      <c r="Y60" s="204">
        <f ca="1" xml:space="preserve"> ProjectCashflows!Y$193</f>
        <v>11</v>
      </c>
      <c r="Z60" s="204">
        <f ca="1" xml:space="preserve"> ProjectCashflows!Z$193</f>
        <v>12</v>
      </c>
      <c r="AA60" s="204">
        <f ca="1" xml:space="preserve"> ProjectCashflows!AA$193</f>
        <v>13</v>
      </c>
      <c r="AB60" s="204">
        <f ca="1" xml:space="preserve"> ProjectCashflows!AB$193</f>
        <v>14</v>
      </c>
      <c r="AC60" s="204">
        <f ca="1" xml:space="preserve"> ProjectCashflows!AC$193</f>
        <v>15</v>
      </c>
      <c r="AD60" s="204">
        <f ca="1" xml:space="preserve"> ProjectCashflows!AD$193</f>
        <v>16</v>
      </c>
      <c r="AE60" s="204">
        <f ca="1" xml:space="preserve"> ProjectCashflows!AE$193</f>
        <v>17</v>
      </c>
      <c r="AF60" s="204">
        <f ca="1" xml:space="preserve"> ProjectCashflows!AF$193</f>
        <v>0</v>
      </c>
      <c r="AG60" s="204">
        <f ca="1" xml:space="preserve"> ProjectCashflows!AG$193</f>
        <v>0</v>
      </c>
      <c r="AH60" s="204">
        <f ca="1" xml:space="preserve"> ProjectCashflows!AH$193</f>
        <v>0</v>
      </c>
      <c r="AI60" s="204">
        <f ca="1" xml:space="preserve"> ProjectCashflows!AI$193</f>
        <v>0</v>
      </c>
      <c r="AJ60" s="204">
        <f ca="1" xml:space="preserve"> ProjectCashflows!AJ$193</f>
        <v>0</v>
      </c>
      <c r="AK60" s="204">
        <f ca="1" xml:space="preserve"> ProjectCashflows!AK$193</f>
        <v>0</v>
      </c>
      <c r="AL60" s="204">
        <f ca="1" xml:space="preserve"> ProjectCashflows!AL$193</f>
        <v>0</v>
      </c>
      <c r="AM60" s="204">
        <f ca="1" xml:space="preserve"> ProjectCashflows!AM$193</f>
        <v>0</v>
      </c>
      <c r="AN60" s="204">
        <f ca="1" xml:space="preserve"> ProjectCashflows!AN$193</f>
        <v>0</v>
      </c>
      <c r="AO60" s="204">
        <f ca="1" xml:space="preserve"> ProjectCashflows!AO$193</f>
        <v>0</v>
      </c>
      <c r="AP60" s="204">
        <f ca="1" xml:space="preserve"> ProjectCashflows!AP$193</f>
        <v>0</v>
      </c>
      <c r="AQ60" s="204">
        <f ca="1" xml:space="preserve"> ProjectCashflows!AQ$193</f>
        <v>0</v>
      </c>
      <c r="AR60" s="204">
        <f ca="1" xml:space="preserve"> ProjectCashflows!AR$193</f>
        <v>0</v>
      </c>
      <c r="AS60" s="204">
        <f ca="1" xml:space="preserve"> ProjectCashflows!AS$193</f>
        <v>0</v>
      </c>
      <c r="AT60" s="204">
        <f ca="1" xml:space="preserve"> ProjectCashflows!AT$193</f>
        <v>0</v>
      </c>
      <c r="AU60" s="204">
        <f ca="1" xml:space="preserve"> ProjectCashflows!AU$193</f>
        <v>0</v>
      </c>
      <c r="AV60" s="204">
        <f ca="1" xml:space="preserve"> ProjectCashflows!AV$193</f>
        <v>0</v>
      </c>
      <c r="AW60" s="204">
        <f ca="1" xml:space="preserve"> ProjectCashflows!AW$193</f>
        <v>0</v>
      </c>
      <c r="AX60" s="204">
        <f ca="1" xml:space="preserve"> ProjectCashflows!AX$193</f>
        <v>0</v>
      </c>
    </row>
    <row r="61" spans="1:50" s="93" customFormat="1" ht="15" customHeight="1">
      <c r="A61" s="90"/>
      <c r="B61" s="134"/>
      <c r="E61" s="93" t="str">
        <f xml:space="preserve"> Translate!E$14 &amp; ": " &amp; E55</f>
        <v>Payback: Project cashflow before decommissioning fund</v>
      </c>
      <c r="G61" s="305" t="str">
        <f xml:space="preserve"> Translate!E$358</f>
        <v>Years</v>
      </c>
      <c r="I61" s="208"/>
      <c r="K61" s="208">
        <f t="shared" ref="K61:AX61" ca="1" si="10" xml:space="preserve"> IFERROR( AND( K57 &gt; 0, J57 &lt; 0 ) * (ABS(J57 / K55) + J60), 0)</f>
        <v>0</v>
      </c>
      <c r="L61" s="208">
        <f t="shared" ca="1" si="10"/>
        <v>0</v>
      </c>
      <c r="M61" s="208">
        <f t="shared" ca="1" si="10"/>
        <v>0</v>
      </c>
      <c r="N61" s="208">
        <f t="shared" ca="1" si="10"/>
        <v>0</v>
      </c>
      <c r="O61" s="208">
        <f t="shared" ca="1" si="10"/>
        <v>0</v>
      </c>
      <c r="P61" s="208">
        <f t="shared" ca="1" si="10"/>
        <v>0</v>
      </c>
      <c r="Q61" s="208">
        <f t="shared" ca="1" si="10"/>
        <v>0</v>
      </c>
      <c r="R61" s="208">
        <f t="shared" ca="1" si="10"/>
        <v>0</v>
      </c>
      <c r="S61" s="208">
        <f t="shared" ca="1" si="10"/>
        <v>4.2692691364380799</v>
      </c>
      <c r="T61" s="208">
        <f t="shared" ca="1" si="10"/>
        <v>0</v>
      </c>
      <c r="U61" s="208">
        <f t="shared" ca="1" si="10"/>
        <v>0</v>
      </c>
      <c r="V61" s="208">
        <f t="shared" ca="1" si="10"/>
        <v>0</v>
      </c>
      <c r="W61" s="208">
        <f t="shared" ca="1" si="10"/>
        <v>0</v>
      </c>
      <c r="X61" s="208">
        <f t="shared" ca="1" si="10"/>
        <v>0</v>
      </c>
      <c r="Y61" s="208">
        <f t="shared" ca="1" si="10"/>
        <v>0</v>
      </c>
      <c r="Z61" s="208">
        <f t="shared" ca="1" si="10"/>
        <v>0</v>
      </c>
      <c r="AA61" s="208">
        <f t="shared" ca="1" si="10"/>
        <v>0</v>
      </c>
      <c r="AB61" s="208">
        <f t="shared" ca="1" si="10"/>
        <v>0</v>
      </c>
      <c r="AC61" s="208">
        <f t="shared" ca="1" si="10"/>
        <v>0</v>
      </c>
      <c r="AD61" s="208">
        <f t="shared" ca="1" si="10"/>
        <v>0</v>
      </c>
      <c r="AE61" s="208">
        <f t="shared" ca="1" si="10"/>
        <v>0</v>
      </c>
      <c r="AF61" s="208">
        <f t="shared" ca="1" si="10"/>
        <v>0</v>
      </c>
      <c r="AG61" s="208">
        <f t="shared" ca="1" si="10"/>
        <v>0</v>
      </c>
      <c r="AH61" s="208">
        <f t="shared" ca="1" si="10"/>
        <v>0</v>
      </c>
      <c r="AI61" s="208">
        <f t="shared" ca="1" si="10"/>
        <v>0</v>
      </c>
      <c r="AJ61" s="208">
        <f t="shared" ca="1" si="10"/>
        <v>0</v>
      </c>
      <c r="AK61" s="208">
        <f t="shared" ca="1" si="10"/>
        <v>0</v>
      </c>
      <c r="AL61" s="208">
        <f t="shared" ca="1" si="10"/>
        <v>0</v>
      </c>
      <c r="AM61" s="208">
        <f t="shared" ca="1" si="10"/>
        <v>0</v>
      </c>
      <c r="AN61" s="208">
        <f t="shared" ca="1" si="10"/>
        <v>0</v>
      </c>
      <c r="AO61" s="208">
        <f t="shared" ca="1" si="10"/>
        <v>0</v>
      </c>
      <c r="AP61" s="208">
        <f t="shared" ca="1" si="10"/>
        <v>0</v>
      </c>
      <c r="AQ61" s="208">
        <f t="shared" ca="1" si="10"/>
        <v>0</v>
      </c>
      <c r="AR61" s="208">
        <f t="shared" ca="1" si="10"/>
        <v>0</v>
      </c>
      <c r="AS61" s="208">
        <f t="shared" ca="1" si="10"/>
        <v>0</v>
      </c>
      <c r="AT61" s="208">
        <f t="shared" ca="1" si="10"/>
        <v>0</v>
      </c>
      <c r="AU61" s="208">
        <f t="shared" ca="1" si="10"/>
        <v>0</v>
      </c>
      <c r="AV61" s="208">
        <f t="shared" ca="1" si="10"/>
        <v>0</v>
      </c>
      <c r="AW61" s="208">
        <f t="shared" ca="1" si="10"/>
        <v>0</v>
      </c>
      <c r="AX61" s="208">
        <f t="shared" ca="1" si="10"/>
        <v>0</v>
      </c>
    </row>
    <row r="62" spans="1:50" s="93" customFormat="1" ht="15" customHeight="1">
      <c r="A62" s="90"/>
      <c r="B62" s="134"/>
      <c r="E62" s="93" t="str">
        <f xml:space="preserve"> Translate!E$14 &amp; ": " &amp; E56</f>
        <v>Payback: Investors (Parent company + lender)</v>
      </c>
      <c r="G62" s="305" t="str">
        <f xml:space="preserve"> Translate!E$358</f>
        <v>Years</v>
      </c>
      <c r="I62" s="208"/>
      <c r="K62" s="208">
        <f t="shared" ref="K62:AX62" ca="1" si="11" xml:space="preserve"> IFERROR( AND( K58 &gt; 0, J58 &lt; 0 ) * (ABS(J58 / K56) + J60), 0)</f>
        <v>0</v>
      </c>
      <c r="L62" s="208">
        <f t="shared" ca="1" si="11"/>
        <v>0</v>
      </c>
      <c r="M62" s="208">
        <f t="shared" ca="1" si="11"/>
        <v>0</v>
      </c>
      <c r="N62" s="208">
        <f t="shared" ca="1" si="11"/>
        <v>0</v>
      </c>
      <c r="O62" s="208">
        <f t="shared" ca="1" si="11"/>
        <v>0</v>
      </c>
      <c r="P62" s="208">
        <f t="shared" ca="1" si="11"/>
        <v>0</v>
      </c>
      <c r="Q62" s="208">
        <f t="shared" ca="1" si="11"/>
        <v>0</v>
      </c>
      <c r="R62" s="208">
        <f t="shared" ca="1" si="11"/>
        <v>0</v>
      </c>
      <c r="S62" s="208">
        <f t="shared" ca="1" si="11"/>
        <v>4.7050612253674453</v>
      </c>
      <c r="T62" s="208">
        <f t="shared" ca="1" si="11"/>
        <v>0</v>
      </c>
      <c r="U62" s="208">
        <f t="shared" ca="1" si="11"/>
        <v>0</v>
      </c>
      <c r="V62" s="208">
        <f t="shared" ca="1" si="11"/>
        <v>0</v>
      </c>
      <c r="W62" s="208">
        <f t="shared" ca="1" si="11"/>
        <v>0</v>
      </c>
      <c r="X62" s="208">
        <f t="shared" ca="1" si="11"/>
        <v>0</v>
      </c>
      <c r="Y62" s="208">
        <f t="shared" ca="1" si="11"/>
        <v>0</v>
      </c>
      <c r="Z62" s="208">
        <f t="shared" ca="1" si="11"/>
        <v>0</v>
      </c>
      <c r="AA62" s="208">
        <f t="shared" ca="1" si="11"/>
        <v>0</v>
      </c>
      <c r="AB62" s="208">
        <f t="shared" ca="1" si="11"/>
        <v>0</v>
      </c>
      <c r="AC62" s="208">
        <f t="shared" ca="1" si="11"/>
        <v>0</v>
      </c>
      <c r="AD62" s="208">
        <f t="shared" ca="1" si="11"/>
        <v>0</v>
      </c>
      <c r="AE62" s="208">
        <f t="shared" ca="1" si="11"/>
        <v>0</v>
      </c>
      <c r="AF62" s="208">
        <f t="shared" ca="1" si="11"/>
        <v>0</v>
      </c>
      <c r="AG62" s="208">
        <f t="shared" ca="1" si="11"/>
        <v>0</v>
      </c>
      <c r="AH62" s="208">
        <f t="shared" ca="1" si="11"/>
        <v>0</v>
      </c>
      <c r="AI62" s="208">
        <f t="shared" ca="1" si="11"/>
        <v>0</v>
      </c>
      <c r="AJ62" s="208">
        <f t="shared" ca="1" si="11"/>
        <v>0</v>
      </c>
      <c r="AK62" s="208">
        <f t="shared" ca="1" si="11"/>
        <v>0</v>
      </c>
      <c r="AL62" s="208">
        <f t="shared" ca="1" si="11"/>
        <v>0</v>
      </c>
      <c r="AM62" s="208">
        <f t="shared" ca="1" si="11"/>
        <v>0</v>
      </c>
      <c r="AN62" s="208">
        <f t="shared" ca="1" si="11"/>
        <v>0</v>
      </c>
      <c r="AO62" s="208">
        <f t="shared" ca="1" si="11"/>
        <v>0</v>
      </c>
      <c r="AP62" s="208">
        <f t="shared" ca="1" si="11"/>
        <v>0</v>
      </c>
      <c r="AQ62" s="208">
        <f t="shared" ca="1" si="11"/>
        <v>0</v>
      </c>
      <c r="AR62" s="208">
        <f t="shared" ca="1" si="11"/>
        <v>0</v>
      </c>
      <c r="AS62" s="208">
        <f t="shared" ca="1" si="11"/>
        <v>0</v>
      </c>
      <c r="AT62" s="208">
        <f t="shared" ca="1" si="11"/>
        <v>0</v>
      </c>
      <c r="AU62" s="208">
        <f t="shared" ca="1" si="11"/>
        <v>0</v>
      </c>
      <c r="AV62" s="208">
        <f t="shared" ca="1" si="11"/>
        <v>0</v>
      </c>
      <c r="AW62" s="208">
        <f t="shared" ca="1" si="11"/>
        <v>0</v>
      </c>
      <c r="AX62" s="208">
        <f t="shared" ca="1" si="11"/>
        <v>0</v>
      </c>
    </row>
    <row r="63" spans="1:50" s="93" customFormat="1" ht="15" customHeight="1">
      <c r="A63" s="90"/>
      <c r="B63" s="134"/>
    </row>
    <row r="64" spans="1:50" s="93" customFormat="1" ht="15" customHeight="1">
      <c r="A64" s="90"/>
      <c r="B64" s="134"/>
      <c r="E64" s="93" t="str">
        <f xml:space="preserve"> E61</f>
        <v>Payback: Project cashflow before decommissioning fund</v>
      </c>
      <c r="F64" s="208">
        <f ca="1" xml:space="preserve"> SUM(K61:AX61)</f>
        <v>4.2692691364380799</v>
      </c>
      <c r="G64" s="346" t="str">
        <f xml:space="preserve"> Translate!E$360</f>
        <v>Production year</v>
      </c>
    </row>
    <row r="65" spans="1:50" s="93" customFormat="1" ht="15" customHeight="1">
      <c r="A65" s="90"/>
      <c r="B65" s="134"/>
      <c r="E65" s="93" t="str">
        <f xml:space="preserve"> E62</f>
        <v>Payback: Investors (Parent company + lender)</v>
      </c>
      <c r="F65" s="208">
        <f ca="1" xml:space="preserve"> SUM(K62:AX62)</f>
        <v>4.7050612253674453</v>
      </c>
      <c r="G65" s="346" t="str">
        <f xml:space="preserve"> Translate!E$360</f>
        <v>Production year</v>
      </c>
    </row>
    <row r="66" spans="1:50" s="93" customFormat="1" ht="15" customHeight="1">
      <c r="A66" s="90"/>
      <c r="B66" s="134"/>
      <c r="F66" s="208"/>
    </row>
    <row r="67" spans="1:50" s="93" customFormat="1" ht="15" customHeight="1">
      <c r="A67" s="56" t="str">
        <f>Translate!E$11 &amp; ": " &amp; Inputs!F$83 &amp; ", " &amp; Inputs!F$85</f>
        <v>Analysis: full-cycle, real</v>
      </c>
      <c r="B67" s="56"/>
      <c r="C67" s="56"/>
      <c r="D67" s="56"/>
      <c r="E67" s="56"/>
      <c r="F67" s="56"/>
      <c r="G67" s="56"/>
      <c r="H67" s="56"/>
      <c r="I67" s="56"/>
      <c r="J67" s="56"/>
      <c r="K67" s="56"/>
      <c r="L67" s="56"/>
      <c r="M67" s="56"/>
      <c r="N67" s="56"/>
      <c r="O67" s="56"/>
      <c r="P67" s="56"/>
      <c r="Q67" s="56"/>
      <c r="R67" s="56"/>
      <c r="S67" s="56"/>
      <c r="T67" s="56"/>
      <c r="U67" s="56"/>
      <c r="V67" s="56"/>
      <c r="W67" s="56"/>
      <c r="X67" s="56"/>
      <c r="Y67" s="56"/>
      <c r="Z67" s="56"/>
      <c r="AA67" s="56"/>
      <c r="AB67" s="56"/>
      <c r="AC67" s="56"/>
      <c r="AD67" s="56"/>
      <c r="AE67" s="56"/>
      <c r="AF67" s="56"/>
      <c r="AG67" s="56"/>
      <c r="AH67" s="56"/>
      <c r="AI67" s="56"/>
      <c r="AJ67" s="56"/>
      <c r="AK67" s="56"/>
      <c r="AL67" s="56"/>
      <c r="AM67" s="56"/>
      <c r="AN67" s="56"/>
      <c r="AO67" s="56"/>
      <c r="AP67" s="56"/>
      <c r="AQ67" s="56"/>
      <c r="AR67" s="56"/>
      <c r="AS67" s="56"/>
      <c r="AT67" s="56"/>
      <c r="AU67" s="56"/>
      <c r="AV67" s="56"/>
      <c r="AW67" s="56"/>
      <c r="AX67" s="56"/>
    </row>
    <row r="68" spans="1:50" s="93" customFormat="1" ht="15" customHeight="1">
      <c r="A68" s="90"/>
      <c r="B68" s="156" t="str">
        <f xml:space="preserve"> Translate!E$12 &amp; ": " &amp; Inputs!F$83 &amp; ", " &amp; Inputs!F$85</f>
        <v>Cashflows: full-cycle, real</v>
      </c>
    </row>
    <row r="69" spans="1:50" s="237" customFormat="1" ht="15" customHeight="1">
      <c r="E69" s="237" t="str">
        <f xml:space="preserve"> ProjectCashflows!E$213</f>
        <v>Inflation index</v>
      </c>
      <c r="F69" s="237">
        <f xml:space="preserve"> ProjectCashflows!F$213</f>
        <v>0</v>
      </c>
      <c r="G69" s="237" t="str">
        <f xml:space="preserve"> ProjectCashflows!G$213</f>
        <v>Index</v>
      </c>
      <c r="H69" s="237" t="str">
        <f xml:space="preserve"> ProjectCashflows!H$213</f>
        <v>base year is first project year</v>
      </c>
      <c r="I69" s="237">
        <f xml:space="preserve"> ProjectCashflows!I$213</f>
        <v>0</v>
      </c>
      <c r="J69" s="237">
        <f xml:space="preserve"> ProjectCashflows!J$213</f>
        <v>0</v>
      </c>
      <c r="K69" s="237">
        <f ca="1" xml:space="preserve"> ProjectCashflows!K$213</f>
        <v>1</v>
      </c>
      <c r="L69" s="237">
        <f ca="1" xml:space="preserve"> ProjectCashflows!L$213</f>
        <v>1.02</v>
      </c>
      <c r="M69" s="237">
        <f ca="1" xml:space="preserve"> ProjectCashflows!M$213</f>
        <v>1.0404</v>
      </c>
      <c r="N69" s="237">
        <f ca="1" xml:space="preserve"> ProjectCashflows!N$213</f>
        <v>1.0612079999999999</v>
      </c>
      <c r="O69" s="237">
        <f ca="1" xml:space="preserve"> ProjectCashflows!O$213</f>
        <v>1.08243216</v>
      </c>
      <c r="P69" s="237">
        <f ca="1" xml:space="preserve"> ProjectCashflows!P$213</f>
        <v>1.1040808032</v>
      </c>
      <c r="Q69" s="237">
        <f ca="1" xml:space="preserve"> ProjectCashflows!Q$213</f>
        <v>1.1261624192640001</v>
      </c>
      <c r="R69" s="237">
        <f ca="1" xml:space="preserve"> ProjectCashflows!R$213</f>
        <v>1.14868566764928</v>
      </c>
      <c r="S69" s="237">
        <f ca="1" xml:space="preserve"> ProjectCashflows!S$213</f>
        <v>1.1716593810022657</v>
      </c>
      <c r="T69" s="237">
        <f ca="1" xml:space="preserve"> ProjectCashflows!T$213</f>
        <v>1.1950925686223111</v>
      </c>
      <c r="U69" s="237">
        <f ca="1" xml:space="preserve"> ProjectCashflows!U$213</f>
        <v>1.2189944199947573</v>
      </c>
      <c r="V69" s="237">
        <f ca="1" xml:space="preserve"> ProjectCashflows!V$213</f>
        <v>1.2433743083946525</v>
      </c>
      <c r="W69" s="237">
        <f ca="1" xml:space="preserve"> ProjectCashflows!W$213</f>
        <v>1.2682417945625455</v>
      </c>
      <c r="X69" s="237">
        <f ca="1" xml:space="preserve"> ProjectCashflows!X$213</f>
        <v>1.2936066304537963</v>
      </c>
      <c r="Y69" s="237">
        <f ca="1" xml:space="preserve"> ProjectCashflows!Y$213</f>
        <v>1.3194787630628724</v>
      </c>
      <c r="Z69" s="237">
        <f ca="1" xml:space="preserve"> ProjectCashflows!Z$213</f>
        <v>1.3458683383241299</v>
      </c>
      <c r="AA69" s="237">
        <f ca="1" xml:space="preserve"> ProjectCashflows!AA$213</f>
        <v>1.3727857050906125</v>
      </c>
      <c r="AB69" s="237">
        <f ca="1" xml:space="preserve"> ProjectCashflows!AB$213</f>
        <v>1.4002414191924248</v>
      </c>
      <c r="AC69" s="237">
        <f ca="1" xml:space="preserve"> ProjectCashflows!AC$213</f>
        <v>1.4282462475762734</v>
      </c>
      <c r="AD69" s="237">
        <f ca="1" xml:space="preserve"> ProjectCashflows!AD$213</f>
        <v>1.4568111725277988</v>
      </c>
      <c r="AE69" s="237">
        <f ca="1" xml:space="preserve"> ProjectCashflows!AE$213</f>
        <v>1.4859473959783549</v>
      </c>
      <c r="AF69" s="237">
        <f ca="1" xml:space="preserve"> ProjectCashflows!AF$213</f>
        <v>1.5156663438979221</v>
      </c>
      <c r="AG69" s="237">
        <f ca="1" xml:space="preserve"> ProjectCashflows!AG$213</f>
        <v>1</v>
      </c>
      <c r="AH69" s="237">
        <f ca="1" xml:space="preserve"> ProjectCashflows!AH$213</f>
        <v>1</v>
      </c>
      <c r="AI69" s="237">
        <f ca="1" xml:space="preserve"> ProjectCashflows!AI$213</f>
        <v>1</v>
      </c>
      <c r="AJ69" s="237">
        <f ca="1" xml:space="preserve"> ProjectCashflows!AJ$213</f>
        <v>1</v>
      </c>
      <c r="AK69" s="237">
        <f ca="1" xml:space="preserve"> ProjectCashflows!AK$213</f>
        <v>1</v>
      </c>
      <c r="AL69" s="237">
        <f ca="1" xml:space="preserve"> ProjectCashflows!AL$213</f>
        <v>1</v>
      </c>
      <c r="AM69" s="237">
        <f ca="1" xml:space="preserve"> ProjectCashflows!AM$213</f>
        <v>1</v>
      </c>
      <c r="AN69" s="237">
        <f ca="1" xml:space="preserve"> ProjectCashflows!AN$213</f>
        <v>1</v>
      </c>
      <c r="AO69" s="237">
        <f ca="1" xml:space="preserve"> ProjectCashflows!AO$213</f>
        <v>1</v>
      </c>
      <c r="AP69" s="237">
        <f ca="1" xml:space="preserve"> ProjectCashflows!AP$213</f>
        <v>1</v>
      </c>
      <c r="AQ69" s="237">
        <f ca="1" xml:space="preserve"> ProjectCashflows!AQ$213</f>
        <v>1</v>
      </c>
      <c r="AR69" s="237">
        <f ca="1" xml:space="preserve"> ProjectCashflows!AR$213</f>
        <v>1</v>
      </c>
      <c r="AS69" s="237">
        <f ca="1" xml:space="preserve"> ProjectCashflows!AS$213</f>
        <v>1</v>
      </c>
      <c r="AT69" s="237">
        <f ca="1" xml:space="preserve"> ProjectCashflows!AT$213</f>
        <v>1</v>
      </c>
      <c r="AU69" s="237">
        <f ca="1" xml:space="preserve"> ProjectCashflows!AU$213</f>
        <v>1</v>
      </c>
      <c r="AV69" s="237">
        <f ca="1" xml:space="preserve"> ProjectCashflows!AV$213</f>
        <v>1</v>
      </c>
      <c r="AW69" s="237">
        <f ca="1" xml:space="preserve"> ProjectCashflows!AW$213</f>
        <v>1</v>
      </c>
      <c r="AX69" s="237">
        <f ca="1" xml:space="preserve"> ProjectCashflows!AX$213</f>
        <v>1</v>
      </c>
    </row>
    <row r="70" spans="1:50" s="34" customFormat="1" ht="15" customHeight="1">
      <c r="E70" s="34" t="str">
        <f xml:space="preserve"> Inputs!E$53</f>
        <v>Label for real terms cashflows: Million</v>
      </c>
      <c r="F70" s="34" t="str">
        <f xml:space="preserve"> Inputs!F$53</f>
        <v>US$ mn 2021</v>
      </c>
      <c r="G70" s="34" t="str">
        <f xml:space="preserve"> Inputs!G$53</f>
        <v>Label</v>
      </c>
    </row>
    <row r="71" spans="1:50" s="4" customFormat="1" ht="15" customHeight="1">
      <c r="A71" s="136"/>
    </row>
    <row r="72" spans="1:50" s="4" customFormat="1" ht="15" customHeight="1">
      <c r="A72" s="136"/>
      <c r="B72" s="197"/>
      <c r="C72" s="42" t="str">
        <f>Translate!$E$15 &amp; ": " &amp; Inputs!F$83 &amp; ", " &amp; Inputs!F$85</f>
        <v>Project cashflows: full-cycle, real</v>
      </c>
    </row>
    <row r="73" spans="1:50" s="4" customFormat="1" ht="15" customHeight="1">
      <c r="A73" s="136"/>
      <c r="E73" s="66" t="str">
        <f xml:space="preserve"> E8</f>
        <v>Sales revenues: gross, after ELT</v>
      </c>
      <c r="G73" s="4" t="str">
        <f xml:space="preserve"> $F$70</f>
        <v>US$ mn 2021</v>
      </c>
      <c r="I73" s="4">
        <f ca="1" xml:space="preserve"> SUM(K73:AX73)</f>
        <v>3000</v>
      </c>
      <c r="K73" s="4">
        <f t="shared" ref="K73:AX73" ca="1" si="12" xml:space="preserve"> K8 / K$69</f>
        <v>0</v>
      </c>
      <c r="L73" s="4">
        <f t="shared" ca="1" si="12"/>
        <v>0</v>
      </c>
      <c r="M73" s="4">
        <f t="shared" ca="1" si="12"/>
        <v>0</v>
      </c>
      <c r="N73" s="4">
        <f t="shared" ca="1" si="12"/>
        <v>0</v>
      </c>
      <c r="O73" s="4">
        <f t="shared" ca="1" si="12"/>
        <v>15</v>
      </c>
      <c r="P73" s="4">
        <f t="shared" ca="1" si="12"/>
        <v>112.5</v>
      </c>
      <c r="Q73" s="4">
        <f t="shared" ca="1" si="12"/>
        <v>225</v>
      </c>
      <c r="R73" s="4">
        <f t="shared" ca="1" si="12"/>
        <v>224.99999999999997</v>
      </c>
      <c r="S73" s="4">
        <f t="shared" ca="1" si="12"/>
        <v>224.99999999999997</v>
      </c>
      <c r="T73" s="4">
        <f t="shared" ca="1" si="12"/>
        <v>225.00000000000003</v>
      </c>
      <c r="U73" s="4">
        <f t="shared" ca="1" si="12"/>
        <v>225</v>
      </c>
      <c r="V73" s="4">
        <f t="shared" ca="1" si="12"/>
        <v>225</v>
      </c>
      <c r="W73" s="4">
        <f t="shared" ca="1" si="12"/>
        <v>225</v>
      </c>
      <c r="X73" s="4">
        <f t="shared" ca="1" si="12"/>
        <v>225</v>
      </c>
      <c r="Y73" s="4">
        <f t="shared" ca="1" si="12"/>
        <v>225.00000000000003</v>
      </c>
      <c r="Z73" s="4">
        <f t="shared" ca="1" si="12"/>
        <v>225.00000000000003</v>
      </c>
      <c r="AA73" s="4">
        <f t="shared" ca="1" si="12"/>
        <v>187.5</v>
      </c>
      <c r="AB73" s="4">
        <f t="shared" ca="1" si="12"/>
        <v>150</v>
      </c>
      <c r="AC73" s="4">
        <f t="shared" ca="1" si="12"/>
        <v>112.5</v>
      </c>
      <c r="AD73" s="4">
        <f t="shared" ca="1" si="12"/>
        <v>97.5</v>
      </c>
      <c r="AE73" s="4">
        <f t="shared" ca="1" si="12"/>
        <v>75</v>
      </c>
      <c r="AF73" s="4">
        <f t="shared" ca="1" si="12"/>
        <v>0</v>
      </c>
      <c r="AG73" s="4">
        <f t="shared" ca="1" si="12"/>
        <v>0</v>
      </c>
      <c r="AH73" s="4">
        <f t="shared" ca="1" si="12"/>
        <v>0</v>
      </c>
      <c r="AI73" s="4">
        <f t="shared" ca="1" si="12"/>
        <v>0</v>
      </c>
      <c r="AJ73" s="4">
        <f t="shared" ca="1" si="12"/>
        <v>0</v>
      </c>
      <c r="AK73" s="4">
        <f t="shared" ca="1" si="12"/>
        <v>0</v>
      </c>
      <c r="AL73" s="4">
        <f t="shared" ca="1" si="12"/>
        <v>0</v>
      </c>
      <c r="AM73" s="4">
        <f t="shared" ca="1" si="12"/>
        <v>0</v>
      </c>
      <c r="AN73" s="4">
        <f t="shared" ca="1" si="12"/>
        <v>0</v>
      </c>
      <c r="AO73" s="4">
        <f t="shared" ca="1" si="12"/>
        <v>0</v>
      </c>
      <c r="AP73" s="4">
        <f t="shared" ca="1" si="12"/>
        <v>0</v>
      </c>
      <c r="AQ73" s="4">
        <f t="shared" ca="1" si="12"/>
        <v>0</v>
      </c>
      <c r="AR73" s="4">
        <f t="shared" ca="1" si="12"/>
        <v>0</v>
      </c>
      <c r="AS73" s="4">
        <f t="shared" ca="1" si="12"/>
        <v>0</v>
      </c>
      <c r="AT73" s="4">
        <f t="shared" ca="1" si="12"/>
        <v>0</v>
      </c>
      <c r="AU73" s="4">
        <f t="shared" ca="1" si="12"/>
        <v>0</v>
      </c>
      <c r="AV73" s="4">
        <f t="shared" ca="1" si="12"/>
        <v>0</v>
      </c>
      <c r="AW73" s="4">
        <f t="shared" ca="1" si="12"/>
        <v>0</v>
      </c>
      <c r="AX73" s="4">
        <f t="shared" ca="1" si="12"/>
        <v>0</v>
      </c>
    </row>
    <row r="74" spans="1:50" s="4" customFormat="1" ht="15" customHeight="1">
      <c r="A74" s="136"/>
      <c r="E74" s="66" t="str">
        <f xml:space="preserve"> E9</f>
        <v>Transport costs post-fiscal point, after ELT</v>
      </c>
      <c r="G74" s="4" t="str">
        <f xml:space="preserve"> $F$70</f>
        <v>US$ mn 2021</v>
      </c>
      <c r="I74" s="4">
        <f ca="1" xml:space="preserve"> SUM(K74:AX74)</f>
        <v>50</v>
      </c>
      <c r="K74" s="4">
        <f t="shared" ref="K74:AX74" ca="1" si="13" xml:space="preserve"> K9 / K$69</f>
        <v>0</v>
      </c>
      <c r="L74" s="4">
        <f t="shared" ca="1" si="13"/>
        <v>0</v>
      </c>
      <c r="M74" s="4">
        <f t="shared" ca="1" si="13"/>
        <v>0</v>
      </c>
      <c r="N74" s="4">
        <f t="shared" ca="1" si="13"/>
        <v>0</v>
      </c>
      <c r="O74" s="4">
        <f t="shared" ca="1" si="13"/>
        <v>0.25</v>
      </c>
      <c r="P74" s="4">
        <f t="shared" ca="1" si="13"/>
        <v>1.8750000000000002</v>
      </c>
      <c r="Q74" s="4">
        <f t="shared" ca="1" si="13"/>
        <v>3.7500000000000004</v>
      </c>
      <c r="R74" s="4">
        <f t="shared" ca="1" si="13"/>
        <v>3.7500000000000004</v>
      </c>
      <c r="S74" s="4">
        <f t="shared" ca="1" si="13"/>
        <v>3.7500000000000004</v>
      </c>
      <c r="T74" s="4">
        <f t="shared" ca="1" si="13"/>
        <v>3.75</v>
      </c>
      <c r="U74" s="4">
        <f t="shared" ca="1" si="13"/>
        <v>3.75</v>
      </c>
      <c r="V74" s="4">
        <f t="shared" ca="1" si="13"/>
        <v>3.75</v>
      </c>
      <c r="W74" s="4">
        <f t="shared" ca="1" si="13"/>
        <v>3.75</v>
      </c>
      <c r="X74" s="4">
        <f t="shared" ca="1" si="13"/>
        <v>3.7500000000000004</v>
      </c>
      <c r="Y74" s="4">
        <f t="shared" ca="1" si="13"/>
        <v>3.75</v>
      </c>
      <c r="Z74" s="4">
        <f t="shared" ca="1" si="13"/>
        <v>3.75</v>
      </c>
      <c r="AA74" s="4">
        <f t="shared" ca="1" si="13"/>
        <v>3.125</v>
      </c>
      <c r="AB74" s="4">
        <f t="shared" ca="1" si="13"/>
        <v>2.5</v>
      </c>
      <c r="AC74" s="4">
        <f t="shared" ca="1" si="13"/>
        <v>1.8750000000000002</v>
      </c>
      <c r="AD74" s="4">
        <f t="shared" ca="1" si="13"/>
        <v>1.625</v>
      </c>
      <c r="AE74" s="4">
        <f t="shared" ca="1" si="13"/>
        <v>1.25</v>
      </c>
      <c r="AF74" s="4">
        <f t="shared" ca="1" si="13"/>
        <v>0</v>
      </c>
      <c r="AG74" s="4">
        <f t="shared" ca="1" si="13"/>
        <v>0</v>
      </c>
      <c r="AH74" s="4">
        <f t="shared" ca="1" si="13"/>
        <v>0</v>
      </c>
      <c r="AI74" s="4">
        <f t="shared" ca="1" si="13"/>
        <v>0</v>
      </c>
      <c r="AJ74" s="4">
        <f t="shared" ca="1" si="13"/>
        <v>0</v>
      </c>
      <c r="AK74" s="4">
        <f t="shared" ca="1" si="13"/>
        <v>0</v>
      </c>
      <c r="AL74" s="4">
        <f t="shared" ca="1" si="13"/>
        <v>0</v>
      </c>
      <c r="AM74" s="4">
        <f t="shared" ca="1" si="13"/>
        <v>0</v>
      </c>
      <c r="AN74" s="4">
        <f t="shared" ca="1" si="13"/>
        <v>0</v>
      </c>
      <c r="AO74" s="4">
        <f t="shared" ca="1" si="13"/>
        <v>0</v>
      </c>
      <c r="AP74" s="4">
        <f t="shared" ca="1" si="13"/>
        <v>0</v>
      </c>
      <c r="AQ74" s="4">
        <f t="shared" ca="1" si="13"/>
        <v>0</v>
      </c>
      <c r="AR74" s="4">
        <f t="shared" ca="1" si="13"/>
        <v>0</v>
      </c>
      <c r="AS74" s="4">
        <f t="shared" ca="1" si="13"/>
        <v>0</v>
      </c>
      <c r="AT74" s="4">
        <f t="shared" ca="1" si="13"/>
        <v>0</v>
      </c>
      <c r="AU74" s="4">
        <f t="shared" ca="1" si="13"/>
        <v>0</v>
      </c>
      <c r="AV74" s="4">
        <f t="shared" ca="1" si="13"/>
        <v>0</v>
      </c>
      <c r="AW74" s="4">
        <f t="shared" ca="1" si="13"/>
        <v>0</v>
      </c>
      <c r="AX74" s="4">
        <f t="shared" ca="1" si="13"/>
        <v>0</v>
      </c>
    </row>
    <row r="75" spans="1:50" s="4" customFormat="1" ht="15" customHeight="1">
      <c r="A75" s="136"/>
      <c r="E75" s="66" t="str">
        <f xml:space="preserve"> E10</f>
        <v>Sales revenues: net, after ELT</v>
      </c>
      <c r="G75" s="4" t="str">
        <f xml:space="preserve"> $F$70</f>
        <v>US$ mn 2021</v>
      </c>
      <c r="I75" s="4">
        <f ca="1" xml:space="preserve"> SUM(K75:AX75)</f>
        <v>2950</v>
      </c>
      <c r="K75" s="4">
        <f t="shared" ref="K75:AX75" ca="1" si="14" xml:space="preserve"> K10 / K$69</f>
        <v>0</v>
      </c>
      <c r="L75" s="4">
        <f t="shared" ca="1" si="14"/>
        <v>0</v>
      </c>
      <c r="M75" s="4">
        <f t="shared" ca="1" si="14"/>
        <v>0</v>
      </c>
      <c r="N75" s="4">
        <f t="shared" ca="1" si="14"/>
        <v>0</v>
      </c>
      <c r="O75" s="4">
        <f t="shared" ca="1" si="14"/>
        <v>14.75</v>
      </c>
      <c r="P75" s="4">
        <f t="shared" ca="1" si="14"/>
        <v>110.625</v>
      </c>
      <c r="Q75" s="4">
        <f t="shared" ca="1" si="14"/>
        <v>221.25</v>
      </c>
      <c r="R75" s="4">
        <f t="shared" ca="1" si="14"/>
        <v>221.24999999999997</v>
      </c>
      <c r="S75" s="4">
        <f t="shared" ca="1" si="14"/>
        <v>221.25</v>
      </c>
      <c r="T75" s="4">
        <f t="shared" ca="1" si="14"/>
        <v>221.25000000000003</v>
      </c>
      <c r="U75" s="4">
        <f t="shared" ca="1" si="14"/>
        <v>221.25</v>
      </c>
      <c r="V75" s="4">
        <f t="shared" ca="1" si="14"/>
        <v>221.24999999999997</v>
      </c>
      <c r="W75" s="4">
        <f t="shared" ca="1" si="14"/>
        <v>221.25</v>
      </c>
      <c r="X75" s="4">
        <f t="shared" ca="1" si="14"/>
        <v>221.24999999999997</v>
      </c>
      <c r="Y75" s="4">
        <f t="shared" ca="1" si="14"/>
        <v>221.25000000000003</v>
      </c>
      <c r="Z75" s="4">
        <f t="shared" ca="1" si="14"/>
        <v>221.25</v>
      </c>
      <c r="AA75" s="4">
        <f t="shared" ca="1" si="14"/>
        <v>184.37500000000003</v>
      </c>
      <c r="AB75" s="4">
        <f t="shared" ca="1" si="14"/>
        <v>147.5</v>
      </c>
      <c r="AC75" s="4">
        <f t="shared" ca="1" si="14"/>
        <v>110.625</v>
      </c>
      <c r="AD75" s="4">
        <f t="shared" ca="1" si="14"/>
        <v>95.875</v>
      </c>
      <c r="AE75" s="4">
        <f t="shared" ca="1" si="14"/>
        <v>73.75</v>
      </c>
      <c r="AF75" s="4">
        <f t="shared" ca="1" si="14"/>
        <v>0</v>
      </c>
      <c r="AG75" s="4">
        <f t="shared" ca="1" si="14"/>
        <v>0</v>
      </c>
      <c r="AH75" s="4">
        <f t="shared" ca="1" si="14"/>
        <v>0</v>
      </c>
      <c r="AI75" s="4">
        <f t="shared" ca="1" si="14"/>
        <v>0</v>
      </c>
      <c r="AJ75" s="4">
        <f t="shared" ca="1" si="14"/>
        <v>0</v>
      </c>
      <c r="AK75" s="4">
        <f t="shared" ca="1" si="14"/>
        <v>0</v>
      </c>
      <c r="AL75" s="4">
        <f t="shared" ca="1" si="14"/>
        <v>0</v>
      </c>
      <c r="AM75" s="4">
        <f t="shared" ca="1" si="14"/>
        <v>0</v>
      </c>
      <c r="AN75" s="4">
        <f t="shared" ca="1" si="14"/>
        <v>0</v>
      </c>
      <c r="AO75" s="4">
        <f t="shared" ca="1" si="14"/>
        <v>0</v>
      </c>
      <c r="AP75" s="4">
        <f t="shared" ca="1" si="14"/>
        <v>0</v>
      </c>
      <c r="AQ75" s="4">
        <f t="shared" ca="1" si="14"/>
        <v>0</v>
      </c>
      <c r="AR75" s="4">
        <f t="shared" ca="1" si="14"/>
        <v>0</v>
      </c>
      <c r="AS75" s="4">
        <f t="shared" ca="1" si="14"/>
        <v>0</v>
      </c>
      <c r="AT75" s="4">
        <f t="shared" ca="1" si="14"/>
        <v>0</v>
      </c>
      <c r="AU75" s="4">
        <f t="shared" ca="1" si="14"/>
        <v>0</v>
      </c>
      <c r="AV75" s="4">
        <f t="shared" ca="1" si="14"/>
        <v>0</v>
      </c>
      <c r="AW75" s="4">
        <f t="shared" ca="1" si="14"/>
        <v>0</v>
      </c>
      <c r="AX75" s="4">
        <f t="shared" ca="1" si="14"/>
        <v>0</v>
      </c>
    </row>
    <row r="76" spans="1:50" s="4" customFormat="1" ht="15" customHeight="1">
      <c r="A76" s="136"/>
    </row>
    <row r="77" spans="1:50" s="4" customFormat="1" ht="15" customHeight="1">
      <c r="A77" s="136"/>
      <c r="E77" s="66" t="str">
        <f t="shared" ref="E77:E82" si="15" xml:space="preserve"> E12</f>
        <v>Exploration costs, after ELT</v>
      </c>
      <c r="G77" s="4" t="str">
        <f t="shared" ref="G77:G82" si="16" xml:space="preserve"> $F$70</f>
        <v>US$ mn 2021</v>
      </c>
      <c r="I77" s="4">
        <f t="shared" ref="I77:I82" ca="1" si="17" xml:space="preserve"> SUM(K77:AX77)</f>
        <v>30</v>
      </c>
      <c r="K77" s="4">
        <f t="shared" ref="K77:AX77" ca="1" si="18" xml:space="preserve"> K12 / K$69</f>
        <v>10</v>
      </c>
      <c r="L77" s="4">
        <f t="shared" ca="1" si="18"/>
        <v>10</v>
      </c>
      <c r="M77" s="4">
        <f t="shared" ca="1" si="18"/>
        <v>10</v>
      </c>
      <c r="N77" s="4">
        <f t="shared" ca="1" si="18"/>
        <v>0</v>
      </c>
      <c r="O77" s="4">
        <f t="shared" ca="1" si="18"/>
        <v>0</v>
      </c>
      <c r="P77" s="4">
        <f t="shared" ca="1" si="18"/>
        <v>0</v>
      </c>
      <c r="Q77" s="4">
        <f t="shared" ca="1" si="18"/>
        <v>0</v>
      </c>
      <c r="R77" s="4">
        <f t="shared" ca="1" si="18"/>
        <v>0</v>
      </c>
      <c r="S77" s="4">
        <f t="shared" ca="1" si="18"/>
        <v>0</v>
      </c>
      <c r="T77" s="4">
        <f t="shared" ca="1" si="18"/>
        <v>0</v>
      </c>
      <c r="U77" s="4">
        <f t="shared" ca="1" si="18"/>
        <v>0</v>
      </c>
      <c r="V77" s="4">
        <f t="shared" ca="1" si="18"/>
        <v>0</v>
      </c>
      <c r="W77" s="4">
        <f t="shared" ca="1" si="18"/>
        <v>0</v>
      </c>
      <c r="X77" s="4">
        <f t="shared" ca="1" si="18"/>
        <v>0</v>
      </c>
      <c r="Y77" s="4">
        <f t="shared" ca="1" si="18"/>
        <v>0</v>
      </c>
      <c r="Z77" s="4">
        <f t="shared" ca="1" si="18"/>
        <v>0</v>
      </c>
      <c r="AA77" s="4">
        <f t="shared" ca="1" si="18"/>
        <v>0</v>
      </c>
      <c r="AB77" s="4">
        <f t="shared" ca="1" si="18"/>
        <v>0</v>
      </c>
      <c r="AC77" s="4">
        <f t="shared" ca="1" si="18"/>
        <v>0</v>
      </c>
      <c r="AD77" s="4">
        <f t="shared" ca="1" si="18"/>
        <v>0</v>
      </c>
      <c r="AE77" s="4">
        <f t="shared" ca="1" si="18"/>
        <v>0</v>
      </c>
      <c r="AF77" s="4">
        <f t="shared" ca="1" si="18"/>
        <v>0</v>
      </c>
      <c r="AG77" s="4">
        <f t="shared" ca="1" si="18"/>
        <v>0</v>
      </c>
      <c r="AH77" s="4">
        <f t="shared" ca="1" si="18"/>
        <v>0</v>
      </c>
      <c r="AI77" s="4">
        <f t="shared" ca="1" si="18"/>
        <v>0</v>
      </c>
      <c r="AJ77" s="4">
        <f t="shared" ca="1" si="18"/>
        <v>0</v>
      </c>
      <c r="AK77" s="4">
        <f t="shared" ca="1" si="18"/>
        <v>0</v>
      </c>
      <c r="AL77" s="4">
        <f t="shared" ca="1" si="18"/>
        <v>0</v>
      </c>
      <c r="AM77" s="4">
        <f t="shared" ca="1" si="18"/>
        <v>0</v>
      </c>
      <c r="AN77" s="4">
        <f t="shared" ca="1" si="18"/>
        <v>0</v>
      </c>
      <c r="AO77" s="4">
        <f t="shared" ca="1" si="18"/>
        <v>0</v>
      </c>
      <c r="AP77" s="4">
        <f t="shared" ca="1" si="18"/>
        <v>0</v>
      </c>
      <c r="AQ77" s="4">
        <f t="shared" ca="1" si="18"/>
        <v>0</v>
      </c>
      <c r="AR77" s="4">
        <f t="shared" ca="1" si="18"/>
        <v>0</v>
      </c>
      <c r="AS77" s="4">
        <f t="shared" ca="1" si="18"/>
        <v>0</v>
      </c>
      <c r="AT77" s="4">
        <f t="shared" ca="1" si="18"/>
        <v>0</v>
      </c>
      <c r="AU77" s="4">
        <f t="shared" ca="1" si="18"/>
        <v>0</v>
      </c>
      <c r="AV77" s="4">
        <f t="shared" ca="1" si="18"/>
        <v>0</v>
      </c>
      <c r="AW77" s="4">
        <f t="shared" ca="1" si="18"/>
        <v>0</v>
      </c>
      <c r="AX77" s="4">
        <f t="shared" ca="1" si="18"/>
        <v>0</v>
      </c>
    </row>
    <row r="78" spans="1:50" s="4" customFormat="1" ht="15" customHeight="1">
      <c r="A78" s="136"/>
      <c r="E78" s="66" t="str">
        <f t="shared" si="15"/>
        <v>Development costs, after ELT</v>
      </c>
      <c r="G78" s="4" t="str">
        <f t="shared" si="16"/>
        <v>US$ mn 2021</v>
      </c>
      <c r="I78" s="4">
        <f t="shared" ca="1" si="17"/>
        <v>400</v>
      </c>
      <c r="K78" s="4">
        <f t="shared" ref="K78:AX78" ca="1" si="19" xml:space="preserve"> K13 / K$69</f>
        <v>0</v>
      </c>
      <c r="L78" s="4">
        <f t="shared" ca="1" si="19"/>
        <v>0</v>
      </c>
      <c r="M78" s="4">
        <f t="shared" ca="1" si="19"/>
        <v>0</v>
      </c>
      <c r="N78" s="4">
        <f t="shared" ca="1" si="19"/>
        <v>50</v>
      </c>
      <c r="O78" s="4">
        <f t="shared" ca="1" si="19"/>
        <v>250.00000000000003</v>
      </c>
      <c r="P78" s="4">
        <f t="shared" ca="1" si="19"/>
        <v>100</v>
      </c>
      <c r="Q78" s="4">
        <f t="shared" ca="1" si="19"/>
        <v>0</v>
      </c>
      <c r="R78" s="4">
        <f t="shared" ca="1" si="19"/>
        <v>0</v>
      </c>
      <c r="S78" s="4">
        <f t="shared" ca="1" si="19"/>
        <v>0</v>
      </c>
      <c r="T78" s="4">
        <f t="shared" ca="1" si="19"/>
        <v>0</v>
      </c>
      <c r="U78" s="4">
        <f t="shared" ca="1" si="19"/>
        <v>0</v>
      </c>
      <c r="V78" s="4">
        <f t="shared" ca="1" si="19"/>
        <v>0</v>
      </c>
      <c r="W78" s="4">
        <f t="shared" ca="1" si="19"/>
        <v>0</v>
      </c>
      <c r="X78" s="4">
        <f t="shared" ca="1" si="19"/>
        <v>0</v>
      </c>
      <c r="Y78" s="4">
        <f t="shared" ca="1" si="19"/>
        <v>0</v>
      </c>
      <c r="Z78" s="4">
        <f t="shared" ca="1" si="19"/>
        <v>0</v>
      </c>
      <c r="AA78" s="4">
        <f t="shared" ca="1" si="19"/>
        <v>0</v>
      </c>
      <c r="AB78" s="4">
        <f t="shared" ca="1" si="19"/>
        <v>0</v>
      </c>
      <c r="AC78" s="4">
        <f t="shared" ca="1" si="19"/>
        <v>0</v>
      </c>
      <c r="AD78" s="4">
        <f t="shared" ca="1" si="19"/>
        <v>0</v>
      </c>
      <c r="AE78" s="4">
        <f t="shared" ca="1" si="19"/>
        <v>0</v>
      </c>
      <c r="AF78" s="4">
        <f t="shared" ca="1" si="19"/>
        <v>0</v>
      </c>
      <c r="AG78" s="4">
        <f t="shared" ca="1" si="19"/>
        <v>0</v>
      </c>
      <c r="AH78" s="4">
        <f t="shared" ca="1" si="19"/>
        <v>0</v>
      </c>
      <c r="AI78" s="4">
        <f t="shared" ca="1" si="19"/>
        <v>0</v>
      </c>
      <c r="AJ78" s="4">
        <f t="shared" ca="1" si="19"/>
        <v>0</v>
      </c>
      <c r="AK78" s="4">
        <f t="shared" ca="1" si="19"/>
        <v>0</v>
      </c>
      <c r="AL78" s="4">
        <f t="shared" ca="1" si="19"/>
        <v>0</v>
      </c>
      <c r="AM78" s="4">
        <f t="shared" ca="1" si="19"/>
        <v>0</v>
      </c>
      <c r="AN78" s="4">
        <f t="shared" ca="1" si="19"/>
        <v>0</v>
      </c>
      <c r="AO78" s="4">
        <f t="shared" ca="1" si="19"/>
        <v>0</v>
      </c>
      <c r="AP78" s="4">
        <f t="shared" ca="1" si="19"/>
        <v>0</v>
      </c>
      <c r="AQ78" s="4">
        <f t="shared" ca="1" si="19"/>
        <v>0</v>
      </c>
      <c r="AR78" s="4">
        <f t="shared" ca="1" si="19"/>
        <v>0</v>
      </c>
      <c r="AS78" s="4">
        <f t="shared" ca="1" si="19"/>
        <v>0</v>
      </c>
      <c r="AT78" s="4">
        <f t="shared" ca="1" si="19"/>
        <v>0</v>
      </c>
      <c r="AU78" s="4">
        <f t="shared" ca="1" si="19"/>
        <v>0</v>
      </c>
      <c r="AV78" s="4">
        <f t="shared" ca="1" si="19"/>
        <v>0</v>
      </c>
      <c r="AW78" s="4">
        <f t="shared" ca="1" si="19"/>
        <v>0</v>
      </c>
      <c r="AX78" s="4">
        <f t="shared" ca="1" si="19"/>
        <v>0</v>
      </c>
    </row>
    <row r="79" spans="1:50" s="4" customFormat="1" ht="15" customHeight="1">
      <c r="A79" s="136"/>
      <c r="E79" s="66" t="str">
        <f t="shared" si="15"/>
        <v>Replacement capital costs, after ELT</v>
      </c>
      <c r="G79" s="4" t="str">
        <f t="shared" si="16"/>
        <v>US$ mn 2021</v>
      </c>
      <c r="I79" s="4">
        <f t="shared" ca="1" si="17"/>
        <v>96</v>
      </c>
      <c r="K79" s="4">
        <f t="shared" ref="K79:AX79" ca="1" si="20" xml:space="preserve"> K14 / K$69</f>
        <v>0</v>
      </c>
      <c r="L79" s="4">
        <f t="shared" ca="1" si="20"/>
        <v>0</v>
      </c>
      <c r="M79" s="4">
        <f t="shared" ca="1" si="20"/>
        <v>0</v>
      </c>
      <c r="N79" s="4">
        <f t="shared" ca="1" si="20"/>
        <v>0</v>
      </c>
      <c r="O79" s="4">
        <f t="shared" ca="1" si="20"/>
        <v>0</v>
      </c>
      <c r="P79" s="4">
        <f t="shared" ca="1" si="20"/>
        <v>8</v>
      </c>
      <c r="Q79" s="4">
        <f t="shared" ca="1" si="20"/>
        <v>8</v>
      </c>
      <c r="R79" s="4">
        <f t="shared" ca="1" si="20"/>
        <v>8</v>
      </c>
      <c r="S79" s="4">
        <f t="shared" ca="1" si="20"/>
        <v>8</v>
      </c>
      <c r="T79" s="4">
        <f t="shared" ca="1" si="20"/>
        <v>8</v>
      </c>
      <c r="U79" s="4">
        <f t="shared" ca="1" si="20"/>
        <v>8</v>
      </c>
      <c r="V79" s="4">
        <f t="shared" ca="1" si="20"/>
        <v>8</v>
      </c>
      <c r="W79" s="4">
        <f t="shared" ca="1" si="20"/>
        <v>8</v>
      </c>
      <c r="X79" s="4">
        <f t="shared" ca="1" si="20"/>
        <v>8</v>
      </c>
      <c r="Y79" s="4">
        <f t="shared" ca="1" si="20"/>
        <v>8</v>
      </c>
      <c r="Z79" s="4">
        <f t="shared" ca="1" si="20"/>
        <v>8</v>
      </c>
      <c r="AA79" s="4">
        <f t="shared" ca="1" si="20"/>
        <v>8</v>
      </c>
      <c r="AB79" s="4">
        <f t="shared" ca="1" si="20"/>
        <v>0</v>
      </c>
      <c r="AC79" s="4">
        <f t="shared" ca="1" si="20"/>
        <v>0</v>
      </c>
      <c r="AD79" s="4">
        <f t="shared" ca="1" si="20"/>
        <v>0</v>
      </c>
      <c r="AE79" s="4">
        <f t="shared" ca="1" si="20"/>
        <v>0</v>
      </c>
      <c r="AF79" s="4">
        <f t="shared" ca="1" si="20"/>
        <v>0</v>
      </c>
      <c r="AG79" s="4">
        <f t="shared" ca="1" si="20"/>
        <v>0</v>
      </c>
      <c r="AH79" s="4">
        <f t="shared" ca="1" si="20"/>
        <v>0</v>
      </c>
      <c r="AI79" s="4">
        <f t="shared" ca="1" si="20"/>
        <v>0</v>
      </c>
      <c r="AJ79" s="4">
        <f t="shared" ca="1" si="20"/>
        <v>0</v>
      </c>
      <c r="AK79" s="4">
        <f t="shared" ca="1" si="20"/>
        <v>0</v>
      </c>
      <c r="AL79" s="4">
        <f t="shared" ca="1" si="20"/>
        <v>0</v>
      </c>
      <c r="AM79" s="4">
        <f t="shared" ca="1" si="20"/>
        <v>0</v>
      </c>
      <c r="AN79" s="4">
        <f t="shared" ca="1" si="20"/>
        <v>0</v>
      </c>
      <c r="AO79" s="4">
        <f t="shared" ca="1" si="20"/>
        <v>0</v>
      </c>
      <c r="AP79" s="4">
        <f t="shared" ca="1" si="20"/>
        <v>0</v>
      </c>
      <c r="AQ79" s="4">
        <f t="shared" ca="1" si="20"/>
        <v>0</v>
      </c>
      <c r="AR79" s="4">
        <f t="shared" ca="1" si="20"/>
        <v>0</v>
      </c>
      <c r="AS79" s="4">
        <f t="shared" ca="1" si="20"/>
        <v>0</v>
      </c>
      <c r="AT79" s="4">
        <f t="shared" ca="1" si="20"/>
        <v>0</v>
      </c>
      <c r="AU79" s="4">
        <f t="shared" ca="1" si="20"/>
        <v>0</v>
      </c>
      <c r="AV79" s="4">
        <f t="shared" ca="1" si="20"/>
        <v>0</v>
      </c>
      <c r="AW79" s="4">
        <f t="shared" ca="1" si="20"/>
        <v>0</v>
      </c>
      <c r="AX79" s="4">
        <f t="shared" ca="1" si="20"/>
        <v>0</v>
      </c>
    </row>
    <row r="80" spans="1:50" s="66" customFormat="1" ht="15" customHeight="1">
      <c r="E80" s="66" t="str">
        <f t="shared" si="15"/>
        <v>Operating costs, after ELT</v>
      </c>
      <c r="G80" s="66" t="str">
        <f t="shared" si="16"/>
        <v>US$ mn 2021</v>
      </c>
      <c r="I80" s="66">
        <f t="shared" ca="1" si="17"/>
        <v>900</v>
      </c>
      <c r="K80" s="66">
        <f t="shared" ref="K80:AX80" ca="1" si="21" xml:space="preserve"> K15 / K$69</f>
        <v>0</v>
      </c>
      <c r="L80" s="66">
        <f t="shared" ca="1" si="21"/>
        <v>0</v>
      </c>
      <c r="M80" s="66">
        <f t="shared" ca="1" si="21"/>
        <v>0</v>
      </c>
      <c r="N80" s="66">
        <f t="shared" ca="1" si="21"/>
        <v>0</v>
      </c>
      <c r="O80" s="66">
        <f t="shared" ca="1" si="21"/>
        <v>4.5</v>
      </c>
      <c r="P80" s="66">
        <f t="shared" ca="1" si="21"/>
        <v>33.75</v>
      </c>
      <c r="Q80" s="66">
        <f t="shared" ca="1" si="21"/>
        <v>67.5</v>
      </c>
      <c r="R80" s="66">
        <f t="shared" ca="1" si="21"/>
        <v>67.5</v>
      </c>
      <c r="S80" s="66">
        <f t="shared" ca="1" si="21"/>
        <v>67.5</v>
      </c>
      <c r="T80" s="66">
        <f t="shared" ca="1" si="21"/>
        <v>67.5</v>
      </c>
      <c r="U80" s="66">
        <f t="shared" ca="1" si="21"/>
        <v>67.5</v>
      </c>
      <c r="V80" s="66">
        <f t="shared" ca="1" si="21"/>
        <v>67.5</v>
      </c>
      <c r="W80" s="66">
        <f t="shared" ca="1" si="21"/>
        <v>67.5</v>
      </c>
      <c r="X80" s="66">
        <f t="shared" ca="1" si="21"/>
        <v>67.5</v>
      </c>
      <c r="Y80" s="66">
        <f t="shared" ca="1" si="21"/>
        <v>67.5</v>
      </c>
      <c r="Z80" s="66">
        <f t="shared" ca="1" si="21"/>
        <v>67.5</v>
      </c>
      <c r="AA80" s="66">
        <f t="shared" ca="1" si="21"/>
        <v>56.250000000000007</v>
      </c>
      <c r="AB80" s="66">
        <f t="shared" ca="1" si="21"/>
        <v>45</v>
      </c>
      <c r="AC80" s="66">
        <f t="shared" ca="1" si="21"/>
        <v>33.75</v>
      </c>
      <c r="AD80" s="66">
        <f t="shared" ca="1" si="21"/>
        <v>29.25</v>
      </c>
      <c r="AE80" s="66">
        <f t="shared" ca="1" si="21"/>
        <v>22.5</v>
      </c>
      <c r="AF80" s="66">
        <f t="shared" ca="1" si="21"/>
        <v>0</v>
      </c>
      <c r="AG80" s="66">
        <f t="shared" ca="1" si="21"/>
        <v>0</v>
      </c>
      <c r="AH80" s="66">
        <f t="shared" ca="1" si="21"/>
        <v>0</v>
      </c>
      <c r="AI80" s="66">
        <f t="shared" ca="1" si="21"/>
        <v>0</v>
      </c>
      <c r="AJ80" s="66">
        <f t="shared" ca="1" si="21"/>
        <v>0</v>
      </c>
      <c r="AK80" s="66">
        <f t="shared" ca="1" si="21"/>
        <v>0</v>
      </c>
      <c r="AL80" s="66">
        <f t="shared" ca="1" si="21"/>
        <v>0</v>
      </c>
      <c r="AM80" s="66">
        <f t="shared" ca="1" si="21"/>
        <v>0</v>
      </c>
      <c r="AN80" s="66">
        <f t="shared" ca="1" si="21"/>
        <v>0</v>
      </c>
      <c r="AO80" s="66">
        <f t="shared" ca="1" si="21"/>
        <v>0</v>
      </c>
      <c r="AP80" s="66">
        <f t="shared" ca="1" si="21"/>
        <v>0</v>
      </c>
      <c r="AQ80" s="66">
        <f t="shared" ca="1" si="21"/>
        <v>0</v>
      </c>
      <c r="AR80" s="66">
        <f t="shared" ca="1" si="21"/>
        <v>0</v>
      </c>
      <c r="AS80" s="66">
        <f t="shared" ca="1" si="21"/>
        <v>0</v>
      </c>
      <c r="AT80" s="66">
        <f t="shared" ca="1" si="21"/>
        <v>0</v>
      </c>
      <c r="AU80" s="66">
        <f t="shared" ca="1" si="21"/>
        <v>0</v>
      </c>
      <c r="AV80" s="66">
        <f t="shared" ca="1" si="21"/>
        <v>0</v>
      </c>
      <c r="AW80" s="66">
        <f t="shared" ca="1" si="21"/>
        <v>0</v>
      </c>
      <c r="AX80" s="66">
        <f t="shared" ca="1" si="21"/>
        <v>0</v>
      </c>
    </row>
    <row r="81" spans="1:50" s="4" customFormat="1" ht="15" customHeight="1">
      <c r="A81" s="136"/>
      <c r="E81" s="66" t="str">
        <f t="shared" si="15"/>
        <v>Decommissioning costs, after ELT</v>
      </c>
      <c r="G81" s="4" t="str">
        <f t="shared" si="16"/>
        <v>US$ mn 2021</v>
      </c>
      <c r="I81" s="4">
        <f t="shared" ca="1" si="17"/>
        <v>20</v>
      </c>
      <c r="K81" s="4">
        <f t="shared" ref="K81:AX81" ca="1" si="22" xml:space="preserve"> K16 / K$69</f>
        <v>0</v>
      </c>
      <c r="L81" s="4">
        <f t="shared" ca="1" si="22"/>
        <v>0</v>
      </c>
      <c r="M81" s="4">
        <f t="shared" ca="1" si="22"/>
        <v>0</v>
      </c>
      <c r="N81" s="4">
        <f t="shared" ca="1" si="22"/>
        <v>0</v>
      </c>
      <c r="O81" s="4">
        <f t="shared" ca="1" si="22"/>
        <v>0</v>
      </c>
      <c r="P81" s="4">
        <f t="shared" ca="1" si="22"/>
        <v>0</v>
      </c>
      <c r="Q81" s="4">
        <f t="shared" ca="1" si="22"/>
        <v>0</v>
      </c>
      <c r="R81" s="4">
        <f t="shared" ca="1" si="22"/>
        <v>0</v>
      </c>
      <c r="S81" s="4">
        <f t="shared" ca="1" si="22"/>
        <v>0</v>
      </c>
      <c r="T81" s="4">
        <f t="shared" ca="1" si="22"/>
        <v>0</v>
      </c>
      <c r="U81" s="4">
        <f t="shared" ca="1" si="22"/>
        <v>0</v>
      </c>
      <c r="V81" s="4">
        <f t="shared" ca="1" si="22"/>
        <v>0</v>
      </c>
      <c r="W81" s="4">
        <f t="shared" ca="1" si="22"/>
        <v>0</v>
      </c>
      <c r="X81" s="4">
        <f t="shared" ca="1" si="22"/>
        <v>0</v>
      </c>
      <c r="Y81" s="4">
        <f t="shared" ca="1" si="22"/>
        <v>0</v>
      </c>
      <c r="Z81" s="4">
        <f t="shared" ca="1" si="22"/>
        <v>0</v>
      </c>
      <c r="AA81" s="4">
        <f t="shared" ca="1" si="22"/>
        <v>0</v>
      </c>
      <c r="AB81" s="4">
        <f t="shared" ca="1" si="22"/>
        <v>0</v>
      </c>
      <c r="AC81" s="4">
        <f t="shared" ca="1" si="22"/>
        <v>0</v>
      </c>
      <c r="AD81" s="4">
        <f t="shared" ca="1" si="22"/>
        <v>0</v>
      </c>
      <c r="AE81" s="4">
        <f t="shared" ca="1" si="22"/>
        <v>0</v>
      </c>
      <c r="AF81" s="4">
        <f t="shared" ca="1" si="22"/>
        <v>20</v>
      </c>
      <c r="AG81" s="4">
        <f t="shared" ca="1" si="22"/>
        <v>0</v>
      </c>
      <c r="AH81" s="4">
        <f t="shared" ca="1" si="22"/>
        <v>0</v>
      </c>
      <c r="AI81" s="4">
        <f t="shared" ca="1" si="22"/>
        <v>0</v>
      </c>
      <c r="AJ81" s="4">
        <f t="shared" ca="1" si="22"/>
        <v>0</v>
      </c>
      <c r="AK81" s="4">
        <f t="shared" ca="1" si="22"/>
        <v>0</v>
      </c>
      <c r="AL81" s="4">
        <f t="shared" ca="1" si="22"/>
        <v>0</v>
      </c>
      <c r="AM81" s="4">
        <f t="shared" ca="1" si="22"/>
        <v>0</v>
      </c>
      <c r="AN81" s="4">
        <f t="shared" ca="1" si="22"/>
        <v>0</v>
      </c>
      <c r="AO81" s="4">
        <f t="shared" ca="1" si="22"/>
        <v>0</v>
      </c>
      <c r="AP81" s="4">
        <f t="shared" ca="1" si="22"/>
        <v>0</v>
      </c>
      <c r="AQ81" s="4">
        <f t="shared" ca="1" si="22"/>
        <v>0</v>
      </c>
      <c r="AR81" s="4">
        <f t="shared" ca="1" si="22"/>
        <v>0</v>
      </c>
      <c r="AS81" s="4">
        <f t="shared" ca="1" si="22"/>
        <v>0</v>
      </c>
      <c r="AT81" s="4">
        <f t="shared" ca="1" si="22"/>
        <v>0</v>
      </c>
      <c r="AU81" s="4">
        <f t="shared" ca="1" si="22"/>
        <v>0</v>
      </c>
      <c r="AV81" s="4">
        <f t="shared" ca="1" si="22"/>
        <v>0</v>
      </c>
      <c r="AW81" s="4">
        <f t="shared" ca="1" si="22"/>
        <v>0</v>
      </c>
      <c r="AX81" s="4">
        <f t="shared" ca="1" si="22"/>
        <v>0</v>
      </c>
    </row>
    <row r="82" spans="1:50" s="4" customFormat="1" ht="15" customHeight="1">
      <c r="A82" s="136"/>
      <c r="E82" s="66" t="str">
        <f t="shared" si="15"/>
        <v>Project costs, after ELT</v>
      </c>
      <c r="G82" s="4" t="str">
        <f t="shared" si="16"/>
        <v>US$ mn 2021</v>
      </c>
      <c r="I82" s="4">
        <f t="shared" ca="1" si="17"/>
        <v>1446</v>
      </c>
      <c r="K82" s="4">
        <f t="shared" ref="K82:AX82" ca="1" si="23" xml:space="preserve"> K17 / K$69</f>
        <v>10</v>
      </c>
      <c r="L82" s="4">
        <f t="shared" ca="1" si="23"/>
        <v>10</v>
      </c>
      <c r="M82" s="4">
        <f t="shared" ca="1" si="23"/>
        <v>10</v>
      </c>
      <c r="N82" s="4">
        <f t="shared" ca="1" si="23"/>
        <v>50</v>
      </c>
      <c r="O82" s="4">
        <f t="shared" ca="1" si="23"/>
        <v>254.50000000000003</v>
      </c>
      <c r="P82" s="4">
        <f t="shared" ca="1" si="23"/>
        <v>141.75</v>
      </c>
      <c r="Q82" s="4">
        <f t="shared" ca="1" si="23"/>
        <v>75.5</v>
      </c>
      <c r="R82" s="4">
        <f t="shared" ca="1" si="23"/>
        <v>75.5</v>
      </c>
      <c r="S82" s="4">
        <f t="shared" ca="1" si="23"/>
        <v>75.5</v>
      </c>
      <c r="T82" s="4">
        <f t="shared" ca="1" si="23"/>
        <v>75.5</v>
      </c>
      <c r="U82" s="4">
        <f t="shared" ca="1" si="23"/>
        <v>75.5</v>
      </c>
      <c r="V82" s="4">
        <f t="shared" ca="1" si="23"/>
        <v>75.5</v>
      </c>
      <c r="W82" s="4">
        <f t="shared" ca="1" si="23"/>
        <v>75.5</v>
      </c>
      <c r="X82" s="4">
        <f t="shared" ca="1" si="23"/>
        <v>75.5</v>
      </c>
      <c r="Y82" s="4">
        <f t="shared" ca="1" si="23"/>
        <v>75.499999999999986</v>
      </c>
      <c r="Z82" s="4">
        <f t="shared" ca="1" si="23"/>
        <v>75.500000000000014</v>
      </c>
      <c r="AA82" s="4">
        <f t="shared" ca="1" si="23"/>
        <v>64.25</v>
      </c>
      <c r="AB82" s="4">
        <f t="shared" ca="1" si="23"/>
        <v>45</v>
      </c>
      <c r="AC82" s="4">
        <f t="shared" ca="1" si="23"/>
        <v>33.75</v>
      </c>
      <c r="AD82" s="4">
        <f t="shared" ca="1" si="23"/>
        <v>29.25</v>
      </c>
      <c r="AE82" s="4">
        <f t="shared" ca="1" si="23"/>
        <v>22.5</v>
      </c>
      <c r="AF82" s="4">
        <f t="shared" ca="1" si="23"/>
        <v>20</v>
      </c>
      <c r="AG82" s="4">
        <f t="shared" ca="1" si="23"/>
        <v>0</v>
      </c>
      <c r="AH82" s="4">
        <f t="shared" ca="1" si="23"/>
        <v>0</v>
      </c>
      <c r="AI82" s="4">
        <f t="shared" ca="1" si="23"/>
        <v>0</v>
      </c>
      <c r="AJ82" s="4">
        <f t="shared" ca="1" si="23"/>
        <v>0</v>
      </c>
      <c r="AK82" s="4">
        <f t="shared" ca="1" si="23"/>
        <v>0</v>
      </c>
      <c r="AL82" s="4">
        <f t="shared" ca="1" si="23"/>
        <v>0</v>
      </c>
      <c r="AM82" s="4">
        <f t="shared" ca="1" si="23"/>
        <v>0</v>
      </c>
      <c r="AN82" s="4">
        <f t="shared" ca="1" si="23"/>
        <v>0</v>
      </c>
      <c r="AO82" s="4">
        <f t="shared" ca="1" si="23"/>
        <v>0</v>
      </c>
      <c r="AP82" s="4">
        <f t="shared" ca="1" si="23"/>
        <v>0</v>
      </c>
      <c r="AQ82" s="4">
        <f t="shared" ca="1" si="23"/>
        <v>0</v>
      </c>
      <c r="AR82" s="4">
        <f t="shared" ca="1" si="23"/>
        <v>0</v>
      </c>
      <c r="AS82" s="4">
        <f t="shared" ca="1" si="23"/>
        <v>0</v>
      </c>
      <c r="AT82" s="4">
        <f t="shared" ca="1" si="23"/>
        <v>0</v>
      </c>
      <c r="AU82" s="4">
        <f t="shared" ca="1" si="23"/>
        <v>0</v>
      </c>
      <c r="AV82" s="4">
        <f t="shared" ca="1" si="23"/>
        <v>0</v>
      </c>
      <c r="AW82" s="4">
        <f t="shared" ca="1" si="23"/>
        <v>0</v>
      </c>
      <c r="AX82" s="4">
        <f t="shared" ca="1" si="23"/>
        <v>0</v>
      </c>
    </row>
    <row r="83" spans="1:50" s="4" customFormat="1" ht="15" customHeight="1">
      <c r="A83" s="136"/>
    </row>
    <row r="84" spans="1:50" s="4" customFormat="1" ht="15" customHeight="1">
      <c r="A84" s="136"/>
      <c r="E84" s="66" t="str">
        <f xml:space="preserve"> E19</f>
        <v>Project cashflow before decommissioning fund</v>
      </c>
      <c r="G84" s="4" t="str">
        <f xml:space="preserve"> $F$70</f>
        <v>US$ mn 2021</v>
      </c>
      <c r="I84" s="4">
        <f ca="1" xml:space="preserve"> SUM(K84:AX84)</f>
        <v>1504</v>
      </c>
      <c r="K84" s="4">
        <f t="shared" ref="K84:AX84" ca="1" si="24" xml:space="preserve"> K19 / K$69</f>
        <v>-10</v>
      </c>
      <c r="L84" s="4">
        <f t="shared" ca="1" si="24"/>
        <v>-10</v>
      </c>
      <c r="M84" s="4">
        <f t="shared" ca="1" si="24"/>
        <v>-10</v>
      </c>
      <c r="N84" s="4">
        <f t="shared" ca="1" si="24"/>
        <v>-50</v>
      </c>
      <c r="O84" s="4">
        <f t="shared" ca="1" si="24"/>
        <v>-239.75000000000006</v>
      </c>
      <c r="P84" s="4">
        <f t="shared" ca="1" si="24"/>
        <v>-31.125000000000004</v>
      </c>
      <c r="Q84" s="4">
        <f t="shared" ca="1" si="24"/>
        <v>145.75</v>
      </c>
      <c r="R84" s="4">
        <f t="shared" ca="1" si="24"/>
        <v>145.74999999999997</v>
      </c>
      <c r="S84" s="4">
        <f t="shared" ca="1" si="24"/>
        <v>145.74999999999997</v>
      </c>
      <c r="T84" s="4">
        <f t="shared" ca="1" si="24"/>
        <v>145.75000000000003</v>
      </c>
      <c r="U84" s="4">
        <f t="shared" ca="1" si="24"/>
        <v>145.75</v>
      </c>
      <c r="V84" s="4">
        <f t="shared" ca="1" si="24"/>
        <v>145.74999999999997</v>
      </c>
      <c r="W84" s="4">
        <f t="shared" ca="1" si="24"/>
        <v>145.75</v>
      </c>
      <c r="X84" s="4">
        <f t="shared" ca="1" si="24"/>
        <v>145.74999999999997</v>
      </c>
      <c r="Y84" s="4">
        <f t="shared" ca="1" si="24"/>
        <v>145.75000000000003</v>
      </c>
      <c r="Z84" s="4">
        <f t="shared" ca="1" si="24"/>
        <v>145.75</v>
      </c>
      <c r="AA84" s="4">
        <f t="shared" ca="1" si="24"/>
        <v>120.12500000000001</v>
      </c>
      <c r="AB84" s="4">
        <f t="shared" ca="1" si="24"/>
        <v>102.5</v>
      </c>
      <c r="AC84" s="4">
        <f t="shared" ca="1" si="24"/>
        <v>76.875</v>
      </c>
      <c r="AD84" s="4">
        <f t="shared" ca="1" si="24"/>
        <v>66.624999999999986</v>
      </c>
      <c r="AE84" s="4">
        <f t="shared" ca="1" si="24"/>
        <v>51.249999999999993</v>
      </c>
      <c r="AF84" s="4">
        <f t="shared" ca="1" si="24"/>
        <v>-20</v>
      </c>
      <c r="AG84" s="4">
        <f t="shared" ca="1" si="24"/>
        <v>0</v>
      </c>
      <c r="AH84" s="4">
        <f t="shared" ca="1" si="24"/>
        <v>0</v>
      </c>
      <c r="AI84" s="4">
        <f t="shared" ca="1" si="24"/>
        <v>0</v>
      </c>
      <c r="AJ84" s="4">
        <f t="shared" ca="1" si="24"/>
        <v>0</v>
      </c>
      <c r="AK84" s="4">
        <f t="shared" ca="1" si="24"/>
        <v>0</v>
      </c>
      <c r="AL84" s="4">
        <f t="shared" ca="1" si="24"/>
        <v>0</v>
      </c>
      <c r="AM84" s="4">
        <f t="shared" ca="1" si="24"/>
        <v>0</v>
      </c>
      <c r="AN84" s="4">
        <f t="shared" ca="1" si="24"/>
        <v>0</v>
      </c>
      <c r="AO84" s="4">
        <f t="shared" ca="1" si="24"/>
        <v>0</v>
      </c>
      <c r="AP84" s="4">
        <f t="shared" ca="1" si="24"/>
        <v>0</v>
      </c>
      <c r="AQ84" s="4">
        <f t="shared" ca="1" si="24"/>
        <v>0</v>
      </c>
      <c r="AR84" s="4">
        <f t="shared" ca="1" si="24"/>
        <v>0</v>
      </c>
      <c r="AS84" s="4">
        <f t="shared" ca="1" si="24"/>
        <v>0</v>
      </c>
      <c r="AT84" s="4">
        <f t="shared" ca="1" si="24"/>
        <v>0</v>
      </c>
      <c r="AU84" s="4">
        <f t="shared" ca="1" si="24"/>
        <v>0</v>
      </c>
      <c r="AV84" s="4">
        <f t="shared" ca="1" si="24"/>
        <v>0</v>
      </c>
      <c r="AW84" s="4">
        <f t="shared" ca="1" si="24"/>
        <v>0</v>
      </c>
      <c r="AX84" s="4">
        <f t="shared" ca="1" si="24"/>
        <v>0</v>
      </c>
    </row>
    <row r="85" spans="1:50" s="93" customFormat="1" ht="15" customHeight="1">
      <c r="A85" s="90"/>
      <c r="B85" s="13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row>
    <row r="86" spans="1:50" s="158" customFormat="1" ht="15" customHeight="1">
      <c r="B86" s="159"/>
      <c r="E86" s="121" t="str">
        <f xml:space="preserve"> Translate!$E$19 &amp;  ": " &amp;  E73</f>
        <v>Total: Sales revenues: gross, after ELT</v>
      </c>
      <c r="F86" s="66">
        <f ca="1" xml:space="preserve"> SUM(K73:AX73)</f>
        <v>3000</v>
      </c>
      <c r="G86" s="66" t="str">
        <f xml:space="preserve"> G73</f>
        <v>US$ mn 2021</v>
      </c>
      <c r="H86" s="66"/>
      <c r="I86" s="66"/>
      <c r="J86" s="66"/>
      <c r="K86" s="66"/>
      <c r="L86" s="66"/>
      <c r="M86" s="66"/>
      <c r="N86" s="66"/>
      <c r="O86" s="66"/>
      <c r="P86" s="66"/>
      <c r="Q86" s="66"/>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6"/>
      <c r="AS86" s="66"/>
      <c r="AT86" s="66"/>
      <c r="AU86" s="66"/>
      <c r="AV86" s="66"/>
      <c r="AW86" s="66"/>
      <c r="AX86" s="66"/>
    </row>
    <row r="87" spans="1:50" s="93" customFormat="1" ht="15" customHeight="1">
      <c r="A87" s="90"/>
      <c r="B87" s="134"/>
      <c r="E87" s="4" t="str">
        <f xml:space="preserve"> Translate!$E$19 &amp;  ": " &amp;  E74</f>
        <v>Total: Transport costs post-fiscal point, after ELT</v>
      </c>
      <c r="F87" s="66">
        <f t="shared" ref="F87" ca="1" si="25" xml:space="preserve"> SUM(K74:AX74)</f>
        <v>50</v>
      </c>
      <c r="G87" s="4" t="str">
        <f xml:space="preserve"> G74</f>
        <v>US$ mn 2021</v>
      </c>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row>
    <row r="88" spans="1:50" s="93" customFormat="1" ht="15" customHeight="1">
      <c r="A88" s="90"/>
      <c r="B88" s="134"/>
      <c r="E88" s="4" t="str">
        <f xml:space="preserve"> Translate!$E$19 &amp;  ": " &amp;  E75</f>
        <v>Total: Sales revenues: net, after ELT</v>
      </c>
      <c r="F88" s="66">
        <f ca="1" xml:space="preserve"> SUM(K75:AX75)</f>
        <v>2950</v>
      </c>
      <c r="G88" s="4" t="str">
        <f xml:space="preserve"> G75</f>
        <v>US$ mn 2021</v>
      </c>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row>
    <row r="89" spans="1:50" s="93" customFormat="1" ht="15" customHeight="1">
      <c r="A89" s="90"/>
      <c r="B89" s="13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row>
    <row r="90" spans="1:50" s="93" customFormat="1" ht="15" customHeight="1">
      <c r="A90" s="90"/>
      <c r="B90" s="134"/>
      <c r="E90" s="4" t="str">
        <f xml:space="preserve"> Translate!$E$19 &amp;  ": " &amp;  E77</f>
        <v>Total: Exploration costs, after ELT</v>
      </c>
      <c r="F90" s="66">
        <f t="shared" ref="F90:F95" ca="1" si="26" xml:space="preserve"> SUM(K77:AX77)</f>
        <v>30</v>
      </c>
      <c r="G90" s="4" t="str">
        <f t="shared" ref="G90:G95" si="27" xml:space="preserve"> G77</f>
        <v>US$ mn 2021</v>
      </c>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row>
    <row r="91" spans="1:50" s="93" customFormat="1" ht="15" customHeight="1">
      <c r="A91" s="90"/>
      <c r="B91" s="134"/>
      <c r="E91" s="4" t="str">
        <f xml:space="preserve"> Translate!$E$19 &amp;  ": " &amp;  E78</f>
        <v>Total: Development costs, after ELT</v>
      </c>
      <c r="F91" s="66">
        <f t="shared" ca="1" si="26"/>
        <v>400</v>
      </c>
      <c r="G91" s="4" t="str">
        <f t="shared" si="27"/>
        <v>US$ mn 2021</v>
      </c>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row>
    <row r="92" spans="1:50" s="93" customFormat="1" ht="15" customHeight="1">
      <c r="A92" s="90"/>
      <c r="B92" s="134"/>
      <c r="E92" s="4" t="str">
        <f xml:space="preserve"> Translate!$E$19 &amp;  ": " &amp;  E79</f>
        <v>Total: Replacement capital costs, after ELT</v>
      </c>
      <c r="F92" s="66">
        <f t="shared" ca="1" si="26"/>
        <v>96</v>
      </c>
      <c r="G92" s="4" t="str">
        <f t="shared" si="27"/>
        <v>US$ mn 2021</v>
      </c>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row>
    <row r="93" spans="1:50" s="93" customFormat="1" ht="15" customHeight="1">
      <c r="A93" s="90"/>
      <c r="B93" s="134"/>
      <c r="E93" s="4" t="str">
        <f xml:space="preserve"> Translate!$E$19 &amp;  ": " &amp;  E80</f>
        <v>Total: Operating costs, after ELT</v>
      </c>
      <c r="F93" s="66">
        <f t="shared" ca="1" si="26"/>
        <v>900</v>
      </c>
      <c r="G93" s="4" t="str">
        <f t="shared" si="27"/>
        <v>US$ mn 2021</v>
      </c>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row>
    <row r="94" spans="1:50" s="93" customFormat="1" ht="15" customHeight="1">
      <c r="A94" s="90"/>
      <c r="B94" s="134"/>
      <c r="E94" s="4" t="str">
        <f xml:space="preserve"> Translate!$E$19 &amp;  ": " &amp;  E81</f>
        <v>Total: Decommissioning costs, after ELT</v>
      </c>
      <c r="F94" s="66">
        <f t="shared" ca="1" si="26"/>
        <v>20</v>
      </c>
      <c r="G94" s="4" t="str">
        <f t="shared" si="27"/>
        <v>US$ mn 2021</v>
      </c>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row>
    <row r="95" spans="1:50" s="93" customFormat="1" ht="15" customHeight="1">
      <c r="A95" s="90"/>
      <c r="B95" s="134"/>
      <c r="E95" s="4" t="str">
        <f xml:space="preserve"> Translate!$E$19 &amp;  ": " &amp;  E82</f>
        <v>Total: Project costs, after ELT</v>
      </c>
      <c r="F95" s="66">
        <f t="shared" ca="1" si="26"/>
        <v>1446</v>
      </c>
      <c r="G95" s="4" t="str">
        <f t="shared" si="27"/>
        <v>US$ mn 2021</v>
      </c>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row>
    <row r="96" spans="1:50" s="93" customFormat="1" ht="15" customHeight="1">
      <c r="A96" s="90"/>
      <c r="B96" s="13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row>
    <row r="97" spans="1:50" s="93" customFormat="1" ht="15" customHeight="1">
      <c r="A97" s="90"/>
      <c r="B97" s="134"/>
      <c r="E97" s="4" t="str">
        <f xml:space="preserve"> Translate!$E$19 &amp;  ": " &amp;  E84</f>
        <v>Total: Project cashflow before decommissioning fund</v>
      </c>
      <c r="F97" s="66">
        <f ca="1" xml:space="preserve"> SUM(K84:AX84)</f>
        <v>1504</v>
      </c>
      <c r="G97" s="4" t="str">
        <f xml:space="preserve"> G84</f>
        <v>US$ mn 2021</v>
      </c>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row>
    <row r="98" spans="1:50" s="93" customFormat="1" ht="15" customHeight="1">
      <c r="A98" s="90"/>
      <c r="B98" s="13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row>
    <row r="99" spans="1:50" s="93" customFormat="1" ht="15" customHeight="1">
      <c r="A99" s="90"/>
      <c r="B99" s="134"/>
      <c r="E99" s="4" t="str">
        <f xml:space="preserve"> Translate!$E$444 &amp; ": " &amp; C$72 &amp;  ", " &amp;  Translate!$E$19</f>
        <v>Check: Project cashflows: full-cycle, real, Total</v>
      </c>
      <c r="F99" s="61">
        <f ca="1" xml:space="preserve"> IF( ABS( F86 - F87 - SUM(F90:F94) - F97) &gt; CHK_TOL, 1, 0)</f>
        <v>0</v>
      </c>
      <c r="G99" s="1041" t="str">
        <f xml:space="preserve"> Translate!E$444</f>
        <v>Check</v>
      </c>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row>
    <row r="100" spans="1:50" s="93" customFormat="1" ht="15" customHeight="1">
      <c r="A100" s="90"/>
      <c r="B100" s="13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row>
    <row r="101" spans="1:50" s="93" customFormat="1" ht="15" customHeight="1">
      <c r="A101" s="90"/>
      <c r="B101" s="134"/>
      <c r="C101" s="92" t="str">
        <f xml:space="preserve"> Translate!E$434 &amp; ": " &amp; Inputs!F$83 &amp; ", " &amp; Inputs!F$85</f>
        <v>Unit analysis: full-cycle, real</v>
      </c>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row>
    <row r="102" spans="1:50" s="204" customFormat="1" ht="15" customHeight="1">
      <c r="B102" s="206"/>
      <c r="E102" s="34" t="str">
        <f ca="1" xml:space="preserve"> ProjectCashflows!E$144</f>
        <v>Gold sales, after ELT, Total</v>
      </c>
      <c r="F102" s="34">
        <f ca="1" xml:space="preserve"> ProjectCashflows!F$144</f>
        <v>2000</v>
      </c>
      <c r="G102" s="34" t="str">
        <f ca="1" xml:space="preserve"> ProjectCashflows!G$144</f>
        <v>000 ounce</v>
      </c>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row>
    <row r="103" spans="1:50" s="204" customFormat="1" ht="15" customHeight="1">
      <c r="B103" s="206"/>
      <c r="E103" s="34" t="str">
        <f xml:space="preserve"> Inputs!E$76</f>
        <v>one thousand</v>
      </c>
      <c r="F103" s="34">
        <f xml:space="preserve"> Inputs!F$76</f>
        <v>1000</v>
      </c>
      <c r="G103" s="34" t="str">
        <f xml:space="preserve"> Inputs!G$76</f>
        <v>Constant</v>
      </c>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row>
    <row r="104" spans="1:50" s="204" customFormat="1" ht="15" customHeight="1">
      <c r="B104" s="206"/>
      <c r="E104" s="34" t="str">
        <f xml:space="preserve"> Inputs!E$52</f>
        <v>Label for real terms cashflows</v>
      </c>
      <c r="F104" s="34" t="str">
        <f xml:space="preserve"> Inputs!F$52</f>
        <v>US$ 2021</v>
      </c>
      <c r="G104" s="34" t="str">
        <f xml:space="preserve"> Inputs!G$52</f>
        <v>Label</v>
      </c>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row>
    <row r="105" spans="1:50" s="204" customFormat="1" ht="15" customHeight="1">
      <c r="B105" s="206"/>
      <c r="E105" s="34" t="str">
        <f xml:space="preserve"> ProjectCashflows!E$10</f>
        <v>Mineral units</v>
      </c>
      <c r="F105" s="34" t="str">
        <f ca="1" xml:space="preserve"> ProjectCashflows!F$10</f>
        <v>ounce</v>
      </c>
      <c r="G105" s="34" t="str">
        <f xml:space="preserve"> ProjectCashflows!G$10</f>
        <v>Units</v>
      </c>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row>
    <row r="106" spans="1:50" s="93" customFormat="1" ht="15" customHeight="1">
      <c r="A106" s="90"/>
      <c r="B106" s="13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row>
    <row r="107" spans="1:50" s="93" customFormat="1" ht="15" customHeight="1">
      <c r="A107" s="90"/>
      <c r="B107" s="134"/>
      <c r="E107" s="121" t="str">
        <f xml:space="preserve"> E73</f>
        <v>Sales revenues: gross, after ELT</v>
      </c>
      <c r="F107" s="66">
        <f ca="1" xml:space="preserve"> F86 / F$102 * F$103</f>
        <v>1500</v>
      </c>
      <c r="G107" s="66" t="str">
        <f ca="1" xml:space="preserve"> F$104 &amp; " / " &amp; F$105</f>
        <v>US$ 2021 / ounce</v>
      </c>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row>
    <row r="108" spans="1:50" s="93" customFormat="1" ht="15" customHeight="1">
      <c r="A108" s="90"/>
      <c r="B108" s="134"/>
      <c r="E108" s="4" t="str">
        <f xml:space="preserve"> E74</f>
        <v>Transport costs post-fiscal point, after ELT</v>
      </c>
      <c r="F108" s="66">
        <f ca="1" xml:space="preserve"> F87 / F$102 * F$103</f>
        <v>25</v>
      </c>
      <c r="G108" s="121" t="str">
        <f t="shared" ref="G108:G118" ca="1" si="28" xml:space="preserve"> F$104 &amp; " / " &amp; F$105</f>
        <v>US$ 2021 / ounce</v>
      </c>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row>
    <row r="109" spans="1:50" s="93" customFormat="1" ht="15" customHeight="1">
      <c r="A109" s="90"/>
      <c r="B109" s="134"/>
      <c r="E109" s="4" t="str">
        <f xml:space="preserve"> E75</f>
        <v>Sales revenues: net, after ELT</v>
      </c>
      <c r="F109" s="66">
        <f ca="1" xml:space="preserve"> F88 / F$102 * F$103</f>
        <v>1475</v>
      </c>
      <c r="G109" s="121" t="str">
        <f t="shared" ca="1" si="28"/>
        <v>US$ 2021 / ounce</v>
      </c>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row>
    <row r="110" spans="1:50" s="93" customFormat="1" ht="15" customHeight="1">
      <c r="A110" s="90"/>
      <c r="B110" s="13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row>
    <row r="111" spans="1:50" s="93" customFormat="1" ht="15" customHeight="1">
      <c r="A111" s="90"/>
      <c r="B111" s="134"/>
      <c r="E111" s="4" t="str">
        <f t="shared" ref="E111:E116" si="29" xml:space="preserve"> E77</f>
        <v>Exploration costs, after ELT</v>
      </c>
      <c r="F111" s="66">
        <f t="shared" ref="F111:F116" ca="1" si="30" xml:space="preserve"> F90 / F$102 * F$103</f>
        <v>15</v>
      </c>
      <c r="G111" s="121" t="str">
        <f t="shared" ca="1" si="28"/>
        <v>US$ 2021 / ounce</v>
      </c>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row>
    <row r="112" spans="1:50" s="93" customFormat="1" ht="15" customHeight="1">
      <c r="A112" s="90"/>
      <c r="B112" s="134"/>
      <c r="E112" s="4" t="str">
        <f t="shared" si="29"/>
        <v>Development costs, after ELT</v>
      </c>
      <c r="F112" s="66">
        <f t="shared" ca="1" si="30"/>
        <v>200</v>
      </c>
      <c r="G112" s="121" t="str">
        <f t="shared" ca="1" si="28"/>
        <v>US$ 2021 / ounce</v>
      </c>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row>
    <row r="113" spans="1:50" s="93" customFormat="1" ht="15" customHeight="1">
      <c r="A113" s="90"/>
      <c r="B113" s="134"/>
      <c r="E113" s="4" t="str">
        <f t="shared" si="29"/>
        <v>Replacement capital costs, after ELT</v>
      </c>
      <c r="F113" s="66">
        <f t="shared" ca="1" si="30"/>
        <v>48</v>
      </c>
      <c r="G113" s="121" t="str">
        <f t="shared" ca="1" si="28"/>
        <v>US$ 2021 / ounce</v>
      </c>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row>
    <row r="114" spans="1:50" s="93" customFormat="1" ht="15" customHeight="1">
      <c r="A114" s="90"/>
      <c r="B114" s="134"/>
      <c r="E114" s="4" t="str">
        <f t="shared" si="29"/>
        <v>Operating costs, after ELT</v>
      </c>
      <c r="F114" s="66">
        <f t="shared" ca="1" si="30"/>
        <v>450</v>
      </c>
      <c r="G114" s="121" t="str">
        <f t="shared" ca="1" si="28"/>
        <v>US$ 2021 / ounce</v>
      </c>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row>
    <row r="115" spans="1:50" s="93" customFormat="1" ht="15" customHeight="1">
      <c r="A115" s="90"/>
      <c r="B115" s="134"/>
      <c r="E115" s="4" t="str">
        <f t="shared" si="29"/>
        <v>Decommissioning costs, after ELT</v>
      </c>
      <c r="F115" s="66">
        <f t="shared" ca="1" si="30"/>
        <v>10</v>
      </c>
      <c r="G115" s="121" t="str">
        <f t="shared" ca="1" si="28"/>
        <v>US$ 2021 / ounce</v>
      </c>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row>
    <row r="116" spans="1:50" s="93" customFormat="1" ht="15" customHeight="1">
      <c r="A116" s="90"/>
      <c r="B116" s="134"/>
      <c r="E116" s="4" t="str">
        <f t="shared" si="29"/>
        <v>Project costs, after ELT</v>
      </c>
      <c r="F116" s="66">
        <f t="shared" ca="1" si="30"/>
        <v>723</v>
      </c>
      <c r="G116" s="121" t="str">
        <f t="shared" ca="1" si="28"/>
        <v>US$ 2021 / ounce</v>
      </c>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row>
    <row r="117" spans="1:50" s="93" customFormat="1" ht="15" customHeight="1">
      <c r="A117" s="90"/>
      <c r="B117" s="13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row>
    <row r="118" spans="1:50" s="93" customFormat="1" ht="15" customHeight="1">
      <c r="A118" s="90"/>
      <c r="B118" s="134"/>
      <c r="E118" s="4" t="str">
        <f xml:space="preserve"> E84</f>
        <v>Project cashflow before decommissioning fund</v>
      </c>
      <c r="F118" s="66">
        <f ca="1" xml:space="preserve"> F97 / F$102 * F$103</f>
        <v>752</v>
      </c>
      <c r="G118" s="121" t="str">
        <f t="shared" ca="1" si="28"/>
        <v>US$ 2021 / ounce</v>
      </c>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row>
    <row r="119" spans="1:50" s="93" customFormat="1" ht="15" customHeight="1">
      <c r="A119" s="90"/>
      <c r="B119" s="13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row>
    <row r="120" spans="1:50" s="93" customFormat="1" ht="15" customHeight="1">
      <c r="A120" s="90"/>
      <c r="B120" s="134"/>
      <c r="E120" s="4" t="str">
        <f xml:space="preserve"> Translate!$E$444 &amp; ": " &amp; C$101</f>
        <v>Check: Unit analysis: full-cycle, real</v>
      </c>
      <c r="F120" s="61">
        <f ca="1" xml:space="preserve"> IF( ABS(F107 - F108 - SUM(F111:F115) - F118) &gt; CHK_TOL, 1, 0)</f>
        <v>0</v>
      </c>
      <c r="G120" s="1041" t="str">
        <f xml:space="preserve"> Translate!E$444</f>
        <v>Check</v>
      </c>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row>
    <row r="121" spans="1:50" s="93" customFormat="1" ht="15" customHeight="1">
      <c r="A121" s="90"/>
      <c r="B121" s="13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row>
    <row r="122" spans="1:50" s="93" customFormat="1" ht="15" customHeight="1">
      <c r="A122" s="90"/>
      <c r="C122" s="92" t="str">
        <f>Translate!$E$16 &amp; ": " &amp; Inputs!F$83 &amp; ", " &amp; Inputs!F$85</f>
        <v>Project participants: full-cycle, real</v>
      </c>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row>
    <row r="123" spans="1:50" s="93" customFormat="1" ht="15" customHeight="1">
      <c r="A123" s="90"/>
      <c r="B123" s="134"/>
      <c r="E123" s="93" t="str">
        <f t="shared" ref="E123:E131" si="31" xml:space="preserve"> E22</f>
        <v>Project cashflow before decommissioning fund</v>
      </c>
      <c r="G123" s="93" t="str">
        <f t="shared" ref="G123:G131" si="32" xml:space="preserve"> $F$70</f>
        <v>US$ mn 2021</v>
      </c>
      <c r="I123" s="93">
        <f t="shared" ref="I123:I131" ca="1" si="33" xml:space="preserve"> SUM(K123:AX123)</f>
        <v>1504</v>
      </c>
      <c r="K123" s="93">
        <f t="shared" ref="K123:AX123" ca="1" si="34" xml:space="preserve"> K22 / K$69</f>
        <v>-10</v>
      </c>
      <c r="L123" s="93">
        <f t="shared" ca="1" si="34"/>
        <v>-10</v>
      </c>
      <c r="M123" s="93">
        <f t="shared" ca="1" si="34"/>
        <v>-10</v>
      </c>
      <c r="N123" s="93">
        <f t="shared" ca="1" si="34"/>
        <v>-50</v>
      </c>
      <c r="O123" s="93">
        <f t="shared" ca="1" si="34"/>
        <v>-239.75000000000006</v>
      </c>
      <c r="P123" s="93">
        <f t="shared" ca="1" si="34"/>
        <v>-31.125000000000004</v>
      </c>
      <c r="Q123" s="93">
        <f t="shared" ca="1" si="34"/>
        <v>145.75</v>
      </c>
      <c r="R123" s="93">
        <f t="shared" ca="1" si="34"/>
        <v>145.74999999999997</v>
      </c>
      <c r="S123" s="93">
        <f t="shared" ca="1" si="34"/>
        <v>145.74999999999997</v>
      </c>
      <c r="T123" s="93">
        <f t="shared" ca="1" si="34"/>
        <v>145.75000000000003</v>
      </c>
      <c r="U123" s="93">
        <f t="shared" ca="1" si="34"/>
        <v>145.75</v>
      </c>
      <c r="V123" s="93">
        <f t="shared" ca="1" si="34"/>
        <v>145.74999999999997</v>
      </c>
      <c r="W123" s="93">
        <f t="shared" ca="1" si="34"/>
        <v>145.75</v>
      </c>
      <c r="X123" s="93">
        <f t="shared" ca="1" si="34"/>
        <v>145.74999999999997</v>
      </c>
      <c r="Y123" s="93">
        <f t="shared" ca="1" si="34"/>
        <v>145.75000000000003</v>
      </c>
      <c r="Z123" s="93">
        <f t="shared" ca="1" si="34"/>
        <v>145.75</v>
      </c>
      <c r="AA123" s="93">
        <f t="shared" ca="1" si="34"/>
        <v>120.12500000000001</v>
      </c>
      <c r="AB123" s="93">
        <f t="shared" ca="1" si="34"/>
        <v>102.5</v>
      </c>
      <c r="AC123" s="93">
        <f t="shared" ca="1" si="34"/>
        <v>76.875</v>
      </c>
      <c r="AD123" s="93">
        <f t="shared" ca="1" si="34"/>
        <v>66.624999999999986</v>
      </c>
      <c r="AE123" s="93">
        <f t="shared" ca="1" si="34"/>
        <v>51.249999999999993</v>
      </c>
      <c r="AF123" s="93">
        <f t="shared" ca="1" si="34"/>
        <v>-20</v>
      </c>
      <c r="AG123" s="93">
        <f t="shared" ca="1" si="34"/>
        <v>0</v>
      </c>
      <c r="AH123" s="93">
        <f t="shared" ca="1" si="34"/>
        <v>0</v>
      </c>
      <c r="AI123" s="93">
        <f t="shared" ca="1" si="34"/>
        <v>0</v>
      </c>
      <c r="AJ123" s="93">
        <f t="shared" ca="1" si="34"/>
        <v>0</v>
      </c>
      <c r="AK123" s="93">
        <f t="shared" ca="1" si="34"/>
        <v>0</v>
      </c>
      <c r="AL123" s="93">
        <f t="shared" ca="1" si="34"/>
        <v>0</v>
      </c>
      <c r="AM123" s="93">
        <f t="shared" ca="1" si="34"/>
        <v>0</v>
      </c>
      <c r="AN123" s="93">
        <f t="shared" ca="1" si="34"/>
        <v>0</v>
      </c>
      <c r="AO123" s="93">
        <f t="shared" ca="1" si="34"/>
        <v>0</v>
      </c>
      <c r="AP123" s="93">
        <f t="shared" ca="1" si="34"/>
        <v>0</v>
      </c>
      <c r="AQ123" s="93">
        <f t="shared" ca="1" si="34"/>
        <v>0</v>
      </c>
      <c r="AR123" s="93">
        <f t="shared" ca="1" si="34"/>
        <v>0</v>
      </c>
      <c r="AS123" s="93">
        <f t="shared" ca="1" si="34"/>
        <v>0</v>
      </c>
      <c r="AT123" s="93">
        <f t="shared" ca="1" si="34"/>
        <v>0</v>
      </c>
      <c r="AU123" s="93">
        <f t="shared" ca="1" si="34"/>
        <v>0</v>
      </c>
      <c r="AV123" s="93">
        <f t="shared" ca="1" si="34"/>
        <v>0</v>
      </c>
      <c r="AW123" s="93">
        <f t="shared" ca="1" si="34"/>
        <v>0</v>
      </c>
      <c r="AX123" s="93">
        <f t="shared" ca="1" si="34"/>
        <v>0</v>
      </c>
    </row>
    <row r="124" spans="1:50" s="93" customFormat="1" ht="15" customHeight="1">
      <c r="A124" s="90"/>
      <c r="B124" s="134"/>
      <c r="E124" s="93" t="str">
        <f t="shared" si="31"/>
        <v>Net decommissioning cashflows</v>
      </c>
      <c r="G124" s="93" t="str">
        <f t="shared" si="32"/>
        <v>US$ mn 2021</v>
      </c>
      <c r="I124" s="93">
        <f t="shared" ca="1" si="33"/>
        <v>-0.40000000000000924</v>
      </c>
      <c r="K124" s="93">
        <f t="shared" ref="K124:AX124" ca="1" si="35" xml:space="preserve"> K23 / K$69</f>
        <v>0</v>
      </c>
      <c r="L124" s="93">
        <f t="shared" ca="1" si="35"/>
        <v>0</v>
      </c>
      <c r="M124" s="93">
        <f t="shared" ca="1" si="35"/>
        <v>0</v>
      </c>
      <c r="N124" s="93">
        <f t="shared" ca="1" si="35"/>
        <v>0</v>
      </c>
      <c r="O124" s="93">
        <f t="shared" ca="1" si="35"/>
        <v>0</v>
      </c>
      <c r="P124" s="93">
        <f t="shared" ca="1" si="35"/>
        <v>0</v>
      </c>
      <c r="Q124" s="93">
        <f t="shared" ca="1" si="35"/>
        <v>0</v>
      </c>
      <c r="R124" s="93">
        <f t="shared" ca="1" si="35"/>
        <v>0</v>
      </c>
      <c r="S124" s="93">
        <f t="shared" ca="1" si="35"/>
        <v>0</v>
      </c>
      <c r="T124" s="93">
        <f t="shared" ca="1" si="35"/>
        <v>0</v>
      </c>
      <c r="U124" s="93">
        <f t="shared" ca="1" si="35"/>
        <v>0</v>
      </c>
      <c r="V124" s="93">
        <f t="shared" ca="1" si="35"/>
        <v>0</v>
      </c>
      <c r="W124" s="93">
        <f t="shared" ca="1" si="35"/>
        <v>0</v>
      </c>
      <c r="X124" s="93">
        <f t="shared" ca="1" si="35"/>
        <v>-2.7301959826752547</v>
      </c>
      <c r="Y124" s="93">
        <f t="shared" ca="1" si="35"/>
        <v>-2.6766627281129947</v>
      </c>
      <c r="Z124" s="93">
        <f t="shared" ca="1" si="35"/>
        <v>-2.6241791452088181</v>
      </c>
      <c r="AA124" s="93">
        <f t="shared" ca="1" si="35"/>
        <v>-2.5727246521655078</v>
      </c>
      <c r="AB124" s="93">
        <f t="shared" ca="1" si="35"/>
        <v>-2.5222790707504976</v>
      </c>
      <c r="AC124" s="93">
        <f t="shared" ca="1" si="35"/>
        <v>-2.4728226183828408</v>
      </c>
      <c r="AD124" s="93">
        <f t="shared" ca="1" si="35"/>
        <v>-2.4243359003753344</v>
      </c>
      <c r="AE124" s="93">
        <f t="shared" ca="1" si="35"/>
        <v>-2.3767999023287589</v>
      </c>
      <c r="AF124" s="93">
        <f t="shared" ca="1" si="35"/>
        <v>20</v>
      </c>
      <c r="AG124" s="93">
        <f t="shared" ca="1" si="35"/>
        <v>0</v>
      </c>
      <c r="AH124" s="93">
        <f t="shared" ca="1" si="35"/>
        <v>0</v>
      </c>
      <c r="AI124" s="93">
        <f t="shared" ca="1" si="35"/>
        <v>0</v>
      </c>
      <c r="AJ124" s="93">
        <f t="shared" ca="1" si="35"/>
        <v>0</v>
      </c>
      <c r="AK124" s="93">
        <f t="shared" ca="1" si="35"/>
        <v>0</v>
      </c>
      <c r="AL124" s="93">
        <f t="shared" ca="1" si="35"/>
        <v>0</v>
      </c>
      <c r="AM124" s="93">
        <f t="shared" ca="1" si="35"/>
        <v>0</v>
      </c>
      <c r="AN124" s="93">
        <f t="shared" ca="1" si="35"/>
        <v>0</v>
      </c>
      <c r="AO124" s="93">
        <f t="shared" ca="1" si="35"/>
        <v>0</v>
      </c>
      <c r="AP124" s="93">
        <f t="shared" ca="1" si="35"/>
        <v>0</v>
      </c>
      <c r="AQ124" s="93">
        <f t="shared" ca="1" si="35"/>
        <v>0</v>
      </c>
      <c r="AR124" s="93">
        <f t="shared" ca="1" si="35"/>
        <v>0</v>
      </c>
      <c r="AS124" s="93">
        <f t="shared" ca="1" si="35"/>
        <v>0</v>
      </c>
      <c r="AT124" s="93">
        <f t="shared" ca="1" si="35"/>
        <v>0</v>
      </c>
      <c r="AU124" s="93">
        <f t="shared" ca="1" si="35"/>
        <v>0</v>
      </c>
      <c r="AV124" s="93">
        <f t="shared" ca="1" si="35"/>
        <v>0</v>
      </c>
      <c r="AW124" s="93">
        <f t="shared" ca="1" si="35"/>
        <v>0</v>
      </c>
      <c r="AX124" s="93">
        <f t="shared" ca="1" si="35"/>
        <v>0</v>
      </c>
    </row>
    <row r="125" spans="1:50" s="93" customFormat="1" ht="15" customHeight="1">
      <c r="A125" s="90"/>
      <c r="B125" s="134"/>
      <c r="E125" s="93" t="str">
        <f t="shared" si="31"/>
        <v>Government revenues excluding participation</v>
      </c>
      <c r="G125" s="93" t="str">
        <f t="shared" si="32"/>
        <v>US$ mn 2021</v>
      </c>
      <c r="I125" s="93">
        <f t="shared" ca="1" si="33"/>
        <v>611.79250460841865</v>
      </c>
      <c r="K125" s="93">
        <f t="shared" ref="K125:AX125" ca="1" si="36" xml:space="preserve"> K24 / K$69</f>
        <v>0</v>
      </c>
      <c r="L125" s="93">
        <f t="shared" ca="1" si="36"/>
        <v>0</v>
      </c>
      <c r="M125" s="93">
        <f t="shared" ca="1" si="36"/>
        <v>0</v>
      </c>
      <c r="N125" s="93">
        <f t="shared" ca="1" si="36"/>
        <v>0</v>
      </c>
      <c r="O125" s="93">
        <f t="shared" ca="1" si="36"/>
        <v>0.73750000000000004</v>
      </c>
      <c r="P125" s="93">
        <f t="shared" ca="1" si="36"/>
        <v>8.8656249999999996</v>
      </c>
      <c r="Q125" s="93">
        <f t="shared" ca="1" si="36"/>
        <v>18.595652328431374</v>
      </c>
      <c r="R125" s="93">
        <f t="shared" ca="1" si="36"/>
        <v>18.712036596501338</v>
      </c>
      <c r="S125" s="93">
        <f t="shared" ca="1" si="36"/>
        <v>25.901850013156011</v>
      </c>
      <c r="T125" s="93">
        <f t="shared" ca="1" si="36"/>
        <v>46.29910934689709</v>
      </c>
      <c r="U125" s="93">
        <f t="shared" ca="1" si="36"/>
        <v>52.085327833092393</v>
      </c>
      <c r="V125" s="93">
        <f t="shared" ca="1" si="36"/>
        <v>58.550023788694524</v>
      </c>
      <c r="W125" s="93">
        <f t="shared" ca="1" si="36"/>
        <v>58.550023788694531</v>
      </c>
      <c r="X125" s="93">
        <f t="shared" ca="1" si="36"/>
        <v>57.588994802792826</v>
      </c>
      <c r="Y125" s="93">
        <f t="shared" ca="1" si="36"/>
        <v>57.607838508398771</v>
      </c>
      <c r="Z125" s="93">
        <f t="shared" ca="1" si="36"/>
        <v>57.626312729581016</v>
      </c>
      <c r="AA125" s="93">
        <f t="shared" ca="1" si="36"/>
        <v>47.429674711132279</v>
      </c>
      <c r="AB125" s="93">
        <f t="shared" ca="1" si="36"/>
        <v>38.435881555790353</v>
      </c>
      <c r="AC125" s="93">
        <f t="shared" ca="1" si="36"/>
        <v>28.28939753761021</v>
      </c>
      <c r="AD125" s="93">
        <f t="shared" ca="1" si="36"/>
        <v>20.591642791157952</v>
      </c>
      <c r="AE125" s="93">
        <f t="shared" ca="1" si="36"/>
        <v>15.925613276488066</v>
      </c>
      <c r="AF125" s="93">
        <f t="shared" ca="1" si="36"/>
        <v>0</v>
      </c>
      <c r="AG125" s="93">
        <f t="shared" ca="1" si="36"/>
        <v>0</v>
      </c>
      <c r="AH125" s="93">
        <f t="shared" ca="1" si="36"/>
        <v>0</v>
      </c>
      <c r="AI125" s="93">
        <f t="shared" ca="1" si="36"/>
        <v>0</v>
      </c>
      <c r="AJ125" s="93">
        <f t="shared" ca="1" si="36"/>
        <v>0</v>
      </c>
      <c r="AK125" s="93">
        <f t="shared" ca="1" si="36"/>
        <v>0</v>
      </c>
      <c r="AL125" s="93">
        <f t="shared" ca="1" si="36"/>
        <v>0</v>
      </c>
      <c r="AM125" s="93">
        <f t="shared" ca="1" si="36"/>
        <v>0</v>
      </c>
      <c r="AN125" s="93">
        <f t="shared" ca="1" si="36"/>
        <v>0</v>
      </c>
      <c r="AO125" s="93">
        <f t="shared" ca="1" si="36"/>
        <v>0</v>
      </c>
      <c r="AP125" s="93">
        <f t="shared" ca="1" si="36"/>
        <v>0</v>
      </c>
      <c r="AQ125" s="93">
        <f t="shared" ca="1" si="36"/>
        <v>0</v>
      </c>
      <c r="AR125" s="93">
        <f t="shared" ca="1" si="36"/>
        <v>0</v>
      </c>
      <c r="AS125" s="93">
        <f t="shared" ca="1" si="36"/>
        <v>0</v>
      </c>
      <c r="AT125" s="93">
        <f t="shared" ca="1" si="36"/>
        <v>0</v>
      </c>
      <c r="AU125" s="93">
        <f t="shared" ca="1" si="36"/>
        <v>0</v>
      </c>
      <c r="AV125" s="93">
        <f t="shared" ca="1" si="36"/>
        <v>0</v>
      </c>
      <c r="AW125" s="93">
        <f t="shared" ca="1" si="36"/>
        <v>0</v>
      </c>
      <c r="AX125" s="93">
        <f t="shared" ca="1" si="36"/>
        <v>0</v>
      </c>
    </row>
    <row r="126" spans="1:50" s="93" customFormat="1" ht="15" customHeight="1">
      <c r="A126" s="90"/>
      <c r="B126" s="134"/>
      <c r="E126" s="93" t="str">
        <f t="shared" si="31"/>
        <v>State participation cashflows including share of loan</v>
      </c>
      <c r="G126" s="93" t="str">
        <f t="shared" si="32"/>
        <v>US$ mn 2021</v>
      </c>
      <c r="I126" s="93">
        <f t="shared" ca="1" si="33"/>
        <v>0</v>
      </c>
      <c r="K126" s="93">
        <f t="shared" ref="K126:AX126" ca="1" si="37" xml:space="preserve"> K25 / K$69</f>
        <v>0</v>
      </c>
      <c r="L126" s="93">
        <f t="shared" ca="1" si="37"/>
        <v>0</v>
      </c>
      <c r="M126" s="93">
        <f t="shared" ca="1" si="37"/>
        <v>0</v>
      </c>
      <c r="N126" s="93">
        <f t="shared" ca="1" si="37"/>
        <v>0</v>
      </c>
      <c r="O126" s="93">
        <f t="shared" ca="1" si="37"/>
        <v>0</v>
      </c>
      <c r="P126" s="93">
        <f t="shared" ca="1" si="37"/>
        <v>0</v>
      </c>
      <c r="Q126" s="93">
        <f t="shared" ca="1" si="37"/>
        <v>0</v>
      </c>
      <c r="R126" s="93">
        <f t="shared" ca="1" si="37"/>
        <v>0</v>
      </c>
      <c r="S126" s="93">
        <f t="shared" ca="1" si="37"/>
        <v>0</v>
      </c>
      <c r="T126" s="93">
        <f t="shared" ca="1" si="37"/>
        <v>0</v>
      </c>
      <c r="U126" s="93">
        <f t="shared" ca="1" si="37"/>
        <v>0</v>
      </c>
      <c r="V126" s="93">
        <f t="shared" ca="1" si="37"/>
        <v>0</v>
      </c>
      <c r="W126" s="93">
        <f t="shared" ca="1" si="37"/>
        <v>0</v>
      </c>
      <c r="X126" s="93">
        <f t="shared" ca="1" si="37"/>
        <v>0</v>
      </c>
      <c r="Y126" s="93">
        <f t="shared" ca="1" si="37"/>
        <v>0</v>
      </c>
      <c r="Z126" s="93">
        <f t="shared" ca="1" si="37"/>
        <v>0</v>
      </c>
      <c r="AA126" s="93">
        <f t="shared" ca="1" si="37"/>
        <v>0</v>
      </c>
      <c r="AB126" s="93">
        <f t="shared" ca="1" si="37"/>
        <v>0</v>
      </c>
      <c r="AC126" s="93">
        <f t="shared" ca="1" si="37"/>
        <v>0</v>
      </c>
      <c r="AD126" s="93">
        <f t="shared" ca="1" si="37"/>
        <v>0</v>
      </c>
      <c r="AE126" s="93">
        <f t="shared" ca="1" si="37"/>
        <v>0</v>
      </c>
      <c r="AF126" s="93">
        <f t="shared" ca="1" si="37"/>
        <v>0</v>
      </c>
      <c r="AG126" s="93">
        <f t="shared" ca="1" si="37"/>
        <v>0</v>
      </c>
      <c r="AH126" s="93">
        <f t="shared" ca="1" si="37"/>
        <v>0</v>
      </c>
      <c r="AI126" s="93">
        <f t="shared" ca="1" si="37"/>
        <v>0</v>
      </c>
      <c r="AJ126" s="93">
        <f t="shared" ca="1" si="37"/>
        <v>0</v>
      </c>
      <c r="AK126" s="93">
        <f t="shared" ca="1" si="37"/>
        <v>0</v>
      </c>
      <c r="AL126" s="93">
        <f t="shared" ca="1" si="37"/>
        <v>0</v>
      </c>
      <c r="AM126" s="93">
        <f t="shared" ca="1" si="37"/>
        <v>0</v>
      </c>
      <c r="AN126" s="93">
        <f t="shared" ca="1" si="37"/>
        <v>0</v>
      </c>
      <c r="AO126" s="93">
        <f t="shared" ca="1" si="37"/>
        <v>0</v>
      </c>
      <c r="AP126" s="93">
        <f t="shared" ca="1" si="37"/>
        <v>0</v>
      </c>
      <c r="AQ126" s="93">
        <f t="shared" ca="1" si="37"/>
        <v>0</v>
      </c>
      <c r="AR126" s="93">
        <f t="shared" ca="1" si="37"/>
        <v>0</v>
      </c>
      <c r="AS126" s="93">
        <f t="shared" ca="1" si="37"/>
        <v>0</v>
      </c>
      <c r="AT126" s="93">
        <f t="shared" ca="1" si="37"/>
        <v>0</v>
      </c>
      <c r="AU126" s="93">
        <f t="shared" ca="1" si="37"/>
        <v>0</v>
      </c>
      <c r="AV126" s="93">
        <f t="shared" ca="1" si="37"/>
        <v>0</v>
      </c>
      <c r="AW126" s="93">
        <f t="shared" ca="1" si="37"/>
        <v>0</v>
      </c>
      <c r="AX126" s="93">
        <f t="shared" ca="1" si="37"/>
        <v>0</v>
      </c>
    </row>
    <row r="127" spans="1:50" s="93" customFormat="1" ht="15" customHeight="1">
      <c r="A127" s="90"/>
      <c r="B127" s="134"/>
      <c r="E127" s="93" t="str">
        <f t="shared" si="31"/>
        <v>Government revenues including participation</v>
      </c>
      <c r="G127" s="93" t="str">
        <f t="shared" si="32"/>
        <v>US$ mn 2021</v>
      </c>
      <c r="I127" s="93">
        <f t="shared" ca="1" si="33"/>
        <v>611.79250460841865</v>
      </c>
      <c r="K127" s="93">
        <f t="shared" ref="K127:AX127" ca="1" si="38" xml:space="preserve"> K26 / K$69</f>
        <v>0</v>
      </c>
      <c r="L127" s="93">
        <f t="shared" ca="1" si="38"/>
        <v>0</v>
      </c>
      <c r="M127" s="93">
        <f t="shared" ca="1" si="38"/>
        <v>0</v>
      </c>
      <c r="N127" s="93">
        <f t="shared" ca="1" si="38"/>
        <v>0</v>
      </c>
      <c r="O127" s="93">
        <f t="shared" ca="1" si="38"/>
        <v>0.73750000000000004</v>
      </c>
      <c r="P127" s="93">
        <f t="shared" ca="1" si="38"/>
        <v>8.8656249999999996</v>
      </c>
      <c r="Q127" s="93">
        <f t="shared" ca="1" si="38"/>
        <v>18.595652328431374</v>
      </c>
      <c r="R127" s="93">
        <f t="shared" ca="1" si="38"/>
        <v>18.712036596501338</v>
      </c>
      <c r="S127" s="93">
        <f t="shared" ca="1" si="38"/>
        <v>25.901850013156011</v>
      </c>
      <c r="T127" s="93">
        <f t="shared" ca="1" si="38"/>
        <v>46.29910934689709</v>
      </c>
      <c r="U127" s="93">
        <f t="shared" ca="1" si="38"/>
        <v>52.085327833092393</v>
      </c>
      <c r="V127" s="93">
        <f t="shared" ca="1" si="38"/>
        <v>58.550023788694524</v>
      </c>
      <c r="W127" s="93">
        <f t="shared" ca="1" si="38"/>
        <v>58.550023788694531</v>
      </c>
      <c r="X127" s="93">
        <f t="shared" ca="1" si="38"/>
        <v>57.588994802792826</v>
      </c>
      <c r="Y127" s="93">
        <f t="shared" ca="1" si="38"/>
        <v>57.607838508398771</v>
      </c>
      <c r="Z127" s="93">
        <f t="shared" ca="1" si="38"/>
        <v>57.626312729581016</v>
      </c>
      <c r="AA127" s="93">
        <f t="shared" ca="1" si="38"/>
        <v>47.429674711132279</v>
      </c>
      <c r="AB127" s="93">
        <f t="shared" ca="1" si="38"/>
        <v>38.435881555790353</v>
      </c>
      <c r="AC127" s="93">
        <f t="shared" ca="1" si="38"/>
        <v>28.28939753761021</v>
      </c>
      <c r="AD127" s="93">
        <f t="shared" ca="1" si="38"/>
        <v>20.591642791157952</v>
      </c>
      <c r="AE127" s="93">
        <f t="shared" ca="1" si="38"/>
        <v>15.925613276488066</v>
      </c>
      <c r="AF127" s="93">
        <f t="shared" ca="1" si="38"/>
        <v>0</v>
      </c>
      <c r="AG127" s="93">
        <f t="shared" ca="1" si="38"/>
        <v>0</v>
      </c>
      <c r="AH127" s="93">
        <f t="shared" ca="1" si="38"/>
        <v>0</v>
      </c>
      <c r="AI127" s="93">
        <f t="shared" ca="1" si="38"/>
        <v>0</v>
      </c>
      <c r="AJ127" s="93">
        <f t="shared" ca="1" si="38"/>
        <v>0</v>
      </c>
      <c r="AK127" s="93">
        <f t="shared" ca="1" si="38"/>
        <v>0</v>
      </c>
      <c r="AL127" s="93">
        <f t="shared" ca="1" si="38"/>
        <v>0</v>
      </c>
      <c r="AM127" s="93">
        <f t="shared" ca="1" si="38"/>
        <v>0</v>
      </c>
      <c r="AN127" s="93">
        <f t="shared" ca="1" si="38"/>
        <v>0</v>
      </c>
      <c r="AO127" s="93">
        <f t="shared" ca="1" si="38"/>
        <v>0</v>
      </c>
      <c r="AP127" s="93">
        <f t="shared" ca="1" si="38"/>
        <v>0</v>
      </c>
      <c r="AQ127" s="93">
        <f t="shared" ca="1" si="38"/>
        <v>0</v>
      </c>
      <c r="AR127" s="93">
        <f t="shared" ca="1" si="38"/>
        <v>0</v>
      </c>
      <c r="AS127" s="93">
        <f t="shared" ca="1" si="38"/>
        <v>0</v>
      </c>
      <c r="AT127" s="93">
        <f t="shared" ca="1" si="38"/>
        <v>0</v>
      </c>
      <c r="AU127" s="93">
        <f t="shared" ca="1" si="38"/>
        <v>0</v>
      </c>
      <c r="AV127" s="93">
        <f t="shared" ca="1" si="38"/>
        <v>0</v>
      </c>
      <c r="AW127" s="93">
        <f t="shared" ca="1" si="38"/>
        <v>0</v>
      </c>
      <c r="AX127" s="93">
        <f t="shared" ca="1" si="38"/>
        <v>0</v>
      </c>
    </row>
    <row r="128" spans="1:50" s="93" customFormat="1" ht="15" customHeight="1">
      <c r="A128" s="90"/>
      <c r="B128" s="134"/>
      <c r="E128" s="93" t="str">
        <f t="shared" si="31"/>
        <v>Net cashflow after fiscal regime: Parent company (excluding loan)</v>
      </c>
      <c r="G128" s="93" t="str">
        <f t="shared" si="32"/>
        <v>US$ mn 2021</v>
      </c>
      <c r="I128" s="93">
        <f t="shared" ca="1" si="33"/>
        <v>831.01304756082709</v>
      </c>
      <c r="K128" s="93">
        <f t="shared" ref="K128:AX128" ca="1" si="39" xml:space="preserve"> K27 / K$69</f>
        <v>-10</v>
      </c>
      <c r="L128" s="93">
        <f t="shared" ca="1" si="39"/>
        <v>-10</v>
      </c>
      <c r="M128" s="93">
        <f t="shared" ca="1" si="39"/>
        <v>-10</v>
      </c>
      <c r="N128" s="93">
        <f t="shared" ca="1" si="39"/>
        <v>-15.000000000000004</v>
      </c>
      <c r="O128" s="93">
        <f t="shared" ca="1" si="39"/>
        <v>-65.487500000000026</v>
      </c>
      <c r="P128" s="93">
        <f t="shared" ca="1" si="39"/>
        <v>30.009374999999988</v>
      </c>
      <c r="Q128" s="93">
        <f t="shared" ca="1" si="39"/>
        <v>48.834136395220533</v>
      </c>
      <c r="R128" s="93">
        <f t="shared" ca="1" si="39"/>
        <v>53.971919909169479</v>
      </c>
      <c r="S128" s="93">
        <f t="shared" ca="1" si="39"/>
        <v>51.860340055968031</v>
      </c>
      <c r="T128" s="93">
        <f t="shared" ca="1" si="39"/>
        <v>36.3702593914172</v>
      </c>
      <c r="U128" s="93">
        <f t="shared" ca="1" si="39"/>
        <v>35.324920299392332</v>
      </c>
      <c r="V128" s="93">
        <f t="shared" ca="1" si="39"/>
        <v>87.19997621130544</v>
      </c>
      <c r="W128" s="93">
        <f t="shared" ca="1" si="39"/>
        <v>87.199976211305483</v>
      </c>
      <c r="X128" s="93">
        <f t="shared" ca="1" si="39"/>
        <v>85.430809214531905</v>
      </c>
      <c r="Y128" s="93">
        <f t="shared" ca="1" si="39"/>
        <v>85.465498763488256</v>
      </c>
      <c r="Z128" s="93">
        <f t="shared" ca="1" si="39"/>
        <v>85.499508125210156</v>
      </c>
      <c r="AA128" s="93">
        <f t="shared" ca="1" si="39"/>
        <v>70.122600636702245</v>
      </c>
      <c r="AB128" s="93">
        <f t="shared" ca="1" si="39"/>
        <v>61.541839373459155</v>
      </c>
      <c r="AC128" s="93">
        <f t="shared" ca="1" si="39"/>
        <v>46.112779844006937</v>
      </c>
      <c r="AD128" s="93">
        <f t="shared" ca="1" si="39"/>
        <v>43.609021308466701</v>
      </c>
      <c r="AE128" s="93">
        <f t="shared" ca="1" si="39"/>
        <v>32.947586821183165</v>
      </c>
      <c r="AF128" s="93">
        <f t="shared" ca="1" si="39"/>
        <v>0</v>
      </c>
      <c r="AG128" s="93">
        <f t="shared" ca="1" si="39"/>
        <v>0</v>
      </c>
      <c r="AH128" s="93">
        <f t="shared" ca="1" si="39"/>
        <v>0</v>
      </c>
      <c r="AI128" s="93">
        <f t="shared" ca="1" si="39"/>
        <v>0</v>
      </c>
      <c r="AJ128" s="93">
        <f t="shared" ca="1" si="39"/>
        <v>0</v>
      </c>
      <c r="AK128" s="93">
        <f t="shared" ca="1" si="39"/>
        <v>0</v>
      </c>
      <c r="AL128" s="93">
        <f t="shared" ca="1" si="39"/>
        <v>0</v>
      </c>
      <c r="AM128" s="93">
        <f t="shared" ca="1" si="39"/>
        <v>0</v>
      </c>
      <c r="AN128" s="93">
        <f t="shared" ca="1" si="39"/>
        <v>0</v>
      </c>
      <c r="AO128" s="93">
        <f t="shared" ca="1" si="39"/>
        <v>0</v>
      </c>
      <c r="AP128" s="93">
        <f t="shared" ca="1" si="39"/>
        <v>0</v>
      </c>
      <c r="AQ128" s="93">
        <f t="shared" ca="1" si="39"/>
        <v>0</v>
      </c>
      <c r="AR128" s="93">
        <f t="shared" ca="1" si="39"/>
        <v>0</v>
      </c>
      <c r="AS128" s="93">
        <f t="shared" ca="1" si="39"/>
        <v>0</v>
      </c>
      <c r="AT128" s="93">
        <f t="shared" ca="1" si="39"/>
        <v>0</v>
      </c>
      <c r="AU128" s="93">
        <f t="shared" ca="1" si="39"/>
        <v>0</v>
      </c>
      <c r="AV128" s="93">
        <f t="shared" ca="1" si="39"/>
        <v>0</v>
      </c>
      <c r="AW128" s="93">
        <f t="shared" ca="1" si="39"/>
        <v>0</v>
      </c>
      <c r="AX128" s="93">
        <f t="shared" ca="1" si="39"/>
        <v>0</v>
      </c>
    </row>
    <row r="129" spans="1:50" s="93" customFormat="1" ht="15" customHeight="1">
      <c r="A129" s="90"/>
      <c r="B129" s="134"/>
      <c r="E129" s="93" t="str">
        <f t="shared" si="31"/>
        <v>Project loan cashflows net of state participation share, met by parent company</v>
      </c>
      <c r="G129" s="93" t="str">
        <f t="shared" si="32"/>
        <v>US$ mn 2021</v>
      </c>
      <c r="I129" s="93">
        <f t="shared" ca="1" si="33"/>
        <v>60.794447830754194</v>
      </c>
      <c r="K129" s="93">
        <f t="shared" ref="K129:AX129" ca="1" si="40" xml:space="preserve"> K28 / K$69</f>
        <v>0</v>
      </c>
      <c r="L129" s="93">
        <f t="shared" ca="1" si="40"/>
        <v>0</v>
      </c>
      <c r="M129" s="93">
        <f t="shared" ca="1" si="40"/>
        <v>0</v>
      </c>
      <c r="N129" s="93">
        <f t="shared" ca="1" si="40"/>
        <v>-34.999999999999993</v>
      </c>
      <c r="O129" s="93">
        <f t="shared" ca="1" si="40"/>
        <v>-175</v>
      </c>
      <c r="P129" s="93">
        <f t="shared" ca="1" si="40"/>
        <v>-69.999999999999986</v>
      </c>
      <c r="Q129" s="93">
        <f t="shared" ca="1" si="40"/>
        <v>78.320211276348076</v>
      </c>
      <c r="R129" s="93">
        <f t="shared" ca="1" si="40"/>
        <v>73.066043494329136</v>
      </c>
      <c r="S129" s="93">
        <f t="shared" ca="1" si="40"/>
        <v>67.987809930875954</v>
      </c>
      <c r="T129" s="93">
        <f t="shared" ca="1" si="40"/>
        <v>63.080631261685731</v>
      </c>
      <c r="U129" s="93">
        <f t="shared" ca="1" si="40"/>
        <v>58.339751867515311</v>
      </c>
      <c r="V129" s="93">
        <f t="shared" ca="1" si="40"/>
        <v>0</v>
      </c>
      <c r="W129" s="93">
        <f t="shared" ca="1" si="40"/>
        <v>0</v>
      </c>
      <c r="X129" s="93">
        <f t="shared" ca="1" si="40"/>
        <v>0</v>
      </c>
      <c r="Y129" s="93">
        <f t="shared" ca="1" si="40"/>
        <v>0</v>
      </c>
      <c r="Z129" s="93">
        <f t="shared" ca="1" si="40"/>
        <v>0</v>
      </c>
      <c r="AA129" s="93">
        <f t="shared" ca="1" si="40"/>
        <v>0</v>
      </c>
      <c r="AB129" s="93">
        <f t="shared" ca="1" si="40"/>
        <v>0</v>
      </c>
      <c r="AC129" s="93">
        <f t="shared" ca="1" si="40"/>
        <v>0</v>
      </c>
      <c r="AD129" s="93">
        <f t="shared" ca="1" si="40"/>
        <v>0</v>
      </c>
      <c r="AE129" s="93">
        <f t="shared" ca="1" si="40"/>
        <v>0</v>
      </c>
      <c r="AF129" s="93">
        <f t="shared" ca="1" si="40"/>
        <v>0</v>
      </c>
      <c r="AG129" s="93">
        <f t="shared" ca="1" si="40"/>
        <v>0</v>
      </c>
      <c r="AH129" s="93">
        <f t="shared" ca="1" si="40"/>
        <v>0</v>
      </c>
      <c r="AI129" s="93">
        <f t="shared" ca="1" si="40"/>
        <v>0</v>
      </c>
      <c r="AJ129" s="93">
        <f t="shared" ca="1" si="40"/>
        <v>0</v>
      </c>
      <c r="AK129" s="93">
        <f t="shared" ca="1" si="40"/>
        <v>0</v>
      </c>
      <c r="AL129" s="93">
        <f t="shared" ca="1" si="40"/>
        <v>0</v>
      </c>
      <c r="AM129" s="93">
        <f t="shared" ca="1" si="40"/>
        <v>0</v>
      </c>
      <c r="AN129" s="93">
        <f t="shared" ca="1" si="40"/>
        <v>0</v>
      </c>
      <c r="AO129" s="93">
        <f t="shared" ca="1" si="40"/>
        <v>0</v>
      </c>
      <c r="AP129" s="93">
        <f t="shared" ca="1" si="40"/>
        <v>0</v>
      </c>
      <c r="AQ129" s="93">
        <f t="shared" ca="1" si="40"/>
        <v>0</v>
      </c>
      <c r="AR129" s="93">
        <f t="shared" ca="1" si="40"/>
        <v>0</v>
      </c>
      <c r="AS129" s="93">
        <f t="shared" ca="1" si="40"/>
        <v>0</v>
      </c>
      <c r="AT129" s="93">
        <f t="shared" ca="1" si="40"/>
        <v>0</v>
      </c>
      <c r="AU129" s="93">
        <f t="shared" ca="1" si="40"/>
        <v>0</v>
      </c>
      <c r="AV129" s="93">
        <f t="shared" ca="1" si="40"/>
        <v>0</v>
      </c>
      <c r="AW129" s="93">
        <f t="shared" ca="1" si="40"/>
        <v>0</v>
      </c>
      <c r="AX129" s="93">
        <f t="shared" ca="1" si="40"/>
        <v>0</v>
      </c>
    </row>
    <row r="130" spans="1:50" s="93" customFormat="1" ht="15" customHeight="1">
      <c r="A130" s="90"/>
      <c r="B130" s="134"/>
      <c r="E130" s="93" t="str">
        <f t="shared" si="31"/>
        <v>Investors (Parent company + lender)</v>
      </c>
      <c r="G130" s="93" t="str">
        <f t="shared" si="32"/>
        <v>US$ mn 2021</v>
      </c>
      <c r="I130" s="93">
        <f t="shared" ca="1" si="33"/>
        <v>891.80749539158114</v>
      </c>
      <c r="K130" s="93">
        <f t="shared" ref="K130:AX130" ca="1" si="41" xml:space="preserve"> K29 / K$69</f>
        <v>-10</v>
      </c>
      <c r="L130" s="93">
        <f t="shared" ca="1" si="41"/>
        <v>-10</v>
      </c>
      <c r="M130" s="93">
        <f t="shared" ca="1" si="41"/>
        <v>-10</v>
      </c>
      <c r="N130" s="93">
        <f t="shared" ca="1" si="41"/>
        <v>-50</v>
      </c>
      <c r="O130" s="93">
        <f t="shared" ca="1" si="41"/>
        <v>-240.48750000000001</v>
      </c>
      <c r="P130" s="93">
        <f t="shared" ca="1" si="41"/>
        <v>-39.990625000000001</v>
      </c>
      <c r="Q130" s="93">
        <f t="shared" ca="1" si="41"/>
        <v>127.15434767156862</v>
      </c>
      <c r="R130" s="93">
        <f t="shared" ca="1" si="41"/>
        <v>127.03796340349861</v>
      </c>
      <c r="S130" s="93">
        <f t="shared" ca="1" si="41"/>
        <v>119.84814998684399</v>
      </c>
      <c r="T130" s="93">
        <f t="shared" ca="1" si="41"/>
        <v>99.450890653102931</v>
      </c>
      <c r="U130" s="93">
        <f t="shared" ca="1" si="41"/>
        <v>93.664672166907636</v>
      </c>
      <c r="V130" s="93">
        <f t="shared" ca="1" si="41"/>
        <v>87.19997621130544</v>
      </c>
      <c r="W130" s="93">
        <f t="shared" ca="1" si="41"/>
        <v>87.199976211305483</v>
      </c>
      <c r="X130" s="93">
        <f t="shared" ca="1" si="41"/>
        <v>85.430809214531905</v>
      </c>
      <c r="Y130" s="93">
        <f t="shared" ca="1" si="41"/>
        <v>85.465498763488256</v>
      </c>
      <c r="Z130" s="93">
        <f t="shared" ca="1" si="41"/>
        <v>85.499508125210156</v>
      </c>
      <c r="AA130" s="93">
        <f t="shared" ca="1" si="41"/>
        <v>70.122600636702245</v>
      </c>
      <c r="AB130" s="93">
        <f t="shared" ca="1" si="41"/>
        <v>61.541839373459155</v>
      </c>
      <c r="AC130" s="93">
        <f t="shared" ca="1" si="41"/>
        <v>46.112779844006937</v>
      </c>
      <c r="AD130" s="93">
        <f t="shared" ca="1" si="41"/>
        <v>43.609021308466701</v>
      </c>
      <c r="AE130" s="93">
        <f t="shared" ca="1" si="41"/>
        <v>32.947586821183165</v>
      </c>
      <c r="AF130" s="93">
        <f t="shared" ca="1" si="41"/>
        <v>0</v>
      </c>
      <c r="AG130" s="93">
        <f t="shared" ca="1" si="41"/>
        <v>0</v>
      </c>
      <c r="AH130" s="93">
        <f t="shared" ca="1" si="41"/>
        <v>0</v>
      </c>
      <c r="AI130" s="93">
        <f t="shared" ca="1" si="41"/>
        <v>0</v>
      </c>
      <c r="AJ130" s="93">
        <f t="shared" ca="1" si="41"/>
        <v>0</v>
      </c>
      <c r="AK130" s="93">
        <f t="shared" ca="1" si="41"/>
        <v>0</v>
      </c>
      <c r="AL130" s="93">
        <f t="shared" ca="1" si="41"/>
        <v>0</v>
      </c>
      <c r="AM130" s="93">
        <f t="shared" ca="1" si="41"/>
        <v>0</v>
      </c>
      <c r="AN130" s="93">
        <f t="shared" ca="1" si="41"/>
        <v>0</v>
      </c>
      <c r="AO130" s="93">
        <f t="shared" ca="1" si="41"/>
        <v>0</v>
      </c>
      <c r="AP130" s="93">
        <f t="shared" ca="1" si="41"/>
        <v>0</v>
      </c>
      <c r="AQ130" s="93">
        <f t="shared" ca="1" si="41"/>
        <v>0</v>
      </c>
      <c r="AR130" s="93">
        <f t="shared" ca="1" si="41"/>
        <v>0</v>
      </c>
      <c r="AS130" s="93">
        <f t="shared" ca="1" si="41"/>
        <v>0</v>
      </c>
      <c r="AT130" s="93">
        <f t="shared" ca="1" si="41"/>
        <v>0</v>
      </c>
      <c r="AU130" s="93">
        <f t="shared" ca="1" si="41"/>
        <v>0</v>
      </c>
      <c r="AV130" s="93">
        <f t="shared" ca="1" si="41"/>
        <v>0</v>
      </c>
      <c r="AW130" s="93">
        <f t="shared" ca="1" si="41"/>
        <v>0</v>
      </c>
      <c r="AX130" s="93">
        <f t="shared" ca="1" si="41"/>
        <v>0</v>
      </c>
    </row>
    <row r="131" spans="1:50" s="93" customFormat="1" ht="15" customHeight="1">
      <c r="A131" s="90"/>
      <c r="B131" s="134"/>
      <c r="E131" s="93" t="str">
        <f t="shared" si="31"/>
        <v>Project benefits</v>
      </c>
      <c r="G131" s="93" t="str">
        <f t="shared" si="32"/>
        <v>US$ mn 2021</v>
      </c>
      <c r="I131" s="93">
        <f t="shared" ca="1" si="33"/>
        <v>1934</v>
      </c>
      <c r="K131" s="93">
        <f t="shared" ref="K131:AX131" ca="1" si="42" xml:space="preserve"> K30 / K$69</f>
        <v>0</v>
      </c>
      <c r="L131" s="93">
        <f t="shared" ca="1" si="42"/>
        <v>0</v>
      </c>
      <c r="M131" s="93">
        <f t="shared" ca="1" si="42"/>
        <v>0</v>
      </c>
      <c r="N131" s="93">
        <f t="shared" ca="1" si="42"/>
        <v>0</v>
      </c>
      <c r="O131" s="93">
        <f t="shared" ca="1" si="42"/>
        <v>10.25</v>
      </c>
      <c r="P131" s="93">
        <f t="shared" ca="1" si="42"/>
        <v>68.875</v>
      </c>
      <c r="Q131" s="93">
        <f t="shared" ca="1" si="42"/>
        <v>145.75</v>
      </c>
      <c r="R131" s="93">
        <f t="shared" ca="1" si="42"/>
        <v>145.74999999999997</v>
      </c>
      <c r="S131" s="93">
        <f t="shared" ca="1" si="42"/>
        <v>145.75</v>
      </c>
      <c r="T131" s="93">
        <f t="shared" ca="1" si="42"/>
        <v>145.75000000000003</v>
      </c>
      <c r="U131" s="93">
        <f t="shared" ca="1" si="42"/>
        <v>145.75</v>
      </c>
      <c r="V131" s="93">
        <f t="shared" ca="1" si="42"/>
        <v>145.75</v>
      </c>
      <c r="W131" s="93">
        <f t="shared" ca="1" si="42"/>
        <v>145.75</v>
      </c>
      <c r="X131" s="93">
        <f t="shared" ca="1" si="42"/>
        <v>145.75</v>
      </c>
      <c r="Y131" s="93">
        <f t="shared" ca="1" si="42"/>
        <v>145.75000000000003</v>
      </c>
      <c r="Z131" s="93">
        <f t="shared" ca="1" si="42"/>
        <v>145.75</v>
      </c>
      <c r="AA131" s="93">
        <f t="shared" ca="1" si="42"/>
        <v>120.12500000000001</v>
      </c>
      <c r="AB131" s="93">
        <f t="shared" ca="1" si="42"/>
        <v>102.5</v>
      </c>
      <c r="AC131" s="93">
        <f t="shared" ca="1" si="42"/>
        <v>76.875</v>
      </c>
      <c r="AD131" s="93">
        <f t="shared" ca="1" si="42"/>
        <v>66.624999999999986</v>
      </c>
      <c r="AE131" s="93">
        <f t="shared" ca="1" si="42"/>
        <v>51.249999999999993</v>
      </c>
      <c r="AF131" s="93">
        <f t="shared" ca="1" si="42"/>
        <v>-20</v>
      </c>
      <c r="AG131" s="93">
        <f t="shared" ca="1" si="42"/>
        <v>0</v>
      </c>
      <c r="AH131" s="93">
        <f t="shared" ca="1" si="42"/>
        <v>0</v>
      </c>
      <c r="AI131" s="93">
        <f t="shared" ca="1" si="42"/>
        <v>0</v>
      </c>
      <c r="AJ131" s="93">
        <f t="shared" ca="1" si="42"/>
        <v>0</v>
      </c>
      <c r="AK131" s="93">
        <f t="shared" ca="1" si="42"/>
        <v>0</v>
      </c>
      <c r="AL131" s="93">
        <f t="shared" ca="1" si="42"/>
        <v>0</v>
      </c>
      <c r="AM131" s="93">
        <f t="shared" ca="1" si="42"/>
        <v>0</v>
      </c>
      <c r="AN131" s="93">
        <f t="shared" ca="1" si="42"/>
        <v>0</v>
      </c>
      <c r="AO131" s="93">
        <f t="shared" ca="1" si="42"/>
        <v>0</v>
      </c>
      <c r="AP131" s="93">
        <f t="shared" ca="1" si="42"/>
        <v>0</v>
      </c>
      <c r="AQ131" s="93">
        <f t="shared" ca="1" si="42"/>
        <v>0</v>
      </c>
      <c r="AR131" s="93">
        <f t="shared" ca="1" si="42"/>
        <v>0</v>
      </c>
      <c r="AS131" s="93">
        <f t="shared" ca="1" si="42"/>
        <v>0</v>
      </c>
      <c r="AT131" s="93">
        <f t="shared" ca="1" si="42"/>
        <v>0</v>
      </c>
      <c r="AU131" s="93">
        <f t="shared" ca="1" si="42"/>
        <v>0</v>
      </c>
      <c r="AV131" s="93">
        <f t="shared" ca="1" si="42"/>
        <v>0</v>
      </c>
      <c r="AW131" s="93">
        <f t="shared" ca="1" si="42"/>
        <v>0</v>
      </c>
      <c r="AX131" s="93">
        <f t="shared" ca="1" si="42"/>
        <v>0</v>
      </c>
    </row>
    <row r="132" spans="1:50" s="93" customFormat="1" ht="15" customHeight="1">
      <c r="A132" s="90"/>
      <c r="B132" s="134"/>
    </row>
    <row r="133" spans="1:50" s="93" customFormat="1" ht="15" customHeight="1">
      <c r="A133" s="90"/>
      <c r="B133" s="134"/>
      <c r="E133" s="93" t="str">
        <f xml:space="preserve"> Translate!E$444 &amp;  ": " &amp; B68</f>
        <v>Check: Cashflows: full-cycle, real</v>
      </c>
      <c r="G133" s="93" t="str">
        <f xml:space="preserve"> G123</f>
        <v>US$ mn 2021</v>
      </c>
      <c r="I133" s="93">
        <f ca="1" xml:space="preserve"> SUM(K133:AX133)</f>
        <v>0</v>
      </c>
      <c r="K133" s="93">
        <f ca="1" xml:space="preserve"> K123 + K124 - SUM(K127:K129)</f>
        <v>0</v>
      </c>
      <c r="L133" s="93">
        <f t="shared" ref="L133:AX133" ca="1" si="43" xml:space="preserve"> L123 + L124 - SUM(L127:L129)</f>
        <v>0</v>
      </c>
      <c r="M133" s="93">
        <f t="shared" ca="1" si="43"/>
        <v>0</v>
      </c>
      <c r="N133" s="93">
        <f t="shared" ca="1" si="43"/>
        <v>0</v>
      </c>
      <c r="O133" s="93">
        <f t="shared" ca="1" si="43"/>
        <v>0</v>
      </c>
      <c r="P133" s="93">
        <f t="shared" ca="1" si="43"/>
        <v>0</v>
      </c>
      <c r="Q133" s="93">
        <f t="shared" ca="1" si="43"/>
        <v>0</v>
      </c>
      <c r="R133" s="93">
        <f t="shared" ca="1" si="43"/>
        <v>0</v>
      </c>
      <c r="S133" s="93">
        <f t="shared" ca="1" si="43"/>
        <v>0</v>
      </c>
      <c r="T133" s="93">
        <f t="shared" ca="1" si="43"/>
        <v>0</v>
      </c>
      <c r="U133" s="93">
        <f t="shared" ca="1" si="43"/>
        <v>0</v>
      </c>
      <c r="V133" s="93">
        <f t="shared" ca="1" si="43"/>
        <v>0</v>
      </c>
      <c r="W133" s="93">
        <f t="shared" ca="1" si="43"/>
        <v>0</v>
      </c>
      <c r="X133" s="93">
        <f t="shared" ca="1" si="43"/>
        <v>0</v>
      </c>
      <c r="Y133" s="93">
        <f t="shared" ca="1" si="43"/>
        <v>0</v>
      </c>
      <c r="Z133" s="93">
        <f t="shared" ca="1" si="43"/>
        <v>0</v>
      </c>
      <c r="AA133" s="93">
        <f t="shared" ca="1" si="43"/>
        <v>0</v>
      </c>
      <c r="AB133" s="93">
        <f t="shared" ca="1" si="43"/>
        <v>0</v>
      </c>
      <c r="AC133" s="93">
        <f t="shared" ca="1" si="43"/>
        <v>0</v>
      </c>
      <c r="AD133" s="93">
        <f t="shared" ca="1" si="43"/>
        <v>0</v>
      </c>
      <c r="AE133" s="93">
        <f t="shared" ca="1" si="43"/>
        <v>0</v>
      </c>
      <c r="AF133" s="93">
        <f t="shared" ca="1" si="43"/>
        <v>0</v>
      </c>
      <c r="AG133" s="93">
        <f t="shared" ca="1" si="43"/>
        <v>0</v>
      </c>
      <c r="AH133" s="93">
        <f t="shared" ca="1" si="43"/>
        <v>0</v>
      </c>
      <c r="AI133" s="93">
        <f t="shared" ca="1" si="43"/>
        <v>0</v>
      </c>
      <c r="AJ133" s="93">
        <f t="shared" ca="1" si="43"/>
        <v>0</v>
      </c>
      <c r="AK133" s="93">
        <f t="shared" ca="1" si="43"/>
        <v>0</v>
      </c>
      <c r="AL133" s="93">
        <f t="shared" ca="1" si="43"/>
        <v>0</v>
      </c>
      <c r="AM133" s="93">
        <f t="shared" ca="1" si="43"/>
        <v>0</v>
      </c>
      <c r="AN133" s="93">
        <f t="shared" ca="1" si="43"/>
        <v>0</v>
      </c>
      <c r="AO133" s="93">
        <f t="shared" ca="1" si="43"/>
        <v>0</v>
      </c>
      <c r="AP133" s="93">
        <f t="shared" ca="1" si="43"/>
        <v>0</v>
      </c>
      <c r="AQ133" s="93">
        <f t="shared" ca="1" si="43"/>
        <v>0</v>
      </c>
      <c r="AR133" s="93">
        <f t="shared" ca="1" si="43"/>
        <v>0</v>
      </c>
      <c r="AS133" s="93">
        <f t="shared" ca="1" si="43"/>
        <v>0</v>
      </c>
      <c r="AT133" s="93">
        <f t="shared" ca="1" si="43"/>
        <v>0</v>
      </c>
      <c r="AU133" s="93">
        <f t="shared" ca="1" si="43"/>
        <v>0</v>
      </c>
      <c r="AV133" s="93">
        <f t="shared" ca="1" si="43"/>
        <v>0</v>
      </c>
      <c r="AW133" s="93">
        <f t="shared" ca="1" si="43"/>
        <v>0</v>
      </c>
      <c r="AX133" s="93">
        <f t="shared" ca="1" si="43"/>
        <v>0</v>
      </c>
    </row>
    <row r="134" spans="1:50" s="93" customFormat="1" ht="15" customHeight="1">
      <c r="A134" s="90"/>
      <c r="B134" s="134"/>
      <c r="E134" s="93" t="str">
        <f xml:space="preserve"> E133</f>
        <v>Check: Cashflows: full-cycle, real</v>
      </c>
      <c r="F134" s="61">
        <f ca="1" xml:space="preserve"> MIN( 1, SUM(K134:AX134))</f>
        <v>0</v>
      </c>
      <c r="G134" s="1041" t="str">
        <f xml:space="preserve"> Translate!E$444</f>
        <v>Check</v>
      </c>
      <c r="I134" s="93">
        <f ca="1" xml:space="preserve"> SUM(K134:AX134)</f>
        <v>0</v>
      </c>
      <c r="K134" s="61">
        <f t="shared" ref="K134:AX134" ca="1" si="44" xml:space="preserve"> IF( ABS( K133) &gt; CHK_TOL, 1, 0)</f>
        <v>0</v>
      </c>
      <c r="L134" s="61">
        <f t="shared" ca="1" si="44"/>
        <v>0</v>
      </c>
      <c r="M134" s="61">
        <f t="shared" ca="1" si="44"/>
        <v>0</v>
      </c>
      <c r="N134" s="61">
        <f t="shared" ca="1" si="44"/>
        <v>0</v>
      </c>
      <c r="O134" s="61">
        <f t="shared" ca="1" si="44"/>
        <v>0</v>
      </c>
      <c r="P134" s="61">
        <f t="shared" ca="1" si="44"/>
        <v>0</v>
      </c>
      <c r="Q134" s="61">
        <f t="shared" ca="1" si="44"/>
        <v>0</v>
      </c>
      <c r="R134" s="61">
        <f t="shared" ca="1" si="44"/>
        <v>0</v>
      </c>
      <c r="S134" s="61">
        <f t="shared" ca="1" si="44"/>
        <v>0</v>
      </c>
      <c r="T134" s="61">
        <f t="shared" ca="1" si="44"/>
        <v>0</v>
      </c>
      <c r="U134" s="61">
        <f t="shared" ca="1" si="44"/>
        <v>0</v>
      </c>
      <c r="V134" s="61">
        <f t="shared" ca="1" si="44"/>
        <v>0</v>
      </c>
      <c r="W134" s="61">
        <f t="shared" ca="1" si="44"/>
        <v>0</v>
      </c>
      <c r="X134" s="61">
        <f t="shared" ca="1" si="44"/>
        <v>0</v>
      </c>
      <c r="Y134" s="61">
        <f t="shared" ca="1" si="44"/>
        <v>0</v>
      </c>
      <c r="Z134" s="61">
        <f t="shared" ca="1" si="44"/>
        <v>0</v>
      </c>
      <c r="AA134" s="61">
        <f t="shared" ca="1" si="44"/>
        <v>0</v>
      </c>
      <c r="AB134" s="61">
        <f t="shared" ca="1" si="44"/>
        <v>0</v>
      </c>
      <c r="AC134" s="61">
        <f t="shared" ca="1" si="44"/>
        <v>0</v>
      </c>
      <c r="AD134" s="61">
        <f t="shared" ca="1" si="44"/>
        <v>0</v>
      </c>
      <c r="AE134" s="61">
        <f t="shared" ca="1" si="44"/>
        <v>0</v>
      </c>
      <c r="AF134" s="61">
        <f t="shared" ca="1" si="44"/>
        <v>0</v>
      </c>
      <c r="AG134" s="61">
        <f t="shared" ca="1" si="44"/>
        <v>0</v>
      </c>
      <c r="AH134" s="61">
        <f t="shared" ca="1" si="44"/>
        <v>0</v>
      </c>
      <c r="AI134" s="61">
        <f t="shared" ca="1" si="44"/>
        <v>0</v>
      </c>
      <c r="AJ134" s="61">
        <f t="shared" ca="1" si="44"/>
        <v>0</v>
      </c>
      <c r="AK134" s="61">
        <f t="shared" ca="1" si="44"/>
        <v>0</v>
      </c>
      <c r="AL134" s="61">
        <f t="shared" ca="1" si="44"/>
        <v>0</v>
      </c>
      <c r="AM134" s="61">
        <f t="shared" ca="1" si="44"/>
        <v>0</v>
      </c>
      <c r="AN134" s="61">
        <f t="shared" ca="1" si="44"/>
        <v>0</v>
      </c>
      <c r="AO134" s="61">
        <f t="shared" ca="1" si="44"/>
        <v>0</v>
      </c>
      <c r="AP134" s="61">
        <f t="shared" ca="1" si="44"/>
        <v>0</v>
      </c>
      <c r="AQ134" s="61">
        <f t="shared" ca="1" si="44"/>
        <v>0</v>
      </c>
      <c r="AR134" s="61">
        <f t="shared" ca="1" si="44"/>
        <v>0</v>
      </c>
      <c r="AS134" s="61">
        <f t="shared" ca="1" si="44"/>
        <v>0</v>
      </c>
      <c r="AT134" s="61">
        <f t="shared" ca="1" si="44"/>
        <v>0</v>
      </c>
      <c r="AU134" s="61">
        <f t="shared" ca="1" si="44"/>
        <v>0</v>
      </c>
      <c r="AV134" s="61">
        <f t="shared" ca="1" si="44"/>
        <v>0</v>
      </c>
      <c r="AW134" s="61">
        <f t="shared" ca="1" si="44"/>
        <v>0</v>
      </c>
      <c r="AX134" s="61">
        <f t="shared" ca="1" si="44"/>
        <v>0</v>
      </c>
    </row>
    <row r="135" spans="1:50" s="93" customFormat="1" ht="15" customHeight="1">
      <c r="A135" s="90"/>
      <c r="B135" s="134"/>
    </row>
    <row r="136" spans="1:50" s="93" customFormat="1" ht="15" customHeight="1">
      <c r="A136" s="90"/>
      <c r="B136" s="134"/>
      <c r="E136" s="158" t="str">
        <f xml:space="preserve">  Translate!$E$19 &amp;  ": " &amp; E123</f>
        <v>Total: Project cashflow before decommissioning fund</v>
      </c>
      <c r="F136" s="158">
        <f t="shared" ref="F136:F144" ca="1" si="45" xml:space="preserve"> SUM(K123:AX123)</f>
        <v>1504</v>
      </c>
      <c r="G136" s="158" t="str">
        <f t="shared" ref="G136:G144" si="46" xml:space="preserve"> G123</f>
        <v>US$ mn 2021</v>
      </c>
    </row>
    <row r="137" spans="1:50" s="93" customFormat="1" ht="15" customHeight="1">
      <c r="A137" s="90"/>
      <c r="B137" s="134"/>
      <c r="E137" s="93" t="str">
        <f xml:space="preserve">  Translate!$E$19 &amp;  ": " &amp; E124</f>
        <v>Total: Net decommissioning cashflows</v>
      </c>
      <c r="F137" s="158">
        <f t="shared" ca="1" si="45"/>
        <v>-0.40000000000000924</v>
      </c>
      <c r="G137" s="93" t="str">
        <f t="shared" si="46"/>
        <v>US$ mn 2021</v>
      </c>
    </row>
    <row r="138" spans="1:50" s="93" customFormat="1" ht="15" customHeight="1">
      <c r="A138" s="90"/>
      <c r="B138" s="134"/>
      <c r="E138" s="93" t="str">
        <f xml:space="preserve">  Translate!$E$19 &amp;  ": " &amp; E125</f>
        <v>Total: Government revenues excluding participation</v>
      </c>
      <c r="F138" s="158">
        <f t="shared" ca="1" si="45"/>
        <v>611.79250460841865</v>
      </c>
      <c r="G138" s="93" t="str">
        <f t="shared" si="46"/>
        <v>US$ mn 2021</v>
      </c>
    </row>
    <row r="139" spans="1:50" s="93" customFormat="1" ht="15" customHeight="1">
      <c r="A139" s="90"/>
      <c r="B139" s="134"/>
      <c r="E139" s="93" t="str">
        <f xml:space="preserve">  Translate!$E$19 &amp;  ": " &amp; E126</f>
        <v>Total: State participation cashflows including share of loan</v>
      </c>
      <c r="F139" s="158">
        <f t="shared" ca="1" si="45"/>
        <v>0</v>
      </c>
      <c r="G139" s="93" t="str">
        <f t="shared" si="46"/>
        <v>US$ mn 2021</v>
      </c>
    </row>
    <row r="140" spans="1:50" s="93" customFormat="1" ht="15" customHeight="1">
      <c r="A140" s="90"/>
      <c r="B140" s="134"/>
      <c r="E140" s="93" t="str">
        <f xml:space="preserve">  Translate!$E$19 &amp;  ": " &amp; E127</f>
        <v>Total: Government revenues including participation</v>
      </c>
      <c r="F140" s="158">
        <f t="shared" ca="1" si="45"/>
        <v>611.79250460841865</v>
      </c>
      <c r="G140" s="93" t="str">
        <f t="shared" si="46"/>
        <v>US$ mn 2021</v>
      </c>
    </row>
    <row r="141" spans="1:50" s="93" customFormat="1" ht="15" customHeight="1">
      <c r="A141" s="90"/>
      <c r="B141" s="134"/>
      <c r="E141" s="93" t="str">
        <f xml:space="preserve">  Translate!$E$19 &amp;  ": " &amp; E128</f>
        <v>Total: Net cashflow after fiscal regime: Parent company (excluding loan)</v>
      </c>
      <c r="F141" s="158">
        <f t="shared" ca="1" si="45"/>
        <v>831.01304756082709</v>
      </c>
      <c r="G141" s="93" t="str">
        <f t="shared" si="46"/>
        <v>US$ mn 2021</v>
      </c>
    </row>
    <row r="142" spans="1:50" s="93" customFormat="1" ht="15" customHeight="1">
      <c r="A142" s="90"/>
      <c r="B142" s="134"/>
      <c r="E142" s="93" t="str">
        <f xml:space="preserve">  Translate!$E$19 &amp;  ": " &amp; E129</f>
        <v>Total: Project loan cashflows net of state participation share, met by parent company</v>
      </c>
      <c r="F142" s="158">
        <f t="shared" ca="1" si="45"/>
        <v>60.794447830754194</v>
      </c>
      <c r="G142" s="93" t="str">
        <f t="shared" si="46"/>
        <v>US$ mn 2021</v>
      </c>
    </row>
    <row r="143" spans="1:50" s="93" customFormat="1" ht="15" customHeight="1">
      <c r="A143" s="90"/>
      <c r="B143" s="134"/>
      <c r="E143" s="93" t="str">
        <f xml:space="preserve">  Translate!$E$19 &amp;  ": " &amp; E130</f>
        <v>Total: Investors (Parent company + lender)</v>
      </c>
      <c r="F143" s="158">
        <f t="shared" ca="1" si="45"/>
        <v>891.80749539158114</v>
      </c>
      <c r="G143" s="93" t="str">
        <f t="shared" si="46"/>
        <v>US$ mn 2021</v>
      </c>
    </row>
    <row r="144" spans="1:50" s="93" customFormat="1" ht="15" customHeight="1">
      <c r="A144" s="90"/>
      <c r="B144" s="134"/>
      <c r="E144" s="93" t="str">
        <f xml:space="preserve">  Translate!$E$19 &amp;  ": " &amp; E131</f>
        <v>Total: Project benefits</v>
      </c>
      <c r="F144" s="177">
        <f t="shared" ca="1" si="45"/>
        <v>1934</v>
      </c>
      <c r="G144" s="93" t="str">
        <f t="shared" si="46"/>
        <v>US$ mn 2021</v>
      </c>
    </row>
    <row r="145" spans="1:50" s="93" customFormat="1" ht="15" customHeight="1">
      <c r="A145" s="90"/>
      <c r="B145" s="134"/>
    </row>
    <row r="146" spans="1:50" s="93" customFormat="1" ht="15" customHeight="1">
      <c r="A146" s="90"/>
      <c r="B146" s="134"/>
      <c r="E146" s="93" t="str">
        <f xml:space="preserve"> Translate!$E$444 &amp; ": " &amp; B68 &amp;  ", " &amp;  Translate!$E$19</f>
        <v>Check: Cashflows: full-cycle, real, Total</v>
      </c>
      <c r="F146" s="61">
        <f ca="1" xml:space="preserve"> IF( ABS(F136 + F137 - SUM(F140:F142) ) &gt; CHK_TOL, 1, 0)</f>
        <v>0</v>
      </c>
      <c r="G146" s="1041" t="str">
        <f xml:space="preserve"> Translate!E$444</f>
        <v>Check</v>
      </c>
    </row>
    <row r="147" spans="1:50" s="93" customFormat="1" ht="15" customHeight="1">
      <c r="A147" s="90"/>
      <c r="B147" s="134"/>
    </row>
    <row r="148" spans="1:50" s="93" customFormat="1" ht="15" customHeight="1">
      <c r="A148" s="90"/>
      <c r="B148" s="156" t="str">
        <f>Translate!$E$17 &amp; ": " &amp; Inputs!F$83 &amp; ", " &amp; Inputs!F$85</f>
        <v>Government share metrics: full-cycle, real</v>
      </c>
    </row>
    <row r="149" spans="1:50" s="93" customFormat="1" ht="15" customHeight="1">
      <c r="A149" s="90"/>
      <c r="B149" s="134"/>
      <c r="E149" s="93" t="str">
        <f>Translate!$E$435</f>
        <v>Average Effective Tax Rate (excl. participation)</v>
      </c>
      <c r="F149" s="65">
        <f ca="1" xml:space="preserve"> F138 / F136</f>
        <v>0.4067769312555975</v>
      </c>
      <c r="G149" s="305" t="str">
        <f xml:space="preserve"> "% " &amp; Inputs!F$83 &amp;", " &amp;  Inputs!F$85 &amp;", " &amp; Inputs!F$87</f>
        <v>% full-cycle, real, undiscounted</v>
      </c>
    </row>
    <row r="150" spans="1:50" s="93" customFormat="1" ht="15" customHeight="1">
      <c r="A150" s="90"/>
      <c r="B150" s="134"/>
      <c r="E150" s="158" t="str">
        <f>Translate!$E$436</f>
        <v>Average Effective Tax Rate (incl. participation)</v>
      </c>
      <c r="F150" s="251">
        <f ca="1" xml:space="preserve"> F140 / F136</f>
        <v>0.4067769312555975</v>
      </c>
      <c r="G150" s="305" t="str">
        <f xml:space="preserve"> "% " &amp; Inputs!F$83 &amp;", " &amp;  Inputs!F$85 &amp;", " &amp; Inputs!F$87</f>
        <v>% full-cycle, real, undiscounted</v>
      </c>
    </row>
    <row r="151" spans="1:50" s="93" customFormat="1" ht="15" customHeight="1">
      <c r="A151" s="90"/>
      <c r="B151" s="134"/>
      <c r="E151" s="93" t="str">
        <f>Translate!$E510</f>
        <v>Government share of project benefits</v>
      </c>
      <c r="F151" s="251">
        <f ca="1" xml:space="preserve"> F140 / F144</f>
        <v>0.31633531779132301</v>
      </c>
      <c r="G151" s="305" t="str">
        <f xml:space="preserve"> "% " &amp; Inputs!F$83 &amp;", " &amp;  Inputs!F$85 &amp;", " &amp; Inputs!F$87</f>
        <v>% full-cycle, real, undiscounted</v>
      </c>
    </row>
    <row r="152" spans="1:50" s="93" customFormat="1" ht="15" customHeight="1">
      <c r="A152" s="90"/>
      <c r="B152" s="134"/>
    </row>
    <row r="153" spans="1:50" s="93" customFormat="1" ht="15" customHeight="1">
      <c r="A153" s="90"/>
      <c r="B153" s="156" t="str">
        <f xml:space="preserve"> Translate!E$13 &amp; ": " &amp; Inputs!F$83 &amp; ", " &amp; Inputs!F$85</f>
        <v>IRR: full-cycle, real</v>
      </c>
    </row>
    <row r="154" spans="1:50" s="93" customFormat="1" ht="15" customHeight="1">
      <c r="A154" s="90"/>
      <c r="B154" s="134"/>
      <c r="E154" s="93" t="str">
        <f xml:space="preserve"> E123</f>
        <v>Project cashflow before decommissioning fund</v>
      </c>
      <c r="F154" s="251">
        <f ca="1" xml:space="preserve"> IFERROR( IRR( K123:AX123), 0)</f>
        <v>0.2771083167569921</v>
      </c>
      <c r="G154" s="93" t="str">
        <f xml:space="preserve"> "% " &amp; Translate!E$18 &amp; " " &amp; G123</f>
        <v>% p.a. US$ mn 2021</v>
      </c>
    </row>
    <row r="155" spans="1:50" s="93" customFormat="1" ht="15" customHeight="1">
      <c r="A155" s="90"/>
      <c r="B155" s="134"/>
      <c r="E155" s="93" t="str">
        <f xml:space="preserve"> E128</f>
        <v>Net cashflow after fiscal regime: Parent company (excluding loan)</v>
      </c>
      <c r="F155" s="251">
        <f ca="1" xml:space="preserve"> IFERROR( IRR( K128:AX128), 0)</f>
        <v>0.31384946621920196</v>
      </c>
      <c r="G155" s="93" t="str">
        <f xml:space="preserve"> "% " &amp; Translate!E$18 &amp; " " &amp; G128</f>
        <v>% p.a. US$ mn 2021</v>
      </c>
    </row>
    <row r="156" spans="1:50" s="93" customFormat="1" ht="15" customHeight="1">
      <c r="A156" s="90"/>
      <c r="B156" s="134"/>
      <c r="E156" s="93" t="str">
        <f xml:space="preserve"> E129</f>
        <v>Project loan cashflows net of state participation share, met by parent company</v>
      </c>
      <c r="F156" s="251">
        <f ca="1" xml:space="preserve"> IFERROR( IRR( K129:AX129), 0)</f>
        <v>5.4762649400369456E-2</v>
      </c>
      <c r="G156" s="93" t="str">
        <f xml:space="preserve"> "% " &amp; Translate!E$18 &amp; " " &amp; G129</f>
        <v>% p.a. US$ mn 2021</v>
      </c>
    </row>
    <row r="157" spans="1:50" s="93" customFormat="1" ht="15" customHeight="1">
      <c r="A157" s="90"/>
      <c r="B157" s="134"/>
      <c r="E157" s="93" t="str">
        <f xml:space="preserve"> E130</f>
        <v>Investors (Parent company + lender)</v>
      </c>
      <c r="F157" s="251">
        <f ca="1" xml:space="preserve"> IFERROR( IRR( K130:AX130), 0)</f>
        <v>0.20711716461514151</v>
      </c>
      <c r="G157" s="93" t="str">
        <f xml:space="preserve"> "% " &amp; Translate!E$18 &amp; " " &amp; G130</f>
        <v>% p.a. US$ mn 2021</v>
      </c>
    </row>
    <row r="158" spans="1:50" s="93" customFormat="1" ht="15" customHeight="1">
      <c r="A158" s="90"/>
      <c r="B158" s="134"/>
      <c r="E158" s="93" t="str">
        <f xml:space="preserve"> E126</f>
        <v>State participation cashflows including share of loan</v>
      </c>
      <c r="F158" s="251">
        <f ca="1" xml:space="preserve"> IFERROR( IRR( K126:AX126), 0)</f>
        <v>0</v>
      </c>
      <c r="G158" s="93" t="str">
        <f xml:space="preserve"> "% " &amp; Translate!E$18 &amp; " " &amp; G126</f>
        <v>% p.a. US$ mn 2021</v>
      </c>
    </row>
    <row r="159" spans="1:50" s="93" customFormat="1" ht="15" customHeight="1">
      <c r="A159" s="90"/>
      <c r="B159" s="134"/>
    </row>
    <row r="160" spans="1:50" s="93" customFormat="1" ht="15" customHeight="1">
      <c r="A160" s="90"/>
      <c r="B160" s="156" t="str">
        <f xml:space="preserve">  Translate!$E$14 &amp; ": " &amp; Inputs!F$83 &amp; ", " &amp; Inputs!F$85 &amp; ", " &amp; Inputs!F$87</f>
        <v>Payback: full-cycle, real, undiscounted</v>
      </c>
      <c r="H160" s="158"/>
      <c r="L160" s="158"/>
      <c r="M160" s="158"/>
      <c r="N160" s="158"/>
      <c r="O160" s="158"/>
      <c r="P160" s="158"/>
      <c r="Q160" s="158"/>
      <c r="R160" s="158"/>
      <c r="S160" s="158"/>
      <c r="T160" s="158"/>
      <c r="U160" s="158"/>
      <c r="V160" s="158"/>
      <c r="W160" s="158"/>
      <c r="X160" s="158"/>
      <c r="Y160" s="158"/>
      <c r="Z160" s="158"/>
      <c r="AA160" s="158"/>
      <c r="AB160" s="158"/>
      <c r="AC160" s="158"/>
      <c r="AD160" s="158"/>
      <c r="AE160" s="158"/>
      <c r="AF160" s="158"/>
      <c r="AG160" s="158"/>
      <c r="AH160" s="158"/>
      <c r="AI160" s="158"/>
      <c r="AJ160" s="158"/>
      <c r="AK160" s="158"/>
      <c r="AL160" s="158"/>
      <c r="AM160" s="158"/>
      <c r="AN160" s="158"/>
      <c r="AO160" s="158"/>
      <c r="AP160" s="158"/>
      <c r="AQ160" s="158"/>
      <c r="AR160" s="158"/>
      <c r="AS160" s="158"/>
      <c r="AT160" s="158"/>
      <c r="AU160" s="158"/>
      <c r="AV160" s="158"/>
      <c r="AW160" s="158"/>
      <c r="AX160" s="158"/>
    </row>
    <row r="161" spans="1:50" s="93" customFormat="1" ht="15" customHeight="1">
      <c r="A161" s="90"/>
      <c r="B161" s="156"/>
      <c r="E161" s="93" t="str">
        <f t="shared" ref="E161:K161" si="47" xml:space="preserve"> E123</f>
        <v>Project cashflow before decommissioning fund</v>
      </c>
      <c r="F161" s="93">
        <f t="shared" si="47"/>
        <v>0</v>
      </c>
      <c r="G161" s="93" t="str">
        <f t="shared" si="47"/>
        <v>US$ mn 2021</v>
      </c>
      <c r="H161" s="93">
        <f t="shared" si="47"/>
        <v>0</v>
      </c>
      <c r="I161" s="93">
        <f t="shared" ca="1" si="47"/>
        <v>1504</v>
      </c>
      <c r="J161" s="93">
        <f t="shared" si="47"/>
        <v>0</v>
      </c>
      <c r="K161" s="93">
        <f t="shared" ca="1" si="47"/>
        <v>-10</v>
      </c>
      <c r="L161" s="93">
        <f t="shared" ref="L161:AX161" ca="1" si="48" xml:space="preserve"> L123</f>
        <v>-10</v>
      </c>
      <c r="M161" s="93">
        <f t="shared" ca="1" si="48"/>
        <v>-10</v>
      </c>
      <c r="N161" s="93">
        <f t="shared" ca="1" si="48"/>
        <v>-50</v>
      </c>
      <c r="O161" s="93">
        <f t="shared" ca="1" si="48"/>
        <v>-239.75000000000006</v>
      </c>
      <c r="P161" s="93">
        <f t="shared" ca="1" si="48"/>
        <v>-31.125000000000004</v>
      </c>
      <c r="Q161" s="93">
        <f t="shared" ca="1" si="48"/>
        <v>145.75</v>
      </c>
      <c r="R161" s="93">
        <f t="shared" ca="1" si="48"/>
        <v>145.74999999999997</v>
      </c>
      <c r="S161" s="93">
        <f t="shared" ca="1" si="48"/>
        <v>145.74999999999997</v>
      </c>
      <c r="T161" s="93">
        <f t="shared" ca="1" si="48"/>
        <v>145.75000000000003</v>
      </c>
      <c r="U161" s="93">
        <f t="shared" ca="1" si="48"/>
        <v>145.75</v>
      </c>
      <c r="V161" s="93">
        <f t="shared" ca="1" si="48"/>
        <v>145.74999999999997</v>
      </c>
      <c r="W161" s="93">
        <f t="shared" ca="1" si="48"/>
        <v>145.75</v>
      </c>
      <c r="X161" s="93">
        <f t="shared" ca="1" si="48"/>
        <v>145.74999999999997</v>
      </c>
      <c r="Y161" s="93">
        <f t="shared" ca="1" si="48"/>
        <v>145.75000000000003</v>
      </c>
      <c r="Z161" s="93">
        <f t="shared" ca="1" si="48"/>
        <v>145.75</v>
      </c>
      <c r="AA161" s="93">
        <f t="shared" ca="1" si="48"/>
        <v>120.12500000000001</v>
      </c>
      <c r="AB161" s="93">
        <f t="shared" ca="1" si="48"/>
        <v>102.5</v>
      </c>
      <c r="AC161" s="93">
        <f t="shared" ca="1" si="48"/>
        <v>76.875</v>
      </c>
      <c r="AD161" s="93">
        <f t="shared" ca="1" si="48"/>
        <v>66.624999999999986</v>
      </c>
      <c r="AE161" s="93">
        <f t="shared" ca="1" si="48"/>
        <v>51.249999999999993</v>
      </c>
      <c r="AF161" s="93">
        <f t="shared" ca="1" si="48"/>
        <v>-20</v>
      </c>
      <c r="AG161" s="93">
        <f t="shared" ca="1" si="48"/>
        <v>0</v>
      </c>
      <c r="AH161" s="93">
        <f t="shared" ca="1" si="48"/>
        <v>0</v>
      </c>
      <c r="AI161" s="93">
        <f t="shared" ca="1" si="48"/>
        <v>0</v>
      </c>
      <c r="AJ161" s="93">
        <f t="shared" ca="1" si="48"/>
        <v>0</v>
      </c>
      <c r="AK161" s="93">
        <f t="shared" ca="1" si="48"/>
        <v>0</v>
      </c>
      <c r="AL161" s="93">
        <f t="shared" ca="1" si="48"/>
        <v>0</v>
      </c>
      <c r="AM161" s="93">
        <f t="shared" ca="1" si="48"/>
        <v>0</v>
      </c>
      <c r="AN161" s="93">
        <f t="shared" ca="1" si="48"/>
        <v>0</v>
      </c>
      <c r="AO161" s="93">
        <f t="shared" ca="1" si="48"/>
        <v>0</v>
      </c>
      <c r="AP161" s="93">
        <f t="shared" ca="1" si="48"/>
        <v>0</v>
      </c>
      <c r="AQ161" s="93">
        <f t="shared" ca="1" si="48"/>
        <v>0</v>
      </c>
      <c r="AR161" s="93">
        <f t="shared" ca="1" si="48"/>
        <v>0</v>
      </c>
      <c r="AS161" s="93">
        <f t="shared" ca="1" si="48"/>
        <v>0</v>
      </c>
      <c r="AT161" s="93">
        <f t="shared" ca="1" si="48"/>
        <v>0</v>
      </c>
      <c r="AU161" s="93">
        <f t="shared" ca="1" si="48"/>
        <v>0</v>
      </c>
      <c r="AV161" s="93">
        <f t="shared" ca="1" si="48"/>
        <v>0</v>
      </c>
      <c r="AW161" s="93">
        <f t="shared" ca="1" si="48"/>
        <v>0</v>
      </c>
      <c r="AX161" s="93">
        <f t="shared" ca="1" si="48"/>
        <v>0</v>
      </c>
    </row>
    <row r="162" spans="1:50" s="93" customFormat="1" ht="15" customHeight="1">
      <c r="A162" s="90"/>
      <c r="B162" s="156"/>
      <c r="E162" s="93" t="str">
        <f t="shared" ref="E162:K162" si="49" xml:space="preserve"> E130</f>
        <v>Investors (Parent company + lender)</v>
      </c>
      <c r="F162" s="93">
        <f t="shared" si="49"/>
        <v>0</v>
      </c>
      <c r="G162" s="93" t="str">
        <f t="shared" si="49"/>
        <v>US$ mn 2021</v>
      </c>
      <c r="H162" s="93">
        <f t="shared" si="49"/>
        <v>0</v>
      </c>
      <c r="I162" s="93">
        <f t="shared" ca="1" si="49"/>
        <v>891.80749539158114</v>
      </c>
      <c r="J162" s="93">
        <f t="shared" si="49"/>
        <v>0</v>
      </c>
      <c r="K162" s="93">
        <f t="shared" ca="1" si="49"/>
        <v>-10</v>
      </c>
      <c r="L162" s="93">
        <f t="shared" ref="L162:AX162" ca="1" si="50" xml:space="preserve"> L130</f>
        <v>-10</v>
      </c>
      <c r="M162" s="93">
        <f t="shared" ca="1" si="50"/>
        <v>-10</v>
      </c>
      <c r="N162" s="93">
        <f t="shared" ca="1" si="50"/>
        <v>-50</v>
      </c>
      <c r="O162" s="93">
        <f t="shared" ca="1" si="50"/>
        <v>-240.48750000000001</v>
      </c>
      <c r="P162" s="93">
        <f t="shared" ca="1" si="50"/>
        <v>-39.990625000000001</v>
      </c>
      <c r="Q162" s="93">
        <f t="shared" ca="1" si="50"/>
        <v>127.15434767156862</v>
      </c>
      <c r="R162" s="93">
        <f t="shared" ca="1" si="50"/>
        <v>127.03796340349861</v>
      </c>
      <c r="S162" s="93">
        <f t="shared" ca="1" si="50"/>
        <v>119.84814998684399</v>
      </c>
      <c r="T162" s="93">
        <f t="shared" ca="1" si="50"/>
        <v>99.450890653102931</v>
      </c>
      <c r="U162" s="93">
        <f t="shared" ca="1" si="50"/>
        <v>93.664672166907636</v>
      </c>
      <c r="V162" s="93">
        <f t="shared" ca="1" si="50"/>
        <v>87.19997621130544</v>
      </c>
      <c r="W162" s="93">
        <f t="shared" ca="1" si="50"/>
        <v>87.199976211305483</v>
      </c>
      <c r="X162" s="93">
        <f t="shared" ca="1" si="50"/>
        <v>85.430809214531905</v>
      </c>
      <c r="Y162" s="93">
        <f t="shared" ca="1" si="50"/>
        <v>85.465498763488256</v>
      </c>
      <c r="Z162" s="93">
        <f t="shared" ca="1" si="50"/>
        <v>85.499508125210156</v>
      </c>
      <c r="AA162" s="93">
        <f t="shared" ca="1" si="50"/>
        <v>70.122600636702245</v>
      </c>
      <c r="AB162" s="93">
        <f t="shared" ca="1" si="50"/>
        <v>61.541839373459155</v>
      </c>
      <c r="AC162" s="93">
        <f t="shared" ca="1" si="50"/>
        <v>46.112779844006937</v>
      </c>
      <c r="AD162" s="93">
        <f t="shared" ca="1" si="50"/>
        <v>43.609021308466701</v>
      </c>
      <c r="AE162" s="93">
        <f t="shared" ca="1" si="50"/>
        <v>32.947586821183165</v>
      </c>
      <c r="AF162" s="93">
        <f t="shared" ca="1" si="50"/>
        <v>0</v>
      </c>
      <c r="AG162" s="93">
        <f t="shared" ca="1" si="50"/>
        <v>0</v>
      </c>
      <c r="AH162" s="93">
        <f t="shared" ca="1" si="50"/>
        <v>0</v>
      </c>
      <c r="AI162" s="93">
        <f t="shared" ca="1" si="50"/>
        <v>0</v>
      </c>
      <c r="AJ162" s="93">
        <f t="shared" ca="1" si="50"/>
        <v>0</v>
      </c>
      <c r="AK162" s="93">
        <f t="shared" ca="1" si="50"/>
        <v>0</v>
      </c>
      <c r="AL162" s="93">
        <f t="shared" ca="1" si="50"/>
        <v>0</v>
      </c>
      <c r="AM162" s="93">
        <f t="shared" ca="1" si="50"/>
        <v>0</v>
      </c>
      <c r="AN162" s="93">
        <f t="shared" ca="1" si="50"/>
        <v>0</v>
      </c>
      <c r="AO162" s="93">
        <f t="shared" ca="1" si="50"/>
        <v>0</v>
      </c>
      <c r="AP162" s="93">
        <f t="shared" ca="1" si="50"/>
        <v>0</v>
      </c>
      <c r="AQ162" s="93">
        <f t="shared" ca="1" si="50"/>
        <v>0</v>
      </c>
      <c r="AR162" s="93">
        <f t="shared" ca="1" si="50"/>
        <v>0</v>
      </c>
      <c r="AS162" s="93">
        <f t="shared" ca="1" si="50"/>
        <v>0</v>
      </c>
      <c r="AT162" s="93">
        <f t="shared" ca="1" si="50"/>
        <v>0</v>
      </c>
      <c r="AU162" s="93">
        <f t="shared" ca="1" si="50"/>
        <v>0</v>
      </c>
      <c r="AV162" s="93">
        <f t="shared" ca="1" si="50"/>
        <v>0</v>
      </c>
      <c r="AW162" s="93">
        <f t="shared" ca="1" si="50"/>
        <v>0</v>
      </c>
      <c r="AX162" s="93">
        <f t="shared" ca="1" si="50"/>
        <v>0</v>
      </c>
    </row>
    <row r="163" spans="1:50" s="93" customFormat="1" ht="15" customHeight="1">
      <c r="A163" s="90"/>
      <c r="B163" s="134"/>
      <c r="E163" s="93" t="str">
        <f xml:space="preserve"> E123 &amp; " Cum"</f>
        <v>Project cashflow before decommissioning fund Cum</v>
      </c>
      <c r="G163" s="93" t="str">
        <f xml:space="preserve"> G123</f>
        <v>US$ mn 2021</v>
      </c>
      <c r="J163" s="207"/>
      <c r="K163" s="93">
        <f t="shared" ref="K163:AX163" ca="1" si="51" xml:space="preserve"> J163 + K161</f>
        <v>-10</v>
      </c>
      <c r="L163" s="93">
        <f t="shared" ca="1" si="51"/>
        <v>-20</v>
      </c>
      <c r="M163" s="93">
        <f t="shared" ca="1" si="51"/>
        <v>-30</v>
      </c>
      <c r="N163" s="93">
        <f t="shared" ca="1" si="51"/>
        <v>-80</v>
      </c>
      <c r="O163" s="93">
        <f t="shared" ca="1" si="51"/>
        <v>-319.75000000000006</v>
      </c>
      <c r="P163" s="93">
        <f t="shared" ca="1" si="51"/>
        <v>-350.87500000000006</v>
      </c>
      <c r="Q163" s="93">
        <f t="shared" ca="1" si="51"/>
        <v>-205.12500000000006</v>
      </c>
      <c r="R163" s="93">
        <f t="shared" ca="1" si="51"/>
        <v>-59.375000000000085</v>
      </c>
      <c r="S163" s="93">
        <f t="shared" ca="1" si="51"/>
        <v>86.374999999999886</v>
      </c>
      <c r="T163" s="93">
        <f t="shared" ca="1" si="51"/>
        <v>232.12499999999991</v>
      </c>
      <c r="U163" s="93">
        <f t="shared" ca="1" si="51"/>
        <v>377.87499999999989</v>
      </c>
      <c r="V163" s="93">
        <f t="shared" ca="1" si="51"/>
        <v>523.62499999999989</v>
      </c>
      <c r="W163" s="93">
        <f t="shared" ca="1" si="51"/>
        <v>669.37499999999989</v>
      </c>
      <c r="X163" s="93">
        <f t="shared" ca="1" si="51"/>
        <v>815.12499999999989</v>
      </c>
      <c r="Y163" s="93">
        <f t="shared" ca="1" si="51"/>
        <v>960.87499999999989</v>
      </c>
      <c r="Z163" s="93">
        <f t="shared" ca="1" si="51"/>
        <v>1106.625</v>
      </c>
      <c r="AA163" s="93">
        <f t="shared" ca="1" si="51"/>
        <v>1226.75</v>
      </c>
      <c r="AB163" s="93">
        <f t="shared" ca="1" si="51"/>
        <v>1329.25</v>
      </c>
      <c r="AC163" s="93">
        <f t="shared" ca="1" si="51"/>
        <v>1406.125</v>
      </c>
      <c r="AD163" s="93">
        <f t="shared" ca="1" si="51"/>
        <v>1472.75</v>
      </c>
      <c r="AE163" s="93">
        <f t="shared" ca="1" si="51"/>
        <v>1524</v>
      </c>
      <c r="AF163" s="93">
        <f t="shared" ca="1" si="51"/>
        <v>1504</v>
      </c>
      <c r="AG163" s="93">
        <f t="shared" ca="1" si="51"/>
        <v>1504</v>
      </c>
      <c r="AH163" s="93">
        <f t="shared" ca="1" si="51"/>
        <v>1504</v>
      </c>
      <c r="AI163" s="93">
        <f t="shared" ca="1" si="51"/>
        <v>1504</v>
      </c>
      <c r="AJ163" s="93">
        <f t="shared" ca="1" si="51"/>
        <v>1504</v>
      </c>
      <c r="AK163" s="93">
        <f t="shared" ca="1" si="51"/>
        <v>1504</v>
      </c>
      <c r="AL163" s="93">
        <f t="shared" ca="1" si="51"/>
        <v>1504</v>
      </c>
      <c r="AM163" s="93">
        <f t="shared" ca="1" si="51"/>
        <v>1504</v>
      </c>
      <c r="AN163" s="93">
        <f t="shared" ca="1" si="51"/>
        <v>1504</v>
      </c>
      <c r="AO163" s="93">
        <f t="shared" ca="1" si="51"/>
        <v>1504</v>
      </c>
      <c r="AP163" s="93">
        <f t="shared" ca="1" si="51"/>
        <v>1504</v>
      </c>
      <c r="AQ163" s="93">
        <f t="shared" ca="1" si="51"/>
        <v>1504</v>
      </c>
      <c r="AR163" s="93">
        <f t="shared" ca="1" si="51"/>
        <v>1504</v>
      </c>
      <c r="AS163" s="93">
        <f t="shared" ca="1" si="51"/>
        <v>1504</v>
      </c>
      <c r="AT163" s="93">
        <f t="shared" ca="1" si="51"/>
        <v>1504</v>
      </c>
      <c r="AU163" s="93">
        <f t="shared" ca="1" si="51"/>
        <v>1504</v>
      </c>
      <c r="AV163" s="93">
        <f t="shared" ca="1" si="51"/>
        <v>1504</v>
      </c>
      <c r="AW163" s="93">
        <f t="shared" ca="1" si="51"/>
        <v>1504</v>
      </c>
      <c r="AX163" s="93">
        <f t="shared" ca="1" si="51"/>
        <v>1504</v>
      </c>
    </row>
    <row r="164" spans="1:50" s="93" customFormat="1" ht="15" customHeight="1">
      <c r="A164" s="90"/>
      <c r="B164" s="134"/>
      <c r="E164" s="93" t="str">
        <f xml:space="preserve"> E128 &amp; " Cum"</f>
        <v>Net cashflow after fiscal regime: Parent company (excluding loan) Cum</v>
      </c>
      <c r="G164" s="93" t="str">
        <f xml:space="preserve"> G128</f>
        <v>US$ mn 2021</v>
      </c>
      <c r="J164" s="207"/>
      <c r="K164" s="93">
        <f t="shared" ref="K164:AX164" ca="1" si="52" xml:space="preserve"> J164 + K162</f>
        <v>-10</v>
      </c>
      <c r="L164" s="93">
        <f t="shared" ca="1" si="52"/>
        <v>-20</v>
      </c>
      <c r="M164" s="93">
        <f t="shared" ca="1" si="52"/>
        <v>-30</v>
      </c>
      <c r="N164" s="93">
        <f t="shared" ca="1" si="52"/>
        <v>-80</v>
      </c>
      <c r="O164" s="93">
        <f t="shared" ca="1" si="52"/>
        <v>-320.48750000000001</v>
      </c>
      <c r="P164" s="93">
        <f t="shared" ca="1" si="52"/>
        <v>-360.47812500000003</v>
      </c>
      <c r="Q164" s="93">
        <f t="shared" ca="1" si="52"/>
        <v>-233.32377732843142</v>
      </c>
      <c r="R164" s="93">
        <f t="shared" ca="1" si="52"/>
        <v>-106.28581392493281</v>
      </c>
      <c r="S164" s="93">
        <f t="shared" ca="1" si="52"/>
        <v>13.562336061911182</v>
      </c>
      <c r="T164" s="93">
        <f t="shared" ca="1" si="52"/>
        <v>113.01322671501411</v>
      </c>
      <c r="U164" s="93">
        <f t="shared" ca="1" si="52"/>
        <v>206.67789888192175</v>
      </c>
      <c r="V164" s="93">
        <f t="shared" ca="1" si="52"/>
        <v>293.8778750932272</v>
      </c>
      <c r="W164" s="93">
        <f t="shared" ca="1" si="52"/>
        <v>381.07785130453271</v>
      </c>
      <c r="X164" s="93">
        <f t="shared" ca="1" si="52"/>
        <v>466.50866051906462</v>
      </c>
      <c r="Y164" s="93">
        <f t="shared" ca="1" si="52"/>
        <v>551.97415928255282</v>
      </c>
      <c r="Z164" s="93">
        <f t="shared" ca="1" si="52"/>
        <v>637.47366740776295</v>
      </c>
      <c r="AA164" s="93">
        <f t="shared" ca="1" si="52"/>
        <v>707.59626804446521</v>
      </c>
      <c r="AB164" s="93">
        <f t="shared" ca="1" si="52"/>
        <v>769.1381074179244</v>
      </c>
      <c r="AC164" s="93">
        <f t="shared" ca="1" si="52"/>
        <v>815.25088726193133</v>
      </c>
      <c r="AD164" s="93">
        <f t="shared" ca="1" si="52"/>
        <v>858.85990857039803</v>
      </c>
      <c r="AE164" s="93">
        <f t="shared" ca="1" si="52"/>
        <v>891.80749539158114</v>
      </c>
      <c r="AF164" s="93">
        <f t="shared" ca="1" si="52"/>
        <v>891.80749539158114</v>
      </c>
      <c r="AG164" s="93">
        <f t="shared" ca="1" si="52"/>
        <v>891.80749539158114</v>
      </c>
      <c r="AH164" s="93">
        <f t="shared" ca="1" si="52"/>
        <v>891.80749539158114</v>
      </c>
      <c r="AI164" s="93">
        <f t="shared" ca="1" si="52"/>
        <v>891.80749539158114</v>
      </c>
      <c r="AJ164" s="93">
        <f t="shared" ca="1" si="52"/>
        <v>891.80749539158114</v>
      </c>
      <c r="AK164" s="93">
        <f t="shared" ca="1" si="52"/>
        <v>891.80749539158114</v>
      </c>
      <c r="AL164" s="93">
        <f t="shared" ca="1" si="52"/>
        <v>891.80749539158114</v>
      </c>
      <c r="AM164" s="93">
        <f t="shared" ca="1" si="52"/>
        <v>891.80749539158114</v>
      </c>
      <c r="AN164" s="93">
        <f t="shared" ca="1" si="52"/>
        <v>891.80749539158114</v>
      </c>
      <c r="AO164" s="93">
        <f t="shared" ca="1" si="52"/>
        <v>891.80749539158114</v>
      </c>
      <c r="AP164" s="93">
        <f t="shared" ca="1" si="52"/>
        <v>891.80749539158114</v>
      </c>
      <c r="AQ164" s="93">
        <f t="shared" ca="1" si="52"/>
        <v>891.80749539158114</v>
      </c>
      <c r="AR164" s="93">
        <f t="shared" ca="1" si="52"/>
        <v>891.80749539158114</v>
      </c>
      <c r="AS164" s="93">
        <f t="shared" ca="1" si="52"/>
        <v>891.80749539158114</v>
      </c>
      <c r="AT164" s="93">
        <f t="shared" ca="1" si="52"/>
        <v>891.80749539158114</v>
      </c>
      <c r="AU164" s="93">
        <f t="shared" ca="1" si="52"/>
        <v>891.80749539158114</v>
      </c>
      <c r="AV164" s="93">
        <f t="shared" ca="1" si="52"/>
        <v>891.80749539158114</v>
      </c>
      <c r="AW164" s="93">
        <f t="shared" ca="1" si="52"/>
        <v>891.80749539158114</v>
      </c>
      <c r="AX164" s="93">
        <f t="shared" ca="1" si="52"/>
        <v>891.80749539158114</v>
      </c>
    </row>
    <row r="165" spans="1:50" s="93" customFormat="1" ht="15" customHeight="1">
      <c r="A165" s="90"/>
      <c r="B165" s="156"/>
    </row>
    <row r="166" spans="1:50" s="204" customFormat="1" ht="15" customHeight="1">
      <c r="B166" s="205"/>
      <c r="E166" s="204" t="str">
        <f xml:space="preserve"> ProjectCashflows!E$193</f>
        <v>Cumulative production years</v>
      </c>
      <c r="F166" s="204">
        <f xml:space="preserve"> ProjectCashflows!F$193</f>
        <v>0</v>
      </c>
      <c r="G166" s="204" t="str">
        <f xml:space="preserve"> ProjectCashflows!G$193</f>
        <v>Years</v>
      </c>
      <c r="H166" s="204">
        <f xml:space="preserve"> ProjectCashflows!H$193</f>
        <v>0</v>
      </c>
      <c r="I166" s="204">
        <f xml:space="preserve"> ProjectCashflows!I$193</f>
        <v>0</v>
      </c>
      <c r="J166" s="204">
        <f xml:space="preserve"> ProjectCashflows!J$193</f>
        <v>0</v>
      </c>
      <c r="K166" s="204">
        <f ca="1" xml:space="preserve"> ProjectCashflows!K$193</f>
        <v>0</v>
      </c>
      <c r="L166" s="204">
        <f ca="1" xml:space="preserve"> ProjectCashflows!L$193</f>
        <v>0</v>
      </c>
      <c r="M166" s="204">
        <f ca="1" xml:space="preserve"> ProjectCashflows!M$193</f>
        <v>0</v>
      </c>
      <c r="N166" s="204">
        <f ca="1" xml:space="preserve"> ProjectCashflows!N$193</f>
        <v>0</v>
      </c>
      <c r="O166" s="204">
        <f ca="1" xml:space="preserve"> ProjectCashflows!O$193</f>
        <v>1</v>
      </c>
      <c r="P166" s="204">
        <f ca="1" xml:space="preserve"> ProjectCashflows!P$193</f>
        <v>2</v>
      </c>
      <c r="Q166" s="204">
        <f ca="1" xml:space="preserve"> ProjectCashflows!Q$193</f>
        <v>3</v>
      </c>
      <c r="R166" s="204">
        <f ca="1" xml:space="preserve"> ProjectCashflows!R$193</f>
        <v>4</v>
      </c>
      <c r="S166" s="204">
        <f ca="1" xml:space="preserve"> ProjectCashflows!S$193</f>
        <v>5</v>
      </c>
      <c r="T166" s="204">
        <f ca="1" xml:space="preserve"> ProjectCashflows!T$193</f>
        <v>6</v>
      </c>
      <c r="U166" s="204">
        <f ca="1" xml:space="preserve"> ProjectCashflows!U$193</f>
        <v>7</v>
      </c>
      <c r="V166" s="204">
        <f ca="1" xml:space="preserve"> ProjectCashflows!V$193</f>
        <v>8</v>
      </c>
      <c r="W166" s="204">
        <f ca="1" xml:space="preserve"> ProjectCashflows!W$193</f>
        <v>9</v>
      </c>
      <c r="X166" s="204">
        <f ca="1" xml:space="preserve"> ProjectCashflows!X$193</f>
        <v>10</v>
      </c>
      <c r="Y166" s="204">
        <f ca="1" xml:space="preserve"> ProjectCashflows!Y$193</f>
        <v>11</v>
      </c>
      <c r="Z166" s="204">
        <f ca="1" xml:space="preserve"> ProjectCashflows!Z$193</f>
        <v>12</v>
      </c>
      <c r="AA166" s="204">
        <f ca="1" xml:space="preserve"> ProjectCashflows!AA$193</f>
        <v>13</v>
      </c>
      <c r="AB166" s="204">
        <f ca="1" xml:space="preserve"> ProjectCashflows!AB$193</f>
        <v>14</v>
      </c>
      <c r="AC166" s="204">
        <f ca="1" xml:space="preserve"> ProjectCashflows!AC$193</f>
        <v>15</v>
      </c>
      <c r="AD166" s="204">
        <f ca="1" xml:space="preserve"> ProjectCashflows!AD$193</f>
        <v>16</v>
      </c>
      <c r="AE166" s="204">
        <f ca="1" xml:space="preserve"> ProjectCashflows!AE$193</f>
        <v>17</v>
      </c>
      <c r="AF166" s="204">
        <f ca="1" xml:space="preserve"> ProjectCashflows!AF$193</f>
        <v>0</v>
      </c>
      <c r="AG166" s="204">
        <f ca="1" xml:space="preserve"> ProjectCashflows!AG$193</f>
        <v>0</v>
      </c>
      <c r="AH166" s="204">
        <f ca="1" xml:space="preserve"> ProjectCashflows!AH$193</f>
        <v>0</v>
      </c>
      <c r="AI166" s="204">
        <f ca="1" xml:space="preserve"> ProjectCashflows!AI$193</f>
        <v>0</v>
      </c>
      <c r="AJ166" s="204">
        <f ca="1" xml:space="preserve"> ProjectCashflows!AJ$193</f>
        <v>0</v>
      </c>
      <c r="AK166" s="204">
        <f ca="1" xml:space="preserve"> ProjectCashflows!AK$193</f>
        <v>0</v>
      </c>
      <c r="AL166" s="204">
        <f ca="1" xml:space="preserve"> ProjectCashflows!AL$193</f>
        <v>0</v>
      </c>
      <c r="AM166" s="204">
        <f ca="1" xml:space="preserve"> ProjectCashflows!AM$193</f>
        <v>0</v>
      </c>
      <c r="AN166" s="204">
        <f ca="1" xml:space="preserve"> ProjectCashflows!AN$193</f>
        <v>0</v>
      </c>
      <c r="AO166" s="204">
        <f ca="1" xml:space="preserve"> ProjectCashflows!AO$193</f>
        <v>0</v>
      </c>
      <c r="AP166" s="204">
        <f ca="1" xml:space="preserve"> ProjectCashflows!AP$193</f>
        <v>0</v>
      </c>
      <c r="AQ166" s="204">
        <f ca="1" xml:space="preserve"> ProjectCashflows!AQ$193</f>
        <v>0</v>
      </c>
      <c r="AR166" s="204">
        <f ca="1" xml:space="preserve"> ProjectCashflows!AR$193</f>
        <v>0</v>
      </c>
      <c r="AS166" s="204">
        <f ca="1" xml:space="preserve"> ProjectCashflows!AS$193</f>
        <v>0</v>
      </c>
      <c r="AT166" s="204">
        <f ca="1" xml:space="preserve"> ProjectCashflows!AT$193</f>
        <v>0</v>
      </c>
      <c r="AU166" s="204">
        <f ca="1" xml:space="preserve"> ProjectCashflows!AU$193</f>
        <v>0</v>
      </c>
      <c r="AV166" s="204">
        <f ca="1" xml:space="preserve"> ProjectCashflows!AV$193</f>
        <v>0</v>
      </c>
      <c r="AW166" s="204">
        <f ca="1" xml:space="preserve"> ProjectCashflows!AW$193</f>
        <v>0</v>
      </c>
      <c r="AX166" s="204">
        <f ca="1" xml:space="preserve"> ProjectCashflows!AX$193</f>
        <v>0</v>
      </c>
    </row>
    <row r="167" spans="1:50" s="93" customFormat="1" ht="15" customHeight="1">
      <c r="A167" s="90"/>
      <c r="B167" s="134"/>
      <c r="E167" s="93" t="str">
        <f xml:space="preserve"> Translate!E$14 &amp;  ": "  &amp; E161</f>
        <v>Payback: Project cashflow before decommissioning fund</v>
      </c>
      <c r="G167" s="346" t="str">
        <f xml:space="preserve"> Translate!E$360</f>
        <v>Production year</v>
      </c>
      <c r="I167" s="208"/>
      <c r="K167" s="208">
        <f t="shared" ref="K167:AX167" ca="1" si="53" xml:space="preserve"> IFERROR( AND( K163 &gt; 0, J163 &lt; 0 ) * (ABS(J163 / K161) + J166), 0)</f>
        <v>0</v>
      </c>
      <c r="L167" s="208">
        <f t="shared" ca="1" si="53"/>
        <v>0</v>
      </c>
      <c r="M167" s="208">
        <f t="shared" ca="1" si="53"/>
        <v>0</v>
      </c>
      <c r="N167" s="208">
        <f t="shared" ca="1" si="53"/>
        <v>0</v>
      </c>
      <c r="O167" s="208">
        <f t="shared" ca="1" si="53"/>
        <v>0</v>
      </c>
      <c r="P167" s="208">
        <f t="shared" ca="1" si="53"/>
        <v>0</v>
      </c>
      <c r="Q167" s="208">
        <f t="shared" ca="1" si="53"/>
        <v>0</v>
      </c>
      <c r="R167" s="208">
        <f t="shared" ca="1" si="53"/>
        <v>0</v>
      </c>
      <c r="S167" s="208">
        <f t="shared" ca="1" si="53"/>
        <v>4.4073756432247002</v>
      </c>
      <c r="T167" s="208">
        <f t="shared" ca="1" si="53"/>
        <v>0</v>
      </c>
      <c r="U167" s="208">
        <f t="shared" ca="1" si="53"/>
        <v>0</v>
      </c>
      <c r="V167" s="208">
        <f t="shared" ca="1" si="53"/>
        <v>0</v>
      </c>
      <c r="W167" s="208">
        <f t="shared" ca="1" si="53"/>
        <v>0</v>
      </c>
      <c r="X167" s="208">
        <f t="shared" ca="1" si="53"/>
        <v>0</v>
      </c>
      <c r="Y167" s="208">
        <f t="shared" ca="1" si="53"/>
        <v>0</v>
      </c>
      <c r="Z167" s="208">
        <f t="shared" ca="1" si="53"/>
        <v>0</v>
      </c>
      <c r="AA167" s="208">
        <f t="shared" ca="1" si="53"/>
        <v>0</v>
      </c>
      <c r="AB167" s="208">
        <f t="shared" ca="1" si="53"/>
        <v>0</v>
      </c>
      <c r="AC167" s="208">
        <f t="shared" ca="1" si="53"/>
        <v>0</v>
      </c>
      <c r="AD167" s="208">
        <f t="shared" ca="1" si="53"/>
        <v>0</v>
      </c>
      <c r="AE167" s="208">
        <f t="shared" ca="1" si="53"/>
        <v>0</v>
      </c>
      <c r="AF167" s="208">
        <f t="shared" ca="1" si="53"/>
        <v>0</v>
      </c>
      <c r="AG167" s="208">
        <f t="shared" ca="1" si="53"/>
        <v>0</v>
      </c>
      <c r="AH167" s="208">
        <f t="shared" ca="1" si="53"/>
        <v>0</v>
      </c>
      <c r="AI167" s="208">
        <f t="shared" ca="1" si="53"/>
        <v>0</v>
      </c>
      <c r="AJ167" s="208">
        <f t="shared" ca="1" si="53"/>
        <v>0</v>
      </c>
      <c r="AK167" s="208">
        <f t="shared" ca="1" si="53"/>
        <v>0</v>
      </c>
      <c r="AL167" s="208">
        <f t="shared" ca="1" si="53"/>
        <v>0</v>
      </c>
      <c r="AM167" s="208">
        <f t="shared" ca="1" si="53"/>
        <v>0</v>
      </c>
      <c r="AN167" s="208">
        <f t="shared" ca="1" si="53"/>
        <v>0</v>
      </c>
      <c r="AO167" s="208">
        <f t="shared" ca="1" si="53"/>
        <v>0</v>
      </c>
      <c r="AP167" s="208">
        <f t="shared" ca="1" si="53"/>
        <v>0</v>
      </c>
      <c r="AQ167" s="208">
        <f t="shared" ca="1" si="53"/>
        <v>0</v>
      </c>
      <c r="AR167" s="208">
        <f t="shared" ca="1" si="53"/>
        <v>0</v>
      </c>
      <c r="AS167" s="208">
        <f t="shared" ca="1" si="53"/>
        <v>0</v>
      </c>
      <c r="AT167" s="208">
        <f t="shared" ca="1" si="53"/>
        <v>0</v>
      </c>
      <c r="AU167" s="208">
        <f t="shared" ca="1" si="53"/>
        <v>0</v>
      </c>
      <c r="AV167" s="208">
        <f t="shared" ca="1" si="53"/>
        <v>0</v>
      </c>
      <c r="AW167" s="208">
        <f t="shared" ca="1" si="53"/>
        <v>0</v>
      </c>
      <c r="AX167" s="208">
        <f t="shared" ca="1" si="53"/>
        <v>0</v>
      </c>
    </row>
    <row r="168" spans="1:50" s="93" customFormat="1" ht="15" customHeight="1">
      <c r="A168" s="90"/>
      <c r="B168" s="134"/>
      <c r="E168" s="93" t="str">
        <f xml:space="preserve"> Translate!E$14 &amp;  ": "  &amp; E162</f>
        <v>Payback: Investors (Parent company + lender)</v>
      </c>
      <c r="G168" s="346" t="str">
        <f xml:space="preserve"> Translate!E$360</f>
        <v>Production year</v>
      </c>
      <c r="I168" s="208"/>
      <c r="K168" s="208">
        <f t="shared" ref="K168:AX168" ca="1" si="54" xml:space="preserve"> IFERROR( AND( K164 &gt; 0, J164 &lt; 0 ) * (ABS(J164 / K162) + J166), 0)</f>
        <v>0</v>
      </c>
      <c r="L168" s="208">
        <f t="shared" ca="1" si="54"/>
        <v>0</v>
      </c>
      <c r="M168" s="208">
        <f t="shared" ca="1" si="54"/>
        <v>0</v>
      </c>
      <c r="N168" s="208">
        <f t="shared" ca="1" si="54"/>
        <v>0</v>
      </c>
      <c r="O168" s="208">
        <f t="shared" ca="1" si="54"/>
        <v>0</v>
      </c>
      <c r="P168" s="208">
        <f t="shared" ca="1" si="54"/>
        <v>0</v>
      </c>
      <c r="Q168" s="208">
        <f t="shared" ca="1" si="54"/>
        <v>0</v>
      </c>
      <c r="R168" s="208">
        <f t="shared" ca="1" si="54"/>
        <v>0</v>
      </c>
      <c r="S168" s="208">
        <f t="shared" ca="1" si="54"/>
        <v>4.8868373348825163</v>
      </c>
      <c r="T168" s="208">
        <f t="shared" ca="1" si="54"/>
        <v>0</v>
      </c>
      <c r="U168" s="208">
        <f t="shared" ca="1" si="54"/>
        <v>0</v>
      </c>
      <c r="V168" s="208">
        <f t="shared" ca="1" si="54"/>
        <v>0</v>
      </c>
      <c r="W168" s="208">
        <f t="shared" ca="1" si="54"/>
        <v>0</v>
      </c>
      <c r="X168" s="208">
        <f t="shared" ca="1" si="54"/>
        <v>0</v>
      </c>
      <c r="Y168" s="208">
        <f t="shared" ca="1" si="54"/>
        <v>0</v>
      </c>
      <c r="Z168" s="208">
        <f t="shared" ca="1" si="54"/>
        <v>0</v>
      </c>
      <c r="AA168" s="208">
        <f t="shared" ca="1" si="54"/>
        <v>0</v>
      </c>
      <c r="AB168" s="208">
        <f t="shared" ca="1" si="54"/>
        <v>0</v>
      </c>
      <c r="AC168" s="208">
        <f t="shared" ca="1" si="54"/>
        <v>0</v>
      </c>
      <c r="AD168" s="208">
        <f t="shared" ca="1" si="54"/>
        <v>0</v>
      </c>
      <c r="AE168" s="208">
        <f t="shared" ca="1" si="54"/>
        <v>0</v>
      </c>
      <c r="AF168" s="208">
        <f t="shared" ca="1" si="54"/>
        <v>0</v>
      </c>
      <c r="AG168" s="208">
        <f t="shared" ca="1" si="54"/>
        <v>0</v>
      </c>
      <c r="AH168" s="208">
        <f t="shared" ca="1" si="54"/>
        <v>0</v>
      </c>
      <c r="AI168" s="208">
        <f t="shared" ca="1" si="54"/>
        <v>0</v>
      </c>
      <c r="AJ168" s="208">
        <f t="shared" ca="1" si="54"/>
        <v>0</v>
      </c>
      <c r="AK168" s="208">
        <f t="shared" ca="1" si="54"/>
        <v>0</v>
      </c>
      <c r="AL168" s="208">
        <f t="shared" ca="1" si="54"/>
        <v>0</v>
      </c>
      <c r="AM168" s="208">
        <f t="shared" ca="1" si="54"/>
        <v>0</v>
      </c>
      <c r="AN168" s="208">
        <f t="shared" ca="1" si="54"/>
        <v>0</v>
      </c>
      <c r="AO168" s="208">
        <f t="shared" ca="1" si="54"/>
        <v>0</v>
      </c>
      <c r="AP168" s="208">
        <f t="shared" ca="1" si="54"/>
        <v>0</v>
      </c>
      <c r="AQ168" s="208">
        <f t="shared" ca="1" si="54"/>
        <v>0</v>
      </c>
      <c r="AR168" s="208">
        <f t="shared" ca="1" si="54"/>
        <v>0</v>
      </c>
      <c r="AS168" s="208">
        <f t="shared" ca="1" si="54"/>
        <v>0</v>
      </c>
      <c r="AT168" s="208">
        <f t="shared" ca="1" si="54"/>
        <v>0</v>
      </c>
      <c r="AU168" s="208">
        <f t="shared" ca="1" si="54"/>
        <v>0</v>
      </c>
      <c r="AV168" s="208">
        <f t="shared" ca="1" si="54"/>
        <v>0</v>
      </c>
      <c r="AW168" s="208">
        <f t="shared" ca="1" si="54"/>
        <v>0</v>
      </c>
      <c r="AX168" s="208">
        <f t="shared" ca="1" si="54"/>
        <v>0</v>
      </c>
    </row>
    <row r="169" spans="1:50" s="93" customFormat="1" ht="15" customHeight="1">
      <c r="A169" s="90"/>
      <c r="B169" s="134"/>
    </row>
    <row r="170" spans="1:50" s="93" customFormat="1" ht="15" customHeight="1">
      <c r="A170" s="90"/>
      <c r="B170" s="134"/>
      <c r="E170" s="93" t="str">
        <f xml:space="preserve"> E167</f>
        <v>Payback: Project cashflow before decommissioning fund</v>
      </c>
      <c r="F170" s="209">
        <f ca="1" xml:space="preserve"> SUM(K167:AX167)</f>
        <v>4.4073756432247002</v>
      </c>
      <c r="G170" s="346" t="str">
        <f xml:space="preserve"> Translate!E$360</f>
        <v>Production year</v>
      </c>
    </row>
    <row r="171" spans="1:50" s="93" customFormat="1" ht="15" customHeight="1">
      <c r="A171" s="90"/>
      <c r="B171" s="134"/>
      <c r="E171" s="93" t="str">
        <f xml:space="preserve"> E168</f>
        <v>Payback: Investors (Parent company + lender)</v>
      </c>
      <c r="F171" s="209">
        <f ca="1" xml:space="preserve"> SUM(K168:AX168)</f>
        <v>4.8868373348825163</v>
      </c>
      <c r="G171" s="346" t="str">
        <f xml:space="preserve"> Translate!E$360</f>
        <v>Production year</v>
      </c>
    </row>
    <row r="172" spans="1:50" s="93" customFormat="1" ht="15" customHeight="1">
      <c r="A172" s="90"/>
      <c r="B172" s="134"/>
    </row>
    <row r="173" spans="1:50" s="93" customFormat="1" ht="15" customHeight="1">
      <c r="A173" s="90"/>
      <c r="B173" s="91" t="str">
        <f>Translate!$E$16 &amp; ": " &amp; Inputs!F$83 &amp; ", " &amp; Inputs!F$85 &amp; ", " &amp; Inputs!F$59</f>
        <v>Project participants: full-cycle, real, NPV8</v>
      </c>
    </row>
    <row r="174" spans="1:50" s="93" customFormat="1" ht="15" customHeight="1">
      <c r="A174" s="90"/>
      <c r="B174" s="134"/>
      <c r="C174" s="91"/>
    </row>
    <row r="175" spans="1:50" s="237" customFormat="1" ht="15" customHeight="1">
      <c r="E175" s="237" t="str">
        <f xml:space="preserve"> ProjectCashflows!E$221</f>
        <v>Discount factor: full-cycle, NPV8</v>
      </c>
      <c r="F175" s="237">
        <f xml:space="preserve"> ProjectCashflows!F$221</f>
        <v>0</v>
      </c>
      <c r="G175" s="237" t="str">
        <f xml:space="preserve"> ProjectCashflows!G$221</f>
        <v>factor</v>
      </c>
      <c r="H175" s="237">
        <f xml:space="preserve"> ProjectCashflows!H$221</f>
        <v>0</v>
      </c>
      <c r="I175" s="237">
        <f xml:space="preserve"> ProjectCashflows!I$221</f>
        <v>0</v>
      </c>
      <c r="J175" s="237">
        <f xml:space="preserve"> ProjectCashflows!J$221</f>
        <v>0</v>
      </c>
      <c r="K175" s="237">
        <f ca="1" xml:space="preserve"> ProjectCashflows!K$221</f>
        <v>1</v>
      </c>
      <c r="L175" s="237">
        <f ca="1" xml:space="preserve"> ProjectCashflows!L$221</f>
        <v>0.92592592592592582</v>
      </c>
      <c r="M175" s="237">
        <f ca="1" xml:space="preserve"> ProjectCashflows!M$221</f>
        <v>0.85733882030178321</v>
      </c>
      <c r="N175" s="237">
        <f ca="1" xml:space="preserve"> ProjectCashflows!N$221</f>
        <v>0.79383224102016958</v>
      </c>
      <c r="O175" s="237">
        <f ca="1" xml:space="preserve"> ProjectCashflows!O$221</f>
        <v>0.73502985279645328</v>
      </c>
      <c r="P175" s="237">
        <f ca="1" xml:space="preserve"> ProjectCashflows!P$221</f>
        <v>0.68058319703375303</v>
      </c>
      <c r="Q175" s="237">
        <f ca="1" xml:space="preserve"> ProjectCashflows!Q$221</f>
        <v>0.63016962688310452</v>
      </c>
      <c r="R175" s="237">
        <f ca="1" xml:space="preserve"> ProjectCashflows!R$221</f>
        <v>0.58349039526213387</v>
      </c>
      <c r="S175" s="237">
        <f ca="1" xml:space="preserve"> ProjectCashflows!S$221</f>
        <v>0.54026888450197574</v>
      </c>
      <c r="T175" s="237">
        <f ca="1" xml:space="preserve"> ProjectCashflows!T$221</f>
        <v>0.50024896713145905</v>
      </c>
      <c r="U175" s="237">
        <f ca="1" xml:space="preserve"> ProjectCashflows!U$221</f>
        <v>0.46319348808468425</v>
      </c>
      <c r="V175" s="237">
        <f ca="1" xml:space="preserve"> ProjectCashflows!V$221</f>
        <v>0.42888285933767062</v>
      </c>
      <c r="W175" s="237">
        <f ca="1" xml:space="preserve"> ProjectCashflows!W$221</f>
        <v>0.39711375864599124</v>
      </c>
      <c r="X175" s="237">
        <f ca="1" xml:space="preserve"> ProjectCashflows!X$221</f>
        <v>0.36769792467221413</v>
      </c>
      <c r="Y175" s="237">
        <f ca="1" xml:space="preserve"> ProjectCashflows!Y$221</f>
        <v>0.34046104136316119</v>
      </c>
      <c r="Z175" s="237">
        <f ca="1" xml:space="preserve"> ProjectCashflows!Z$221</f>
        <v>0.31524170496588994</v>
      </c>
      <c r="AA175" s="237">
        <f ca="1" xml:space="preserve"> ProjectCashflows!AA$221</f>
        <v>0.29189046756100923</v>
      </c>
      <c r="AB175" s="237">
        <f ca="1" xml:space="preserve"> ProjectCashflows!AB$221</f>
        <v>0.27026895144537894</v>
      </c>
      <c r="AC175" s="237">
        <f ca="1" xml:space="preserve"> ProjectCashflows!AC$221</f>
        <v>0.25024902911609154</v>
      </c>
      <c r="AD175" s="237">
        <f ca="1" xml:space="preserve"> ProjectCashflows!AD$221</f>
        <v>0.23171206399638106</v>
      </c>
      <c r="AE175" s="237">
        <f ca="1" xml:space="preserve"> ProjectCashflows!AE$221</f>
        <v>0.21454820740405653</v>
      </c>
      <c r="AF175" s="237">
        <f ca="1" xml:space="preserve"> ProjectCashflows!AF$221</f>
        <v>0.19865574759634863</v>
      </c>
      <c r="AG175" s="237">
        <f ca="1" xml:space="preserve"> ProjectCashflows!AG$221</f>
        <v>0</v>
      </c>
      <c r="AH175" s="237">
        <f ca="1" xml:space="preserve"> ProjectCashflows!AH$221</f>
        <v>0</v>
      </c>
      <c r="AI175" s="237">
        <f ca="1" xml:space="preserve"> ProjectCashflows!AI$221</f>
        <v>0</v>
      </c>
      <c r="AJ175" s="237">
        <f ca="1" xml:space="preserve"> ProjectCashflows!AJ$221</f>
        <v>0</v>
      </c>
      <c r="AK175" s="237">
        <f ca="1" xml:space="preserve"> ProjectCashflows!AK$221</f>
        <v>0</v>
      </c>
      <c r="AL175" s="237">
        <f ca="1" xml:space="preserve"> ProjectCashflows!AL$221</f>
        <v>0</v>
      </c>
      <c r="AM175" s="237">
        <f ca="1" xml:space="preserve"> ProjectCashflows!AM$221</f>
        <v>0</v>
      </c>
      <c r="AN175" s="237">
        <f ca="1" xml:space="preserve"> ProjectCashflows!AN$221</f>
        <v>0</v>
      </c>
      <c r="AO175" s="237">
        <f ca="1" xml:space="preserve"> ProjectCashflows!AO$221</f>
        <v>0</v>
      </c>
      <c r="AP175" s="237">
        <f ca="1" xml:space="preserve"> ProjectCashflows!AP$221</f>
        <v>0</v>
      </c>
      <c r="AQ175" s="237">
        <f ca="1" xml:space="preserve"> ProjectCashflows!AQ$221</f>
        <v>0</v>
      </c>
      <c r="AR175" s="237">
        <f ca="1" xml:space="preserve"> ProjectCashflows!AR$221</f>
        <v>0</v>
      </c>
      <c r="AS175" s="237">
        <f ca="1" xml:space="preserve"> ProjectCashflows!AS$221</f>
        <v>0</v>
      </c>
      <c r="AT175" s="237">
        <f ca="1" xml:space="preserve"> ProjectCashflows!AT$221</f>
        <v>0</v>
      </c>
      <c r="AU175" s="237">
        <f ca="1" xml:space="preserve"> ProjectCashflows!AU$221</f>
        <v>0</v>
      </c>
      <c r="AV175" s="237">
        <f ca="1" xml:space="preserve"> ProjectCashflows!AV$221</f>
        <v>0</v>
      </c>
      <c r="AW175" s="237">
        <f ca="1" xml:space="preserve"> ProjectCashflows!AW$221</f>
        <v>0</v>
      </c>
      <c r="AX175" s="237">
        <f ca="1" xml:space="preserve"> ProjectCashflows!AX$221</f>
        <v>0</v>
      </c>
    </row>
    <row r="176" spans="1:50" s="204" customFormat="1" ht="15" customHeight="1">
      <c r="B176" s="206"/>
      <c r="E176" s="34" t="str">
        <f xml:space="preserve"> Inputs!E$59</f>
        <v>Short NPV label</v>
      </c>
      <c r="F176" s="198" t="str">
        <f xml:space="preserve"> Inputs!F$59</f>
        <v>NPV8</v>
      </c>
      <c r="G176" s="34" t="str">
        <f xml:space="preserve"> Inputs!G$59</f>
        <v>Label</v>
      </c>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row>
    <row r="177" spans="1:50" s="93" customFormat="1" ht="15" customHeight="1">
      <c r="A177" s="90"/>
      <c r="B177" s="134"/>
    </row>
    <row r="178" spans="1:50" s="93" customFormat="1" ht="15" customHeight="1">
      <c r="A178" s="90"/>
      <c r="B178" s="134"/>
      <c r="E178" s="93" t="str">
        <f t="shared" ref="E178:E186" si="55" xml:space="preserve"> E123</f>
        <v>Project cashflow before decommissioning fund</v>
      </c>
      <c r="G178" s="93" t="str">
        <f t="shared" ref="G178:G186" si="56" xml:space="preserve"> G123 &amp; " " &amp; F$176</f>
        <v>US$ mn 2021 NPV8</v>
      </c>
      <c r="K178" s="93">
        <f ca="1" xml:space="preserve"> IFERROR( K123 * K$175, 0)</f>
        <v>-10</v>
      </c>
      <c r="L178" s="93">
        <f t="shared" ref="L178:AX178" ca="1" si="57" xml:space="preserve"> IFERROR( L123 * L$175, 0)</f>
        <v>-9.2592592592592577</v>
      </c>
      <c r="M178" s="93">
        <f t="shared" ca="1" si="57"/>
        <v>-8.5733882030178314</v>
      </c>
      <c r="N178" s="93">
        <f t="shared" ca="1" si="57"/>
        <v>-39.691612051008477</v>
      </c>
      <c r="O178" s="93">
        <f t="shared" ca="1" si="57"/>
        <v>-176.22340720794972</v>
      </c>
      <c r="P178" s="93">
        <f t="shared" ca="1" si="57"/>
        <v>-21.183152007675567</v>
      </c>
      <c r="Q178" s="93">
        <f t="shared" ca="1" si="57"/>
        <v>91.847223118212483</v>
      </c>
      <c r="R178" s="93">
        <f t="shared" ca="1" si="57"/>
        <v>85.043725109455991</v>
      </c>
      <c r="S178" s="93">
        <f t="shared" ca="1" si="57"/>
        <v>78.744189916162952</v>
      </c>
      <c r="T178" s="93">
        <f t="shared" ca="1" si="57"/>
        <v>72.911286959410177</v>
      </c>
      <c r="U178" s="93">
        <f t="shared" ca="1" si="57"/>
        <v>67.510450888342731</v>
      </c>
      <c r="V178" s="93">
        <f t="shared" ca="1" si="57"/>
        <v>62.509676748465481</v>
      </c>
      <c r="W178" s="93">
        <f t="shared" ca="1" si="57"/>
        <v>57.879330322653225</v>
      </c>
      <c r="X178" s="93">
        <f t="shared" ca="1" si="57"/>
        <v>53.591972520975197</v>
      </c>
      <c r="Y178" s="93">
        <f t="shared" ca="1" si="57"/>
        <v>49.622196778680753</v>
      </c>
      <c r="Z178" s="93">
        <f t="shared" ca="1" si="57"/>
        <v>45.946478498778461</v>
      </c>
      <c r="AA178" s="93">
        <f t="shared" ca="1" si="57"/>
        <v>35.063342415766236</v>
      </c>
      <c r="AB178" s="93">
        <f t="shared" ca="1" si="57"/>
        <v>27.702567523151341</v>
      </c>
      <c r="AC178" s="93">
        <f t="shared" ca="1" si="57"/>
        <v>19.237894113299536</v>
      </c>
      <c r="AD178" s="93">
        <f t="shared" ca="1" si="57"/>
        <v>15.437816263758885</v>
      </c>
      <c r="AE178" s="93">
        <f t="shared" ca="1" si="57"/>
        <v>10.995595629457895</v>
      </c>
      <c r="AF178" s="93">
        <f t="shared" ca="1" si="57"/>
        <v>-3.9731149519269726</v>
      </c>
      <c r="AG178" s="93">
        <f t="shared" ca="1" si="57"/>
        <v>0</v>
      </c>
      <c r="AH178" s="93">
        <f t="shared" ca="1" si="57"/>
        <v>0</v>
      </c>
      <c r="AI178" s="93">
        <f t="shared" ca="1" si="57"/>
        <v>0</v>
      </c>
      <c r="AJ178" s="93">
        <f t="shared" ca="1" si="57"/>
        <v>0</v>
      </c>
      <c r="AK178" s="93">
        <f t="shared" ca="1" si="57"/>
        <v>0</v>
      </c>
      <c r="AL178" s="93">
        <f t="shared" ca="1" si="57"/>
        <v>0</v>
      </c>
      <c r="AM178" s="93">
        <f t="shared" ca="1" si="57"/>
        <v>0</v>
      </c>
      <c r="AN178" s="93">
        <f t="shared" ca="1" si="57"/>
        <v>0</v>
      </c>
      <c r="AO178" s="93">
        <f t="shared" ca="1" si="57"/>
        <v>0</v>
      </c>
      <c r="AP178" s="93">
        <f t="shared" ca="1" si="57"/>
        <v>0</v>
      </c>
      <c r="AQ178" s="93">
        <f t="shared" ca="1" si="57"/>
        <v>0</v>
      </c>
      <c r="AR178" s="93">
        <f t="shared" ca="1" si="57"/>
        <v>0</v>
      </c>
      <c r="AS178" s="93">
        <f t="shared" ca="1" si="57"/>
        <v>0</v>
      </c>
      <c r="AT178" s="93">
        <f t="shared" ca="1" si="57"/>
        <v>0</v>
      </c>
      <c r="AU178" s="93">
        <f t="shared" ca="1" si="57"/>
        <v>0</v>
      </c>
      <c r="AV178" s="93">
        <f t="shared" ca="1" si="57"/>
        <v>0</v>
      </c>
      <c r="AW178" s="93">
        <f t="shared" ca="1" si="57"/>
        <v>0</v>
      </c>
      <c r="AX178" s="93">
        <f t="shared" ca="1" si="57"/>
        <v>0</v>
      </c>
    </row>
    <row r="179" spans="1:50" s="93" customFormat="1" ht="15" customHeight="1">
      <c r="A179" s="90"/>
      <c r="B179" s="134"/>
      <c r="E179" s="93" t="str">
        <f t="shared" si="55"/>
        <v>Net decommissioning cashflows</v>
      </c>
      <c r="G179" s="93" t="str">
        <f t="shared" si="56"/>
        <v>US$ mn 2021 NPV8</v>
      </c>
      <c r="K179" s="93">
        <f t="shared" ref="K179:AX179" ca="1" si="58" xml:space="preserve"> IFERROR( K124 * K$175, 0)</f>
        <v>0</v>
      </c>
      <c r="L179" s="93">
        <f t="shared" ca="1" si="58"/>
        <v>0</v>
      </c>
      <c r="M179" s="93">
        <f t="shared" ca="1" si="58"/>
        <v>0</v>
      </c>
      <c r="N179" s="93">
        <f t="shared" ca="1" si="58"/>
        <v>0</v>
      </c>
      <c r="O179" s="93">
        <f t="shared" ca="1" si="58"/>
        <v>0</v>
      </c>
      <c r="P179" s="93">
        <f t="shared" ca="1" si="58"/>
        <v>0</v>
      </c>
      <c r="Q179" s="93">
        <f t="shared" ca="1" si="58"/>
        <v>0</v>
      </c>
      <c r="R179" s="93">
        <f t="shared" ca="1" si="58"/>
        <v>0</v>
      </c>
      <c r="S179" s="93">
        <f t="shared" ca="1" si="58"/>
        <v>0</v>
      </c>
      <c r="T179" s="93">
        <f t="shared" ca="1" si="58"/>
        <v>0</v>
      </c>
      <c r="U179" s="93">
        <f t="shared" ca="1" si="58"/>
        <v>0</v>
      </c>
      <c r="V179" s="93">
        <f t="shared" ca="1" si="58"/>
        <v>0</v>
      </c>
      <c r="W179" s="93">
        <f t="shared" ca="1" si="58"/>
        <v>0</v>
      </c>
      <c r="X179" s="93">
        <f t="shared" ca="1" si="58"/>
        <v>-1.0038873967781075</v>
      </c>
      <c r="Y179" s="93">
        <f t="shared" ca="1" si="58"/>
        <v>-0.91129937979131015</v>
      </c>
      <c r="Z179" s="93">
        <f t="shared" ca="1" si="58"/>
        <v>-0.82725070787155952</v>
      </c>
      <c r="AA179" s="93">
        <f t="shared" ca="1" si="58"/>
        <v>-0.75095380162632486</v>
      </c>
      <c r="AB179" s="93">
        <f t="shared" ca="1" si="58"/>
        <v>-0.68169371970436177</v>
      </c>
      <c r="AC179" s="93">
        <f t="shared" ca="1" si="58"/>
        <v>-0.61882145942661726</v>
      </c>
      <c r="AD179" s="93">
        <f t="shared" ca="1" si="58"/>
        <v>-0.56174787529649362</v>
      </c>
      <c r="AE179" s="93">
        <f t="shared" ca="1" si="58"/>
        <v>-0.5099381584027719</v>
      </c>
      <c r="AF179" s="93">
        <f t="shared" ca="1" si="58"/>
        <v>3.9731149519269726</v>
      </c>
      <c r="AG179" s="93">
        <f t="shared" ca="1" si="58"/>
        <v>0</v>
      </c>
      <c r="AH179" s="93">
        <f t="shared" ca="1" si="58"/>
        <v>0</v>
      </c>
      <c r="AI179" s="93">
        <f t="shared" ca="1" si="58"/>
        <v>0</v>
      </c>
      <c r="AJ179" s="93">
        <f t="shared" ca="1" si="58"/>
        <v>0</v>
      </c>
      <c r="AK179" s="93">
        <f t="shared" ca="1" si="58"/>
        <v>0</v>
      </c>
      <c r="AL179" s="93">
        <f t="shared" ca="1" si="58"/>
        <v>0</v>
      </c>
      <c r="AM179" s="93">
        <f t="shared" ca="1" si="58"/>
        <v>0</v>
      </c>
      <c r="AN179" s="93">
        <f t="shared" ca="1" si="58"/>
        <v>0</v>
      </c>
      <c r="AO179" s="93">
        <f t="shared" ca="1" si="58"/>
        <v>0</v>
      </c>
      <c r="AP179" s="93">
        <f t="shared" ca="1" si="58"/>
        <v>0</v>
      </c>
      <c r="AQ179" s="93">
        <f t="shared" ca="1" si="58"/>
        <v>0</v>
      </c>
      <c r="AR179" s="93">
        <f t="shared" ca="1" si="58"/>
        <v>0</v>
      </c>
      <c r="AS179" s="93">
        <f t="shared" ca="1" si="58"/>
        <v>0</v>
      </c>
      <c r="AT179" s="93">
        <f t="shared" ca="1" si="58"/>
        <v>0</v>
      </c>
      <c r="AU179" s="93">
        <f t="shared" ca="1" si="58"/>
        <v>0</v>
      </c>
      <c r="AV179" s="93">
        <f t="shared" ca="1" si="58"/>
        <v>0</v>
      </c>
      <c r="AW179" s="93">
        <f t="shared" ca="1" si="58"/>
        <v>0</v>
      </c>
      <c r="AX179" s="93">
        <f t="shared" ca="1" si="58"/>
        <v>0</v>
      </c>
    </row>
    <row r="180" spans="1:50" s="93" customFormat="1" ht="15" customHeight="1">
      <c r="A180" s="90"/>
      <c r="B180" s="134"/>
      <c r="E180" s="93" t="str">
        <f t="shared" si="55"/>
        <v>Government revenues excluding participation</v>
      </c>
      <c r="G180" s="93" t="str">
        <f t="shared" si="56"/>
        <v>US$ mn 2021 NPV8</v>
      </c>
      <c r="K180" s="93">
        <f t="shared" ref="K180:AX180" ca="1" si="59" xml:space="preserve"> IFERROR( K125 * K$175, 0)</f>
        <v>0</v>
      </c>
      <c r="L180" s="93">
        <f t="shared" ca="1" si="59"/>
        <v>0</v>
      </c>
      <c r="M180" s="93">
        <f t="shared" ca="1" si="59"/>
        <v>0</v>
      </c>
      <c r="N180" s="93">
        <f t="shared" ca="1" si="59"/>
        <v>0</v>
      </c>
      <c r="O180" s="93">
        <f t="shared" ca="1" si="59"/>
        <v>0.54208451643738431</v>
      </c>
      <c r="P180" s="93">
        <f t="shared" ca="1" si="59"/>
        <v>6.0337954062023664</v>
      </c>
      <c r="Q180" s="93">
        <f t="shared" ca="1" si="59"/>
        <v>11.718415289455532</v>
      </c>
      <c r="R180" s="93">
        <f t="shared" ca="1" si="59"/>
        <v>10.91829362985208</v>
      </c>
      <c r="S180" s="93">
        <f t="shared" ca="1" si="59"/>
        <v>13.993963613145283</v>
      </c>
      <c r="T180" s="93">
        <f t="shared" ca="1" si="59"/>
        <v>23.161081629891751</v>
      </c>
      <c r="U180" s="93">
        <f t="shared" ca="1" si="59"/>
        <v>24.125584677044355</v>
      </c>
      <c r="V180" s="93">
        <f t="shared" ca="1" si="59"/>
        <v>25.111101616783941</v>
      </c>
      <c r="W180" s="93">
        <f t="shared" ca="1" si="59"/>
        <v>23.251020015540686</v>
      </c>
      <c r="X180" s="93">
        <f t="shared" ca="1" si="59"/>
        <v>21.175353872945848</v>
      </c>
      <c r="Y180" s="93">
        <f t="shared" ca="1" si="59"/>
        <v>19.613224689250263</v>
      </c>
      <c r="Z180" s="93">
        <f t="shared" ca="1" si="59"/>
        <v>18.166217075770685</v>
      </c>
      <c r="AA180" s="93">
        <f t="shared" ca="1" si="59"/>
        <v>13.844269927698976</v>
      </c>
      <c r="AB180" s="93">
        <f t="shared" ca="1" si="59"/>
        <v>10.388025405962239</v>
      </c>
      <c r="AC180" s="93">
        <f t="shared" ca="1" si="59"/>
        <v>7.0793942680661059</v>
      </c>
      <c r="AD180" s="93">
        <f t="shared" ca="1" si="59"/>
        <v>4.7713320522154099</v>
      </c>
      <c r="AE180" s="93">
        <f t="shared" ca="1" si="59"/>
        <v>3.4168117802807578</v>
      </c>
      <c r="AF180" s="93">
        <f t="shared" ca="1" si="59"/>
        <v>0</v>
      </c>
      <c r="AG180" s="93">
        <f t="shared" ca="1" si="59"/>
        <v>0</v>
      </c>
      <c r="AH180" s="93">
        <f t="shared" ca="1" si="59"/>
        <v>0</v>
      </c>
      <c r="AI180" s="93">
        <f t="shared" ca="1" si="59"/>
        <v>0</v>
      </c>
      <c r="AJ180" s="93">
        <f t="shared" ca="1" si="59"/>
        <v>0</v>
      </c>
      <c r="AK180" s="93">
        <f t="shared" ca="1" si="59"/>
        <v>0</v>
      </c>
      <c r="AL180" s="93">
        <f t="shared" ca="1" si="59"/>
        <v>0</v>
      </c>
      <c r="AM180" s="93">
        <f t="shared" ca="1" si="59"/>
        <v>0</v>
      </c>
      <c r="AN180" s="93">
        <f t="shared" ca="1" si="59"/>
        <v>0</v>
      </c>
      <c r="AO180" s="93">
        <f t="shared" ca="1" si="59"/>
        <v>0</v>
      </c>
      <c r="AP180" s="93">
        <f t="shared" ca="1" si="59"/>
        <v>0</v>
      </c>
      <c r="AQ180" s="93">
        <f t="shared" ca="1" si="59"/>
        <v>0</v>
      </c>
      <c r="AR180" s="93">
        <f t="shared" ca="1" si="59"/>
        <v>0</v>
      </c>
      <c r="AS180" s="93">
        <f t="shared" ca="1" si="59"/>
        <v>0</v>
      </c>
      <c r="AT180" s="93">
        <f t="shared" ca="1" si="59"/>
        <v>0</v>
      </c>
      <c r="AU180" s="93">
        <f t="shared" ca="1" si="59"/>
        <v>0</v>
      </c>
      <c r="AV180" s="93">
        <f t="shared" ca="1" si="59"/>
        <v>0</v>
      </c>
      <c r="AW180" s="93">
        <f t="shared" ca="1" si="59"/>
        <v>0</v>
      </c>
      <c r="AX180" s="93">
        <f t="shared" ca="1" si="59"/>
        <v>0</v>
      </c>
    </row>
    <row r="181" spans="1:50" s="93" customFormat="1" ht="15" customHeight="1">
      <c r="A181" s="90"/>
      <c r="B181" s="134"/>
      <c r="E181" s="93" t="str">
        <f t="shared" si="55"/>
        <v>State participation cashflows including share of loan</v>
      </c>
      <c r="G181" s="93" t="str">
        <f t="shared" si="56"/>
        <v>US$ mn 2021 NPV8</v>
      </c>
      <c r="K181" s="93">
        <f t="shared" ref="K181:AX181" ca="1" si="60" xml:space="preserve"> IFERROR( K126 * K$175, 0)</f>
        <v>0</v>
      </c>
      <c r="L181" s="93">
        <f t="shared" ca="1" si="60"/>
        <v>0</v>
      </c>
      <c r="M181" s="93">
        <f t="shared" ca="1" si="60"/>
        <v>0</v>
      </c>
      <c r="N181" s="93">
        <f t="shared" ca="1" si="60"/>
        <v>0</v>
      </c>
      <c r="O181" s="93">
        <f t="shared" ca="1" si="60"/>
        <v>0</v>
      </c>
      <c r="P181" s="93">
        <f t="shared" ca="1" si="60"/>
        <v>0</v>
      </c>
      <c r="Q181" s="93">
        <f t="shared" ca="1" si="60"/>
        <v>0</v>
      </c>
      <c r="R181" s="93">
        <f t="shared" ca="1" si="60"/>
        <v>0</v>
      </c>
      <c r="S181" s="93">
        <f t="shared" ca="1" si="60"/>
        <v>0</v>
      </c>
      <c r="T181" s="93">
        <f t="shared" ca="1" si="60"/>
        <v>0</v>
      </c>
      <c r="U181" s="93">
        <f t="shared" ca="1" si="60"/>
        <v>0</v>
      </c>
      <c r="V181" s="93">
        <f t="shared" ca="1" si="60"/>
        <v>0</v>
      </c>
      <c r="W181" s="93">
        <f t="shared" ca="1" si="60"/>
        <v>0</v>
      </c>
      <c r="X181" s="93">
        <f t="shared" ca="1" si="60"/>
        <v>0</v>
      </c>
      <c r="Y181" s="93">
        <f t="shared" ca="1" si="60"/>
        <v>0</v>
      </c>
      <c r="Z181" s="93">
        <f t="shared" ca="1" si="60"/>
        <v>0</v>
      </c>
      <c r="AA181" s="93">
        <f t="shared" ca="1" si="60"/>
        <v>0</v>
      </c>
      <c r="AB181" s="93">
        <f t="shared" ca="1" si="60"/>
        <v>0</v>
      </c>
      <c r="AC181" s="93">
        <f t="shared" ca="1" si="60"/>
        <v>0</v>
      </c>
      <c r="AD181" s="93">
        <f t="shared" ca="1" si="60"/>
        <v>0</v>
      </c>
      <c r="AE181" s="93">
        <f t="shared" ca="1" si="60"/>
        <v>0</v>
      </c>
      <c r="AF181" s="93">
        <f t="shared" ca="1" si="60"/>
        <v>0</v>
      </c>
      <c r="AG181" s="93">
        <f t="shared" ca="1" si="60"/>
        <v>0</v>
      </c>
      <c r="AH181" s="93">
        <f t="shared" ca="1" si="60"/>
        <v>0</v>
      </c>
      <c r="AI181" s="93">
        <f t="shared" ca="1" si="60"/>
        <v>0</v>
      </c>
      <c r="AJ181" s="93">
        <f t="shared" ca="1" si="60"/>
        <v>0</v>
      </c>
      <c r="AK181" s="93">
        <f t="shared" ca="1" si="60"/>
        <v>0</v>
      </c>
      <c r="AL181" s="93">
        <f t="shared" ca="1" si="60"/>
        <v>0</v>
      </c>
      <c r="AM181" s="93">
        <f t="shared" ca="1" si="60"/>
        <v>0</v>
      </c>
      <c r="AN181" s="93">
        <f t="shared" ca="1" si="60"/>
        <v>0</v>
      </c>
      <c r="AO181" s="93">
        <f t="shared" ca="1" si="60"/>
        <v>0</v>
      </c>
      <c r="AP181" s="93">
        <f t="shared" ca="1" si="60"/>
        <v>0</v>
      </c>
      <c r="AQ181" s="93">
        <f t="shared" ca="1" si="60"/>
        <v>0</v>
      </c>
      <c r="AR181" s="93">
        <f t="shared" ca="1" si="60"/>
        <v>0</v>
      </c>
      <c r="AS181" s="93">
        <f t="shared" ca="1" si="60"/>
        <v>0</v>
      </c>
      <c r="AT181" s="93">
        <f t="shared" ca="1" si="60"/>
        <v>0</v>
      </c>
      <c r="AU181" s="93">
        <f t="shared" ca="1" si="60"/>
        <v>0</v>
      </c>
      <c r="AV181" s="93">
        <f t="shared" ca="1" si="60"/>
        <v>0</v>
      </c>
      <c r="AW181" s="93">
        <f t="shared" ca="1" si="60"/>
        <v>0</v>
      </c>
      <c r="AX181" s="93">
        <f t="shared" ca="1" si="60"/>
        <v>0</v>
      </c>
    </row>
    <row r="182" spans="1:50" s="93" customFormat="1" ht="15" customHeight="1">
      <c r="A182" s="90"/>
      <c r="B182" s="134"/>
      <c r="E182" s="93" t="str">
        <f t="shared" si="55"/>
        <v>Government revenues including participation</v>
      </c>
      <c r="G182" s="93" t="str">
        <f t="shared" si="56"/>
        <v>US$ mn 2021 NPV8</v>
      </c>
      <c r="K182" s="93">
        <f t="shared" ref="K182:AX182" ca="1" si="61" xml:space="preserve"> IFERROR( K127 * K$175, 0)</f>
        <v>0</v>
      </c>
      <c r="L182" s="93">
        <f t="shared" ca="1" si="61"/>
        <v>0</v>
      </c>
      <c r="M182" s="93">
        <f t="shared" ca="1" si="61"/>
        <v>0</v>
      </c>
      <c r="N182" s="93">
        <f t="shared" ca="1" si="61"/>
        <v>0</v>
      </c>
      <c r="O182" s="93">
        <f t="shared" ca="1" si="61"/>
        <v>0.54208451643738431</v>
      </c>
      <c r="P182" s="93">
        <f t="shared" ca="1" si="61"/>
        <v>6.0337954062023664</v>
      </c>
      <c r="Q182" s="93">
        <f t="shared" ca="1" si="61"/>
        <v>11.718415289455532</v>
      </c>
      <c r="R182" s="93">
        <f t="shared" ca="1" si="61"/>
        <v>10.91829362985208</v>
      </c>
      <c r="S182" s="93">
        <f t="shared" ca="1" si="61"/>
        <v>13.993963613145283</v>
      </c>
      <c r="T182" s="93">
        <f t="shared" ca="1" si="61"/>
        <v>23.161081629891751</v>
      </c>
      <c r="U182" s="93">
        <f t="shared" ca="1" si="61"/>
        <v>24.125584677044355</v>
      </c>
      <c r="V182" s="93">
        <f t="shared" ca="1" si="61"/>
        <v>25.111101616783941</v>
      </c>
      <c r="W182" s="93">
        <f t="shared" ca="1" si="61"/>
        <v>23.251020015540686</v>
      </c>
      <c r="X182" s="93">
        <f t="shared" ca="1" si="61"/>
        <v>21.175353872945848</v>
      </c>
      <c r="Y182" s="93">
        <f t="shared" ca="1" si="61"/>
        <v>19.613224689250263</v>
      </c>
      <c r="Z182" s="93">
        <f t="shared" ca="1" si="61"/>
        <v>18.166217075770685</v>
      </c>
      <c r="AA182" s="93">
        <f t="shared" ca="1" si="61"/>
        <v>13.844269927698976</v>
      </c>
      <c r="AB182" s="93">
        <f t="shared" ca="1" si="61"/>
        <v>10.388025405962239</v>
      </c>
      <c r="AC182" s="93">
        <f t="shared" ca="1" si="61"/>
        <v>7.0793942680661059</v>
      </c>
      <c r="AD182" s="93">
        <f t="shared" ca="1" si="61"/>
        <v>4.7713320522154099</v>
      </c>
      <c r="AE182" s="93">
        <f t="shared" ca="1" si="61"/>
        <v>3.4168117802807578</v>
      </c>
      <c r="AF182" s="93">
        <f t="shared" ca="1" si="61"/>
        <v>0</v>
      </c>
      <c r="AG182" s="93">
        <f t="shared" ca="1" si="61"/>
        <v>0</v>
      </c>
      <c r="AH182" s="93">
        <f t="shared" ca="1" si="61"/>
        <v>0</v>
      </c>
      <c r="AI182" s="93">
        <f t="shared" ca="1" si="61"/>
        <v>0</v>
      </c>
      <c r="AJ182" s="93">
        <f t="shared" ca="1" si="61"/>
        <v>0</v>
      </c>
      <c r="AK182" s="93">
        <f t="shared" ca="1" si="61"/>
        <v>0</v>
      </c>
      <c r="AL182" s="93">
        <f t="shared" ca="1" si="61"/>
        <v>0</v>
      </c>
      <c r="AM182" s="93">
        <f t="shared" ca="1" si="61"/>
        <v>0</v>
      </c>
      <c r="AN182" s="93">
        <f t="shared" ca="1" si="61"/>
        <v>0</v>
      </c>
      <c r="AO182" s="93">
        <f t="shared" ca="1" si="61"/>
        <v>0</v>
      </c>
      <c r="AP182" s="93">
        <f t="shared" ca="1" si="61"/>
        <v>0</v>
      </c>
      <c r="AQ182" s="93">
        <f t="shared" ca="1" si="61"/>
        <v>0</v>
      </c>
      <c r="AR182" s="93">
        <f t="shared" ca="1" si="61"/>
        <v>0</v>
      </c>
      <c r="AS182" s="93">
        <f t="shared" ca="1" si="61"/>
        <v>0</v>
      </c>
      <c r="AT182" s="93">
        <f t="shared" ca="1" si="61"/>
        <v>0</v>
      </c>
      <c r="AU182" s="93">
        <f t="shared" ca="1" si="61"/>
        <v>0</v>
      </c>
      <c r="AV182" s="93">
        <f t="shared" ca="1" si="61"/>
        <v>0</v>
      </c>
      <c r="AW182" s="93">
        <f t="shared" ca="1" si="61"/>
        <v>0</v>
      </c>
      <c r="AX182" s="93">
        <f t="shared" ca="1" si="61"/>
        <v>0</v>
      </c>
    </row>
    <row r="183" spans="1:50" s="93" customFormat="1" ht="15" customHeight="1">
      <c r="A183" s="90"/>
      <c r="B183" s="134"/>
      <c r="E183" s="93" t="str">
        <f t="shared" si="55"/>
        <v>Net cashflow after fiscal regime: Parent company (excluding loan)</v>
      </c>
      <c r="G183" s="93" t="str">
        <f t="shared" si="56"/>
        <v>US$ mn 2021 NPV8</v>
      </c>
      <c r="K183" s="93">
        <f t="shared" ref="K183:AX183" ca="1" si="62" xml:space="preserve"> IFERROR( K128 * K$175, 0)</f>
        <v>-10</v>
      </c>
      <c r="L183" s="93">
        <f t="shared" ca="1" si="62"/>
        <v>-9.2592592592592577</v>
      </c>
      <c r="M183" s="93">
        <f t="shared" ca="1" si="62"/>
        <v>-8.5733882030178314</v>
      </c>
      <c r="N183" s="93">
        <f t="shared" ca="1" si="62"/>
        <v>-11.907483615302546</v>
      </c>
      <c r="O183" s="93">
        <f t="shared" ca="1" si="62"/>
        <v>-48.135267485007752</v>
      </c>
      <c r="P183" s="93">
        <f t="shared" ca="1" si="62"/>
        <v>20.423876378484774</v>
      </c>
      <c r="Q183" s="93">
        <f t="shared" ca="1" si="62"/>
        <v>30.773789511334758</v>
      </c>
      <c r="R183" s="93">
        <f t="shared" ca="1" si="62"/>
        <v>31.492096880857531</v>
      </c>
      <c r="S183" s="93">
        <f t="shared" ca="1" si="62"/>
        <v>28.01852807193098</v>
      </c>
      <c r="T183" s="93">
        <f t="shared" ca="1" si="62"/>
        <v>18.194184694859704</v>
      </c>
      <c r="U183" s="93">
        <f t="shared" ca="1" si="62"/>
        <v>16.362273049789003</v>
      </c>
      <c r="V183" s="93">
        <f t="shared" ca="1" si="62"/>
        <v>37.398575131681532</v>
      </c>
      <c r="W183" s="93">
        <f t="shared" ca="1" si="62"/>
        <v>34.628310307112542</v>
      </c>
      <c r="X183" s="93">
        <f t="shared" ca="1" si="62"/>
        <v>31.412731251251248</v>
      </c>
      <c r="Y183" s="93">
        <f t="shared" ca="1" si="62"/>
        <v>29.097672709639177</v>
      </c>
      <c r="Z183" s="93">
        <f t="shared" ca="1" si="62"/>
        <v>26.953010715136209</v>
      </c>
      <c r="AA183" s="93">
        <f t="shared" ca="1" si="62"/>
        <v>20.468118686440942</v>
      </c>
      <c r="AB183" s="93">
        <f t="shared" ca="1" si="62"/>
        <v>16.632848397484743</v>
      </c>
      <c r="AC183" s="93">
        <f t="shared" ca="1" si="62"/>
        <v>11.539678385806811</v>
      </c>
      <c r="AD183" s="93">
        <f t="shared" ca="1" si="62"/>
        <v>10.104736336246981</v>
      </c>
      <c r="AE183" s="93">
        <f t="shared" ca="1" si="62"/>
        <v>7.0688456907743653</v>
      </c>
      <c r="AF183" s="93">
        <f t="shared" ca="1" si="62"/>
        <v>0</v>
      </c>
      <c r="AG183" s="93">
        <f t="shared" ca="1" si="62"/>
        <v>0</v>
      </c>
      <c r="AH183" s="93">
        <f t="shared" ca="1" si="62"/>
        <v>0</v>
      </c>
      <c r="AI183" s="93">
        <f t="shared" ca="1" si="62"/>
        <v>0</v>
      </c>
      <c r="AJ183" s="93">
        <f t="shared" ca="1" si="62"/>
        <v>0</v>
      </c>
      <c r="AK183" s="93">
        <f t="shared" ca="1" si="62"/>
        <v>0</v>
      </c>
      <c r="AL183" s="93">
        <f t="shared" ca="1" si="62"/>
        <v>0</v>
      </c>
      <c r="AM183" s="93">
        <f t="shared" ca="1" si="62"/>
        <v>0</v>
      </c>
      <c r="AN183" s="93">
        <f t="shared" ca="1" si="62"/>
        <v>0</v>
      </c>
      <c r="AO183" s="93">
        <f t="shared" ca="1" si="62"/>
        <v>0</v>
      </c>
      <c r="AP183" s="93">
        <f t="shared" ca="1" si="62"/>
        <v>0</v>
      </c>
      <c r="AQ183" s="93">
        <f t="shared" ca="1" si="62"/>
        <v>0</v>
      </c>
      <c r="AR183" s="93">
        <f t="shared" ca="1" si="62"/>
        <v>0</v>
      </c>
      <c r="AS183" s="93">
        <f t="shared" ca="1" si="62"/>
        <v>0</v>
      </c>
      <c r="AT183" s="93">
        <f t="shared" ca="1" si="62"/>
        <v>0</v>
      </c>
      <c r="AU183" s="93">
        <f t="shared" ca="1" si="62"/>
        <v>0</v>
      </c>
      <c r="AV183" s="93">
        <f t="shared" ca="1" si="62"/>
        <v>0</v>
      </c>
      <c r="AW183" s="93">
        <f t="shared" ca="1" si="62"/>
        <v>0</v>
      </c>
      <c r="AX183" s="93">
        <f t="shared" ca="1" si="62"/>
        <v>0</v>
      </c>
    </row>
    <row r="184" spans="1:50" s="93" customFormat="1" ht="15" customHeight="1">
      <c r="A184" s="90"/>
      <c r="B184" s="134"/>
      <c r="E184" s="93" t="str">
        <f t="shared" si="55"/>
        <v>Project loan cashflows net of state participation share, met by parent company</v>
      </c>
      <c r="G184" s="93" t="str">
        <f t="shared" si="56"/>
        <v>US$ mn 2021 NPV8</v>
      </c>
      <c r="K184" s="93">
        <f t="shared" ref="K184:AX184" ca="1" si="63" xml:space="preserve"> IFERROR( K129 * K$175, 0)</f>
        <v>0</v>
      </c>
      <c r="L184" s="93">
        <f t="shared" ca="1" si="63"/>
        <v>0</v>
      </c>
      <c r="M184" s="93">
        <f t="shared" ca="1" si="63"/>
        <v>0</v>
      </c>
      <c r="N184" s="93">
        <f t="shared" ca="1" si="63"/>
        <v>-27.784128435705931</v>
      </c>
      <c r="O184" s="93">
        <f t="shared" ca="1" si="63"/>
        <v>-128.63022423937932</v>
      </c>
      <c r="P184" s="93">
        <f t="shared" ca="1" si="63"/>
        <v>-47.640823792362703</v>
      </c>
      <c r="Q184" s="93">
        <f t="shared" ca="1" si="63"/>
        <v>49.355018317422179</v>
      </c>
      <c r="R184" s="93">
        <f t="shared" ca="1" si="63"/>
        <v>42.633334598746373</v>
      </c>
      <c r="S184" s="93">
        <f t="shared" ca="1" si="63"/>
        <v>36.731698231086703</v>
      </c>
      <c r="T184" s="93">
        <f t="shared" ca="1" si="63"/>
        <v>31.556020634658715</v>
      </c>
      <c r="U184" s="93">
        <f t="shared" ca="1" si="63"/>
        <v>27.022593161509388</v>
      </c>
      <c r="V184" s="93">
        <f t="shared" ca="1" si="63"/>
        <v>0</v>
      </c>
      <c r="W184" s="93">
        <f t="shared" ca="1" si="63"/>
        <v>0</v>
      </c>
      <c r="X184" s="93">
        <f t="shared" ca="1" si="63"/>
        <v>0</v>
      </c>
      <c r="Y184" s="93">
        <f t="shared" ca="1" si="63"/>
        <v>0</v>
      </c>
      <c r="Z184" s="93">
        <f t="shared" ca="1" si="63"/>
        <v>0</v>
      </c>
      <c r="AA184" s="93">
        <f t="shared" ca="1" si="63"/>
        <v>0</v>
      </c>
      <c r="AB184" s="93">
        <f t="shared" ca="1" si="63"/>
        <v>0</v>
      </c>
      <c r="AC184" s="93">
        <f t="shared" ca="1" si="63"/>
        <v>0</v>
      </c>
      <c r="AD184" s="93">
        <f t="shared" ca="1" si="63"/>
        <v>0</v>
      </c>
      <c r="AE184" s="93">
        <f t="shared" ca="1" si="63"/>
        <v>0</v>
      </c>
      <c r="AF184" s="93">
        <f t="shared" ca="1" si="63"/>
        <v>0</v>
      </c>
      <c r="AG184" s="93">
        <f t="shared" ca="1" si="63"/>
        <v>0</v>
      </c>
      <c r="AH184" s="93">
        <f t="shared" ca="1" si="63"/>
        <v>0</v>
      </c>
      <c r="AI184" s="93">
        <f t="shared" ca="1" si="63"/>
        <v>0</v>
      </c>
      <c r="AJ184" s="93">
        <f t="shared" ca="1" si="63"/>
        <v>0</v>
      </c>
      <c r="AK184" s="93">
        <f t="shared" ca="1" si="63"/>
        <v>0</v>
      </c>
      <c r="AL184" s="93">
        <f t="shared" ca="1" si="63"/>
        <v>0</v>
      </c>
      <c r="AM184" s="93">
        <f t="shared" ca="1" si="63"/>
        <v>0</v>
      </c>
      <c r="AN184" s="93">
        <f t="shared" ca="1" si="63"/>
        <v>0</v>
      </c>
      <c r="AO184" s="93">
        <f t="shared" ca="1" si="63"/>
        <v>0</v>
      </c>
      <c r="AP184" s="93">
        <f t="shared" ca="1" si="63"/>
        <v>0</v>
      </c>
      <c r="AQ184" s="93">
        <f t="shared" ca="1" si="63"/>
        <v>0</v>
      </c>
      <c r="AR184" s="93">
        <f t="shared" ca="1" si="63"/>
        <v>0</v>
      </c>
      <c r="AS184" s="93">
        <f t="shared" ca="1" si="63"/>
        <v>0</v>
      </c>
      <c r="AT184" s="93">
        <f t="shared" ca="1" si="63"/>
        <v>0</v>
      </c>
      <c r="AU184" s="93">
        <f t="shared" ca="1" si="63"/>
        <v>0</v>
      </c>
      <c r="AV184" s="93">
        <f t="shared" ca="1" si="63"/>
        <v>0</v>
      </c>
      <c r="AW184" s="93">
        <f t="shared" ca="1" si="63"/>
        <v>0</v>
      </c>
      <c r="AX184" s="93">
        <f t="shared" ca="1" si="63"/>
        <v>0</v>
      </c>
    </row>
    <row r="185" spans="1:50" s="93" customFormat="1" ht="15" customHeight="1">
      <c r="A185" s="90"/>
      <c r="B185" s="134"/>
      <c r="E185" s="93" t="str">
        <f t="shared" si="55"/>
        <v>Investors (Parent company + lender)</v>
      </c>
      <c r="G185" s="93" t="str">
        <f t="shared" si="56"/>
        <v>US$ mn 2021 NPV8</v>
      </c>
      <c r="K185" s="93">
        <f t="shared" ref="K185:AX185" ca="1" si="64" xml:space="preserve"> IFERROR( K130 * K$175, 0)</f>
        <v>-10</v>
      </c>
      <c r="L185" s="93">
        <f t="shared" ca="1" si="64"/>
        <v>-9.2592592592592577</v>
      </c>
      <c r="M185" s="93">
        <f t="shared" ca="1" si="64"/>
        <v>-8.5733882030178314</v>
      </c>
      <c r="N185" s="93">
        <f t="shared" ca="1" si="64"/>
        <v>-39.691612051008477</v>
      </c>
      <c r="O185" s="93">
        <f t="shared" ca="1" si="64"/>
        <v>-176.76549172438706</v>
      </c>
      <c r="P185" s="93">
        <f t="shared" ca="1" si="64"/>
        <v>-27.216947413877932</v>
      </c>
      <c r="Q185" s="93">
        <f t="shared" ca="1" si="64"/>
        <v>80.128807828756948</v>
      </c>
      <c r="R185" s="93">
        <f t="shared" ca="1" si="64"/>
        <v>74.125431479603904</v>
      </c>
      <c r="S185" s="93">
        <f t="shared" ca="1" si="64"/>
        <v>64.750226303017683</v>
      </c>
      <c r="T185" s="93">
        <f t="shared" ca="1" si="64"/>
        <v>49.750205329518415</v>
      </c>
      <c r="U185" s="93">
        <f t="shared" ca="1" si="64"/>
        <v>43.384866211298387</v>
      </c>
      <c r="V185" s="93">
        <f t="shared" ca="1" si="64"/>
        <v>37.398575131681532</v>
      </c>
      <c r="W185" s="93">
        <f t="shared" ca="1" si="64"/>
        <v>34.628310307112542</v>
      </c>
      <c r="X185" s="93">
        <f t="shared" ca="1" si="64"/>
        <v>31.412731251251248</v>
      </c>
      <c r="Y185" s="93">
        <f t="shared" ca="1" si="64"/>
        <v>29.097672709639177</v>
      </c>
      <c r="Z185" s="93">
        <f t="shared" ca="1" si="64"/>
        <v>26.953010715136209</v>
      </c>
      <c r="AA185" s="93">
        <f t="shared" ca="1" si="64"/>
        <v>20.468118686440942</v>
      </c>
      <c r="AB185" s="93">
        <f t="shared" ca="1" si="64"/>
        <v>16.632848397484743</v>
      </c>
      <c r="AC185" s="93">
        <f t="shared" ca="1" si="64"/>
        <v>11.539678385806811</v>
      </c>
      <c r="AD185" s="93">
        <f t="shared" ca="1" si="64"/>
        <v>10.104736336246981</v>
      </c>
      <c r="AE185" s="93">
        <f t="shared" ca="1" si="64"/>
        <v>7.0688456907743653</v>
      </c>
      <c r="AF185" s="93">
        <f t="shared" ca="1" si="64"/>
        <v>0</v>
      </c>
      <c r="AG185" s="93">
        <f t="shared" ca="1" si="64"/>
        <v>0</v>
      </c>
      <c r="AH185" s="93">
        <f t="shared" ca="1" si="64"/>
        <v>0</v>
      </c>
      <c r="AI185" s="93">
        <f t="shared" ca="1" si="64"/>
        <v>0</v>
      </c>
      <c r="AJ185" s="93">
        <f t="shared" ca="1" si="64"/>
        <v>0</v>
      </c>
      <c r="AK185" s="93">
        <f t="shared" ca="1" si="64"/>
        <v>0</v>
      </c>
      <c r="AL185" s="93">
        <f t="shared" ca="1" si="64"/>
        <v>0</v>
      </c>
      <c r="AM185" s="93">
        <f t="shared" ca="1" si="64"/>
        <v>0</v>
      </c>
      <c r="AN185" s="93">
        <f t="shared" ca="1" si="64"/>
        <v>0</v>
      </c>
      <c r="AO185" s="93">
        <f t="shared" ca="1" si="64"/>
        <v>0</v>
      </c>
      <c r="AP185" s="93">
        <f t="shared" ca="1" si="64"/>
        <v>0</v>
      </c>
      <c r="AQ185" s="93">
        <f t="shared" ca="1" si="64"/>
        <v>0</v>
      </c>
      <c r="AR185" s="93">
        <f t="shared" ca="1" si="64"/>
        <v>0</v>
      </c>
      <c r="AS185" s="93">
        <f t="shared" ca="1" si="64"/>
        <v>0</v>
      </c>
      <c r="AT185" s="93">
        <f t="shared" ca="1" si="64"/>
        <v>0</v>
      </c>
      <c r="AU185" s="93">
        <f t="shared" ca="1" si="64"/>
        <v>0</v>
      </c>
      <c r="AV185" s="93">
        <f t="shared" ca="1" si="64"/>
        <v>0</v>
      </c>
      <c r="AW185" s="93">
        <f t="shared" ca="1" si="64"/>
        <v>0</v>
      </c>
      <c r="AX185" s="93">
        <f t="shared" ca="1" si="64"/>
        <v>0</v>
      </c>
    </row>
    <row r="186" spans="1:50" s="93" customFormat="1" ht="15" customHeight="1">
      <c r="A186" s="90"/>
      <c r="B186" s="134"/>
      <c r="E186" s="93" t="str">
        <f t="shared" si="55"/>
        <v>Project benefits</v>
      </c>
      <c r="G186" s="93" t="str">
        <f t="shared" si="56"/>
        <v>US$ mn 2021 NPV8</v>
      </c>
      <c r="K186" s="93">
        <f t="shared" ref="K186:AX186" ca="1" si="65" xml:space="preserve"> IFERROR( K131 * K$175, 0)</f>
        <v>0</v>
      </c>
      <c r="L186" s="93">
        <f t="shared" ca="1" si="65"/>
        <v>0</v>
      </c>
      <c r="M186" s="93">
        <f t="shared" ca="1" si="65"/>
        <v>0</v>
      </c>
      <c r="N186" s="93">
        <f t="shared" ca="1" si="65"/>
        <v>0</v>
      </c>
      <c r="O186" s="93">
        <f t="shared" ca="1" si="65"/>
        <v>7.5340559911636458</v>
      </c>
      <c r="P186" s="93">
        <f t="shared" ca="1" si="65"/>
        <v>46.875167695699737</v>
      </c>
      <c r="Q186" s="93">
        <f t="shared" ca="1" si="65"/>
        <v>91.847223118212483</v>
      </c>
      <c r="R186" s="93">
        <f t="shared" ca="1" si="65"/>
        <v>85.043725109455991</v>
      </c>
      <c r="S186" s="93">
        <f t="shared" ca="1" si="65"/>
        <v>78.744189916162966</v>
      </c>
      <c r="T186" s="93">
        <f t="shared" ca="1" si="65"/>
        <v>72.911286959410177</v>
      </c>
      <c r="U186" s="93">
        <f t="shared" ca="1" si="65"/>
        <v>67.510450888342731</v>
      </c>
      <c r="V186" s="93">
        <f t="shared" ca="1" si="65"/>
        <v>62.509676748465495</v>
      </c>
      <c r="W186" s="93">
        <f t="shared" ca="1" si="65"/>
        <v>57.879330322653225</v>
      </c>
      <c r="X186" s="93">
        <f t="shared" ca="1" si="65"/>
        <v>53.591972520975212</v>
      </c>
      <c r="Y186" s="93">
        <f t="shared" ca="1" si="65"/>
        <v>49.622196778680753</v>
      </c>
      <c r="Z186" s="93">
        <f t="shared" ca="1" si="65"/>
        <v>45.946478498778461</v>
      </c>
      <c r="AA186" s="93">
        <f t="shared" ca="1" si="65"/>
        <v>35.063342415766236</v>
      </c>
      <c r="AB186" s="93">
        <f t="shared" ca="1" si="65"/>
        <v>27.702567523151341</v>
      </c>
      <c r="AC186" s="93">
        <f t="shared" ca="1" si="65"/>
        <v>19.237894113299536</v>
      </c>
      <c r="AD186" s="93">
        <f t="shared" ca="1" si="65"/>
        <v>15.437816263758885</v>
      </c>
      <c r="AE186" s="93">
        <f t="shared" ca="1" si="65"/>
        <v>10.995595629457895</v>
      </c>
      <c r="AF186" s="93">
        <f t="shared" ca="1" si="65"/>
        <v>-3.9731149519269726</v>
      </c>
      <c r="AG186" s="93">
        <f t="shared" ca="1" si="65"/>
        <v>0</v>
      </c>
      <c r="AH186" s="93">
        <f t="shared" ca="1" si="65"/>
        <v>0</v>
      </c>
      <c r="AI186" s="93">
        <f t="shared" ca="1" si="65"/>
        <v>0</v>
      </c>
      <c r="AJ186" s="93">
        <f t="shared" ca="1" si="65"/>
        <v>0</v>
      </c>
      <c r="AK186" s="93">
        <f t="shared" ca="1" si="65"/>
        <v>0</v>
      </c>
      <c r="AL186" s="93">
        <f t="shared" ca="1" si="65"/>
        <v>0</v>
      </c>
      <c r="AM186" s="93">
        <f t="shared" ca="1" si="65"/>
        <v>0</v>
      </c>
      <c r="AN186" s="93">
        <f t="shared" ca="1" si="65"/>
        <v>0</v>
      </c>
      <c r="AO186" s="93">
        <f t="shared" ca="1" si="65"/>
        <v>0</v>
      </c>
      <c r="AP186" s="93">
        <f t="shared" ca="1" si="65"/>
        <v>0</v>
      </c>
      <c r="AQ186" s="93">
        <f t="shared" ca="1" si="65"/>
        <v>0</v>
      </c>
      <c r="AR186" s="93">
        <f t="shared" ca="1" si="65"/>
        <v>0</v>
      </c>
      <c r="AS186" s="93">
        <f t="shared" ca="1" si="65"/>
        <v>0</v>
      </c>
      <c r="AT186" s="93">
        <f t="shared" ca="1" si="65"/>
        <v>0</v>
      </c>
      <c r="AU186" s="93">
        <f t="shared" ca="1" si="65"/>
        <v>0</v>
      </c>
      <c r="AV186" s="93">
        <f t="shared" ca="1" si="65"/>
        <v>0</v>
      </c>
      <c r="AW186" s="93">
        <f t="shared" ca="1" si="65"/>
        <v>0</v>
      </c>
      <c r="AX186" s="93">
        <f t="shared" ca="1" si="65"/>
        <v>0</v>
      </c>
    </row>
    <row r="187" spans="1:50" s="93" customFormat="1" ht="15" customHeight="1">
      <c r="A187" s="90"/>
      <c r="B187" s="134"/>
    </row>
    <row r="188" spans="1:50" s="93" customFormat="1" ht="15" customHeight="1">
      <c r="A188" s="90"/>
      <c r="B188" s="134"/>
      <c r="E188" s="93" t="str">
        <f xml:space="preserve"> Translate!E$444 &amp;  ": " &amp; B173</f>
        <v>Check: Project participants: full-cycle, real, NPV8</v>
      </c>
      <c r="G188" s="93" t="str">
        <f xml:space="preserve"> G178</f>
        <v>US$ mn 2021 NPV8</v>
      </c>
      <c r="I188" s="93">
        <f ca="1" xml:space="preserve"> SUM(K188:AX188)</f>
        <v>0</v>
      </c>
      <c r="K188" s="93">
        <f ca="1" xml:space="preserve"> K178 + K179 - SUM(K182:K184)</f>
        <v>0</v>
      </c>
      <c r="L188" s="93">
        <f t="shared" ref="L188:AX188" ca="1" si="66" xml:space="preserve"> L178 + L179 - SUM(L182:L184)</f>
        <v>0</v>
      </c>
      <c r="M188" s="93">
        <f t="shared" ca="1" si="66"/>
        <v>0</v>
      </c>
      <c r="N188" s="93">
        <f t="shared" ca="1" si="66"/>
        <v>0</v>
      </c>
      <c r="O188" s="93">
        <f t="shared" ca="1" si="66"/>
        <v>0</v>
      </c>
      <c r="P188" s="93">
        <f t="shared" ca="1" si="66"/>
        <v>0</v>
      </c>
      <c r="Q188" s="93">
        <f t="shared" ca="1" si="66"/>
        <v>0</v>
      </c>
      <c r="R188" s="93">
        <f t="shared" ca="1" si="66"/>
        <v>0</v>
      </c>
      <c r="S188" s="93">
        <f t="shared" ca="1" si="66"/>
        <v>0</v>
      </c>
      <c r="T188" s="93">
        <f t="shared" ca="1" si="66"/>
        <v>0</v>
      </c>
      <c r="U188" s="93">
        <f t="shared" ca="1" si="66"/>
        <v>0</v>
      </c>
      <c r="V188" s="93">
        <f t="shared" ca="1" si="66"/>
        <v>0</v>
      </c>
      <c r="W188" s="93">
        <f t="shared" ca="1" si="66"/>
        <v>0</v>
      </c>
      <c r="X188" s="93">
        <f t="shared" ca="1" si="66"/>
        <v>0</v>
      </c>
      <c r="Y188" s="93">
        <f t="shared" ca="1" si="66"/>
        <v>0</v>
      </c>
      <c r="Z188" s="93">
        <f t="shared" ca="1" si="66"/>
        <v>0</v>
      </c>
      <c r="AA188" s="93">
        <f t="shared" ca="1" si="66"/>
        <v>0</v>
      </c>
      <c r="AB188" s="93">
        <f t="shared" ca="1" si="66"/>
        <v>0</v>
      </c>
      <c r="AC188" s="93">
        <f t="shared" ca="1" si="66"/>
        <v>0</v>
      </c>
      <c r="AD188" s="93">
        <f t="shared" ca="1" si="66"/>
        <v>0</v>
      </c>
      <c r="AE188" s="93">
        <f t="shared" ca="1" si="66"/>
        <v>0</v>
      </c>
      <c r="AF188" s="93">
        <f t="shared" ca="1" si="66"/>
        <v>0</v>
      </c>
      <c r="AG188" s="93">
        <f t="shared" ca="1" si="66"/>
        <v>0</v>
      </c>
      <c r="AH188" s="93">
        <f t="shared" ca="1" si="66"/>
        <v>0</v>
      </c>
      <c r="AI188" s="93">
        <f t="shared" ca="1" si="66"/>
        <v>0</v>
      </c>
      <c r="AJ188" s="93">
        <f t="shared" ca="1" si="66"/>
        <v>0</v>
      </c>
      <c r="AK188" s="93">
        <f t="shared" ca="1" si="66"/>
        <v>0</v>
      </c>
      <c r="AL188" s="93">
        <f t="shared" ca="1" si="66"/>
        <v>0</v>
      </c>
      <c r="AM188" s="93">
        <f t="shared" ca="1" si="66"/>
        <v>0</v>
      </c>
      <c r="AN188" s="93">
        <f t="shared" ca="1" si="66"/>
        <v>0</v>
      </c>
      <c r="AO188" s="93">
        <f t="shared" ca="1" si="66"/>
        <v>0</v>
      </c>
      <c r="AP188" s="93">
        <f t="shared" ca="1" si="66"/>
        <v>0</v>
      </c>
      <c r="AQ188" s="93">
        <f t="shared" ca="1" si="66"/>
        <v>0</v>
      </c>
      <c r="AR188" s="93">
        <f t="shared" ca="1" si="66"/>
        <v>0</v>
      </c>
      <c r="AS188" s="93">
        <f t="shared" ca="1" si="66"/>
        <v>0</v>
      </c>
      <c r="AT188" s="93">
        <f t="shared" ca="1" si="66"/>
        <v>0</v>
      </c>
      <c r="AU188" s="93">
        <f t="shared" ca="1" si="66"/>
        <v>0</v>
      </c>
      <c r="AV188" s="93">
        <f t="shared" ca="1" si="66"/>
        <v>0</v>
      </c>
      <c r="AW188" s="93">
        <f t="shared" ca="1" si="66"/>
        <v>0</v>
      </c>
      <c r="AX188" s="93">
        <f t="shared" ca="1" si="66"/>
        <v>0</v>
      </c>
    </row>
    <row r="189" spans="1:50" s="93" customFormat="1" ht="15" customHeight="1">
      <c r="A189" s="90"/>
      <c r="B189" s="134"/>
      <c r="E189" s="93" t="str">
        <f xml:space="preserve"> E188</f>
        <v>Check: Project participants: full-cycle, real, NPV8</v>
      </c>
      <c r="F189" s="61">
        <f ca="1" xml:space="preserve"> MIN( 1, SUM(K189:AX189))</f>
        <v>0</v>
      </c>
      <c r="G189" s="1041" t="str">
        <f xml:space="preserve"> Translate!E$444</f>
        <v>Check</v>
      </c>
      <c r="I189" s="93">
        <f ca="1" xml:space="preserve"> SUM(K189:AX189)</f>
        <v>0</v>
      </c>
      <c r="K189" s="61">
        <f t="shared" ref="K189:AX189" ca="1" si="67" xml:space="preserve"> IF( ABS( K188) &gt; CHK_TOL, 1, 0)</f>
        <v>0</v>
      </c>
      <c r="L189" s="61">
        <f t="shared" ca="1" si="67"/>
        <v>0</v>
      </c>
      <c r="M189" s="61">
        <f t="shared" ca="1" si="67"/>
        <v>0</v>
      </c>
      <c r="N189" s="61">
        <f t="shared" ca="1" si="67"/>
        <v>0</v>
      </c>
      <c r="O189" s="61">
        <f t="shared" ca="1" si="67"/>
        <v>0</v>
      </c>
      <c r="P189" s="61">
        <f t="shared" ca="1" si="67"/>
        <v>0</v>
      </c>
      <c r="Q189" s="61">
        <f t="shared" ca="1" si="67"/>
        <v>0</v>
      </c>
      <c r="R189" s="61">
        <f t="shared" ca="1" si="67"/>
        <v>0</v>
      </c>
      <c r="S189" s="61">
        <f t="shared" ca="1" si="67"/>
        <v>0</v>
      </c>
      <c r="T189" s="61">
        <f t="shared" ca="1" si="67"/>
        <v>0</v>
      </c>
      <c r="U189" s="61">
        <f t="shared" ca="1" si="67"/>
        <v>0</v>
      </c>
      <c r="V189" s="61">
        <f t="shared" ca="1" si="67"/>
        <v>0</v>
      </c>
      <c r="W189" s="61">
        <f t="shared" ca="1" si="67"/>
        <v>0</v>
      </c>
      <c r="X189" s="61">
        <f t="shared" ca="1" si="67"/>
        <v>0</v>
      </c>
      <c r="Y189" s="61">
        <f t="shared" ca="1" si="67"/>
        <v>0</v>
      </c>
      <c r="Z189" s="61">
        <f t="shared" ca="1" si="67"/>
        <v>0</v>
      </c>
      <c r="AA189" s="61">
        <f t="shared" ca="1" si="67"/>
        <v>0</v>
      </c>
      <c r="AB189" s="61">
        <f t="shared" ca="1" si="67"/>
        <v>0</v>
      </c>
      <c r="AC189" s="61">
        <f t="shared" ca="1" si="67"/>
        <v>0</v>
      </c>
      <c r="AD189" s="61">
        <f t="shared" ca="1" si="67"/>
        <v>0</v>
      </c>
      <c r="AE189" s="61">
        <f t="shared" ca="1" si="67"/>
        <v>0</v>
      </c>
      <c r="AF189" s="61">
        <f t="shared" ca="1" si="67"/>
        <v>0</v>
      </c>
      <c r="AG189" s="61">
        <f t="shared" ca="1" si="67"/>
        <v>0</v>
      </c>
      <c r="AH189" s="61">
        <f t="shared" ca="1" si="67"/>
        <v>0</v>
      </c>
      <c r="AI189" s="61">
        <f t="shared" ca="1" si="67"/>
        <v>0</v>
      </c>
      <c r="AJ189" s="61">
        <f t="shared" ca="1" si="67"/>
        <v>0</v>
      </c>
      <c r="AK189" s="61">
        <f t="shared" ca="1" si="67"/>
        <v>0</v>
      </c>
      <c r="AL189" s="61">
        <f t="shared" ca="1" si="67"/>
        <v>0</v>
      </c>
      <c r="AM189" s="61">
        <f t="shared" ca="1" si="67"/>
        <v>0</v>
      </c>
      <c r="AN189" s="61">
        <f t="shared" ca="1" si="67"/>
        <v>0</v>
      </c>
      <c r="AO189" s="61">
        <f t="shared" ca="1" si="67"/>
        <v>0</v>
      </c>
      <c r="AP189" s="61">
        <f t="shared" ca="1" si="67"/>
        <v>0</v>
      </c>
      <c r="AQ189" s="61">
        <f t="shared" ca="1" si="67"/>
        <v>0</v>
      </c>
      <c r="AR189" s="61">
        <f t="shared" ca="1" si="67"/>
        <v>0</v>
      </c>
      <c r="AS189" s="61">
        <f t="shared" ca="1" si="67"/>
        <v>0</v>
      </c>
      <c r="AT189" s="61">
        <f t="shared" ca="1" si="67"/>
        <v>0</v>
      </c>
      <c r="AU189" s="61">
        <f t="shared" ca="1" si="67"/>
        <v>0</v>
      </c>
      <c r="AV189" s="61">
        <f t="shared" ca="1" si="67"/>
        <v>0</v>
      </c>
      <c r="AW189" s="61">
        <f t="shared" ca="1" si="67"/>
        <v>0</v>
      </c>
      <c r="AX189" s="61">
        <f t="shared" ca="1" si="67"/>
        <v>0</v>
      </c>
    </row>
    <row r="190" spans="1:50" s="93" customFormat="1" ht="15" customHeight="1">
      <c r="A190" s="90"/>
      <c r="B190" s="134"/>
    </row>
    <row r="191" spans="1:50" s="93" customFormat="1" ht="15" customHeight="1">
      <c r="A191" s="90"/>
      <c r="B191" s="134"/>
      <c r="E191" s="93" t="str">
        <f xml:space="preserve"> Translate!$E$19 &amp;  ": " &amp; E178</f>
        <v>Total: Project cashflow before decommissioning fund</v>
      </c>
      <c r="F191" s="158">
        <f ca="1" xml:space="preserve"> SUM(K178:AX178)</f>
        <v>505.1398131257335</v>
      </c>
      <c r="G191" s="93" t="str">
        <f t="shared" ref="G191:G199" si="68" xml:space="preserve"> G178</f>
        <v>US$ mn 2021 NPV8</v>
      </c>
    </row>
    <row r="192" spans="1:50" s="93" customFormat="1" ht="15" customHeight="1">
      <c r="A192" s="90"/>
      <c r="B192" s="134"/>
      <c r="E192" s="93" t="str">
        <f xml:space="preserve"> Translate!$E$19 &amp;  ": " &amp; E179</f>
        <v>Total: Net decommissioning cashflows</v>
      </c>
      <c r="F192" s="158">
        <f t="shared" ref="F192:F199" ca="1" si="69" xml:space="preserve"> SUM(K179:AX179)</f>
        <v>-1.8924775469705732</v>
      </c>
      <c r="G192" s="93" t="str">
        <f t="shared" si="68"/>
        <v>US$ mn 2021 NPV8</v>
      </c>
    </row>
    <row r="193" spans="1:50" s="93" customFormat="1" ht="15" customHeight="1">
      <c r="A193" s="90"/>
      <c r="B193" s="134"/>
      <c r="E193" s="93" t="str">
        <f xml:space="preserve"> Translate!$E$19 &amp;  ": " &amp; E180</f>
        <v>Total: Government revenues excluding participation</v>
      </c>
      <c r="F193" s="158">
        <f t="shared" ca="1" si="69"/>
        <v>237.30996946654363</v>
      </c>
      <c r="G193" s="93" t="str">
        <f t="shared" si="68"/>
        <v>US$ mn 2021 NPV8</v>
      </c>
    </row>
    <row r="194" spans="1:50" s="93" customFormat="1" ht="15" customHeight="1">
      <c r="A194" s="90"/>
      <c r="B194" s="134"/>
      <c r="E194" s="93" t="str">
        <f xml:space="preserve"> Translate!$E$19 &amp;  ": " &amp; E181</f>
        <v>Total: State participation cashflows including share of loan</v>
      </c>
      <c r="F194" s="158">
        <f t="shared" ca="1" si="69"/>
        <v>0</v>
      </c>
      <c r="G194" s="93" t="str">
        <f t="shared" si="68"/>
        <v>US$ mn 2021 NPV8</v>
      </c>
    </row>
    <row r="195" spans="1:50" s="93" customFormat="1" ht="15" customHeight="1">
      <c r="A195" s="90"/>
      <c r="B195" s="134"/>
      <c r="E195" s="93" t="str">
        <f xml:space="preserve"> Translate!$E$19 &amp;  ": " &amp; E182</f>
        <v>Total: Government revenues including participation</v>
      </c>
      <c r="F195" s="158">
        <f t="shared" ca="1" si="69"/>
        <v>237.30996946654363</v>
      </c>
      <c r="G195" s="93" t="str">
        <f t="shared" si="68"/>
        <v>US$ mn 2021 NPV8</v>
      </c>
    </row>
    <row r="196" spans="1:50" s="93" customFormat="1" ht="15" customHeight="1">
      <c r="A196" s="90"/>
      <c r="B196" s="134"/>
      <c r="E196" s="93" t="str">
        <f xml:space="preserve"> Translate!$E$19 &amp;  ": " &amp; E183</f>
        <v>Total: Net cashflow after fiscal regime: Parent company (excluding loan)</v>
      </c>
      <c r="F196" s="158">
        <f t="shared" ca="1" si="69"/>
        <v>282.69387763624388</v>
      </c>
      <c r="G196" s="93" t="str">
        <f t="shared" si="68"/>
        <v>US$ mn 2021 NPV8</v>
      </c>
    </row>
    <row r="197" spans="1:50" s="93" customFormat="1" ht="15" customHeight="1">
      <c r="A197" s="90"/>
      <c r="B197" s="134"/>
      <c r="E197" s="93" t="str">
        <f xml:space="preserve"> Translate!$E$19 &amp;  ": " &amp; E184</f>
        <v>Total: Project loan cashflows net of state participation share, met by parent company</v>
      </c>
      <c r="F197" s="158">
        <f t="shared" ca="1" si="69"/>
        <v>-16.756511524024599</v>
      </c>
      <c r="G197" s="93" t="str">
        <f t="shared" si="68"/>
        <v>US$ mn 2021 NPV8</v>
      </c>
    </row>
    <row r="198" spans="1:50" s="93" customFormat="1" ht="15" customHeight="1">
      <c r="A198" s="90"/>
      <c r="B198" s="134"/>
      <c r="E198" s="93" t="str">
        <f xml:space="preserve"> Translate!$E$19 &amp;  ": " &amp; E185</f>
        <v>Total: Investors (Parent company + lender)</v>
      </c>
      <c r="F198" s="158">
        <f t="shared" ca="1" si="69"/>
        <v>265.93736611221931</v>
      </c>
      <c r="G198" s="93" t="str">
        <f t="shared" si="68"/>
        <v>US$ mn 2021 NPV8</v>
      </c>
    </row>
    <row r="199" spans="1:50" s="93" customFormat="1" ht="15" customHeight="1">
      <c r="A199" s="90"/>
      <c r="B199" s="134"/>
      <c r="E199" s="93" t="str">
        <f xml:space="preserve"> Translate!$E$19 &amp;  ": " &amp; E186</f>
        <v>Total: Project benefits</v>
      </c>
      <c r="F199" s="158">
        <f t="shared" ca="1" si="69"/>
        <v>824.47985554150762</v>
      </c>
      <c r="G199" s="93" t="str">
        <f t="shared" si="68"/>
        <v>US$ mn 2021 NPV8</v>
      </c>
    </row>
    <row r="200" spans="1:50" s="93" customFormat="1" ht="15" customHeight="1">
      <c r="A200" s="90"/>
      <c r="B200" s="134"/>
    </row>
    <row r="201" spans="1:50" s="93" customFormat="1" ht="15" customHeight="1">
      <c r="A201" s="90"/>
      <c r="B201" s="134"/>
      <c r="E201" s="93" t="str">
        <f xml:space="preserve"> Translate!$E$444 &amp; ": "  &amp; B173  &amp;  ", "  &amp; Translate!$E$19</f>
        <v>Check: Project participants: full-cycle, real, NPV8, Total</v>
      </c>
      <c r="F201" s="61">
        <f ca="1" xml:space="preserve"> IF( ABS(F191 + F192 - SUM(F195:F197)) &gt; CHK_TOL, 1, 0)</f>
        <v>0</v>
      </c>
      <c r="G201" s="1041" t="str">
        <f xml:space="preserve"> Translate!E$444</f>
        <v>Check</v>
      </c>
    </row>
    <row r="202" spans="1:50" s="93" customFormat="1" ht="15" customHeight="1">
      <c r="A202" s="90"/>
      <c r="B202" s="134"/>
    </row>
    <row r="203" spans="1:50" s="93" customFormat="1" ht="15" customHeight="1">
      <c r="A203" s="90"/>
      <c r="B203" s="156" t="str">
        <f>Translate!$E$17  &amp; ": " &amp; Inputs!F$83 &amp; ", " &amp; Inputs!F$85 &amp; ", " &amp; Inputs!F$59</f>
        <v>Government share metrics: full-cycle, real, NPV8</v>
      </c>
    </row>
    <row r="204" spans="1:50" s="93" customFormat="1" ht="15" customHeight="1">
      <c r="A204" s="90"/>
      <c r="B204" s="134"/>
      <c r="E204" s="305" t="str">
        <f>Translate!$E$435</f>
        <v>Average Effective Tax Rate (excl. participation)</v>
      </c>
      <c r="F204" s="65">
        <f ca="1" xml:space="preserve"> F193 / F191</f>
        <v>0.46979066646539541</v>
      </c>
      <c r="G204" s="305" t="str">
        <f xml:space="preserve"> "% " &amp; Inputs!F$83 &amp; ", " &amp; Inputs!F$85 &amp; ", " &amp; Inputs!F$59</f>
        <v>% full-cycle, real, NPV8</v>
      </c>
    </row>
    <row r="205" spans="1:50" s="93" customFormat="1" ht="15" customHeight="1">
      <c r="A205" s="90"/>
      <c r="B205" s="134"/>
      <c r="E205" s="158" t="str">
        <f>Translate!$E$436</f>
        <v>Average Effective Tax Rate (incl. participation)</v>
      </c>
      <c r="F205" s="251">
        <f ca="1" xml:space="preserve"> F195 / F191</f>
        <v>0.46979066646539541</v>
      </c>
      <c r="G205" s="305" t="str">
        <f xml:space="preserve"> "% " &amp; Inputs!F$83 &amp; ", " &amp; Inputs!F$85 &amp; ", " &amp; Inputs!F$59</f>
        <v>% full-cycle, real, NPV8</v>
      </c>
    </row>
    <row r="206" spans="1:50" s="93" customFormat="1" ht="15" customHeight="1">
      <c r="A206" s="90"/>
      <c r="B206" s="134"/>
      <c r="E206" s="93" t="str">
        <f>Translate!E$510</f>
        <v>Government share of project benefits</v>
      </c>
      <c r="F206" s="251">
        <f ca="1" xml:space="preserve"> F195 / F199</f>
        <v>0.28782991830732063</v>
      </c>
      <c r="G206" s="305" t="str">
        <f xml:space="preserve"> "% " &amp; Inputs!F$83 &amp; ", " &amp; Inputs!F$85 &amp; ", " &amp; Inputs!F$59</f>
        <v>% full-cycle, real, NPV8</v>
      </c>
    </row>
    <row r="207" spans="1:50" s="93" customFormat="1" ht="15" customHeight="1">
      <c r="A207" s="90"/>
      <c r="B207" s="134"/>
    </row>
    <row r="208" spans="1:50" s="93" customFormat="1" ht="15" customHeight="1">
      <c r="A208" s="56" t="str">
        <f>Translate!E$11 &amp; ": " &amp; Inputs!F$84 &amp; ", " &amp; Inputs!F$85</f>
        <v>Analysis: FID forward, real</v>
      </c>
      <c r="B208" s="56"/>
      <c r="C208" s="56"/>
      <c r="D208" s="56"/>
      <c r="E208" s="56"/>
      <c r="F208" s="56"/>
      <c r="G208" s="56"/>
      <c r="H208" s="56"/>
      <c r="I208" s="56"/>
      <c r="J208" s="56"/>
      <c r="K208" s="56"/>
      <c r="L208" s="56"/>
      <c r="M208" s="56"/>
      <c r="N208" s="56"/>
      <c r="O208" s="56"/>
      <c r="P208" s="56"/>
      <c r="Q208" s="56"/>
      <c r="R208" s="56"/>
      <c r="S208" s="56"/>
      <c r="T208" s="56"/>
      <c r="U208" s="56"/>
      <c r="V208" s="56"/>
      <c r="W208" s="56"/>
      <c r="X208" s="56"/>
      <c r="Y208" s="56"/>
      <c r="Z208" s="56"/>
      <c r="AA208" s="56"/>
      <c r="AB208" s="56"/>
      <c r="AC208" s="56"/>
      <c r="AD208" s="56"/>
      <c r="AE208" s="56"/>
      <c r="AF208" s="56"/>
      <c r="AG208" s="56"/>
      <c r="AH208" s="56"/>
      <c r="AI208" s="56"/>
      <c r="AJ208" s="56"/>
      <c r="AK208" s="56"/>
      <c r="AL208" s="56"/>
      <c r="AM208" s="56"/>
      <c r="AN208" s="56"/>
      <c r="AO208" s="56"/>
      <c r="AP208" s="56"/>
      <c r="AQ208" s="56"/>
      <c r="AR208" s="56"/>
      <c r="AS208" s="56"/>
      <c r="AT208" s="56"/>
      <c r="AU208" s="56"/>
      <c r="AV208" s="56"/>
      <c r="AW208" s="56"/>
      <c r="AX208" s="56"/>
    </row>
    <row r="209" spans="1:50" s="93" customFormat="1" ht="15" customHeight="1">
      <c r="A209" s="90"/>
      <c r="B209" s="134"/>
    </row>
    <row r="210" spans="1:50" s="93" customFormat="1" ht="15" customHeight="1">
      <c r="A210" s="90"/>
      <c r="B210" s="156" t="str">
        <f xml:space="preserve"> Translate!E$12 &amp; ": " &amp; Inputs!F$83 &amp; ", " &amp; Inputs!F$85</f>
        <v>Cashflows: full-cycle, real</v>
      </c>
    </row>
    <row r="211" spans="1:50" s="204" customFormat="1" ht="15" customHeight="1">
      <c r="B211" s="205"/>
      <c r="E211" s="177" t="str">
        <f xml:space="preserve"> E$123</f>
        <v>Project cashflow before decommissioning fund</v>
      </c>
      <c r="F211" s="177">
        <f t="shared" ref="F211:AX211" si="70" xml:space="preserve"> F$123</f>
        <v>0</v>
      </c>
      <c r="G211" s="177" t="str">
        <f t="shared" si="70"/>
        <v>US$ mn 2021</v>
      </c>
      <c r="H211" s="177">
        <f t="shared" si="70"/>
        <v>0</v>
      </c>
      <c r="I211" s="177">
        <f t="shared" ca="1" si="70"/>
        <v>1504</v>
      </c>
      <c r="J211" s="177">
        <f t="shared" si="70"/>
        <v>0</v>
      </c>
      <c r="K211" s="177">
        <f t="shared" ca="1" si="70"/>
        <v>-10</v>
      </c>
      <c r="L211" s="177">
        <f t="shared" ca="1" si="70"/>
        <v>-10</v>
      </c>
      <c r="M211" s="177">
        <f t="shared" ca="1" si="70"/>
        <v>-10</v>
      </c>
      <c r="N211" s="177">
        <f t="shared" ca="1" si="70"/>
        <v>-50</v>
      </c>
      <c r="O211" s="177">
        <f t="shared" ca="1" si="70"/>
        <v>-239.75000000000006</v>
      </c>
      <c r="P211" s="177">
        <f t="shared" ca="1" si="70"/>
        <v>-31.125000000000004</v>
      </c>
      <c r="Q211" s="177">
        <f t="shared" ca="1" si="70"/>
        <v>145.75</v>
      </c>
      <c r="R211" s="177">
        <f t="shared" ca="1" si="70"/>
        <v>145.74999999999997</v>
      </c>
      <c r="S211" s="177">
        <f t="shared" ca="1" si="70"/>
        <v>145.74999999999997</v>
      </c>
      <c r="T211" s="177">
        <f t="shared" ca="1" si="70"/>
        <v>145.75000000000003</v>
      </c>
      <c r="U211" s="177">
        <f t="shared" ca="1" si="70"/>
        <v>145.75</v>
      </c>
      <c r="V211" s="177">
        <f t="shared" ca="1" si="70"/>
        <v>145.74999999999997</v>
      </c>
      <c r="W211" s="177">
        <f t="shared" ca="1" si="70"/>
        <v>145.75</v>
      </c>
      <c r="X211" s="177">
        <f t="shared" ca="1" si="70"/>
        <v>145.74999999999997</v>
      </c>
      <c r="Y211" s="177">
        <f t="shared" ca="1" si="70"/>
        <v>145.75000000000003</v>
      </c>
      <c r="Z211" s="177">
        <f t="shared" ca="1" si="70"/>
        <v>145.75</v>
      </c>
      <c r="AA211" s="177">
        <f t="shared" ca="1" si="70"/>
        <v>120.12500000000001</v>
      </c>
      <c r="AB211" s="177">
        <f t="shared" ca="1" si="70"/>
        <v>102.5</v>
      </c>
      <c r="AC211" s="177">
        <f t="shared" ca="1" si="70"/>
        <v>76.875</v>
      </c>
      <c r="AD211" s="177">
        <f t="shared" ca="1" si="70"/>
        <v>66.624999999999986</v>
      </c>
      <c r="AE211" s="177">
        <f t="shared" ca="1" si="70"/>
        <v>51.249999999999993</v>
      </c>
      <c r="AF211" s="177">
        <f t="shared" ca="1" si="70"/>
        <v>-20</v>
      </c>
      <c r="AG211" s="177">
        <f t="shared" ca="1" si="70"/>
        <v>0</v>
      </c>
      <c r="AH211" s="177">
        <f t="shared" ca="1" si="70"/>
        <v>0</v>
      </c>
      <c r="AI211" s="177">
        <f t="shared" ca="1" si="70"/>
        <v>0</v>
      </c>
      <c r="AJ211" s="177">
        <f t="shared" ca="1" si="70"/>
        <v>0</v>
      </c>
      <c r="AK211" s="177">
        <f t="shared" ca="1" si="70"/>
        <v>0</v>
      </c>
      <c r="AL211" s="177">
        <f t="shared" ca="1" si="70"/>
        <v>0</v>
      </c>
      <c r="AM211" s="177">
        <f t="shared" ca="1" si="70"/>
        <v>0</v>
      </c>
      <c r="AN211" s="177">
        <f t="shared" ca="1" si="70"/>
        <v>0</v>
      </c>
      <c r="AO211" s="177">
        <f t="shared" ca="1" si="70"/>
        <v>0</v>
      </c>
      <c r="AP211" s="177">
        <f t="shared" ca="1" si="70"/>
        <v>0</v>
      </c>
      <c r="AQ211" s="177">
        <f t="shared" ca="1" si="70"/>
        <v>0</v>
      </c>
      <c r="AR211" s="177">
        <f t="shared" ca="1" si="70"/>
        <v>0</v>
      </c>
      <c r="AS211" s="177">
        <f t="shared" ca="1" si="70"/>
        <v>0</v>
      </c>
      <c r="AT211" s="177">
        <f t="shared" ca="1" si="70"/>
        <v>0</v>
      </c>
      <c r="AU211" s="177">
        <f t="shared" ca="1" si="70"/>
        <v>0</v>
      </c>
      <c r="AV211" s="177">
        <f t="shared" ca="1" si="70"/>
        <v>0</v>
      </c>
      <c r="AW211" s="177">
        <f t="shared" ca="1" si="70"/>
        <v>0</v>
      </c>
      <c r="AX211" s="177">
        <f t="shared" ca="1" si="70"/>
        <v>0</v>
      </c>
    </row>
    <row r="212" spans="1:50" s="204" customFormat="1" ht="15" customHeight="1">
      <c r="B212" s="206"/>
      <c r="E212" s="177" t="str">
        <f xml:space="preserve"> E$124</f>
        <v>Net decommissioning cashflows</v>
      </c>
      <c r="F212" s="177">
        <f t="shared" ref="F212:AX212" si="71" xml:space="preserve"> F$124</f>
        <v>0</v>
      </c>
      <c r="G212" s="177" t="str">
        <f t="shared" si="71"/>
        <v>US$ mn 2021</v>
      </c>
      <c r="H212" s="177">
        <f t="shared" si="71"/>
        <v>0</v>
      </c>
      <c r="I212" s="177">
        <f t="shared" ca="1" si="71"/>
        <v>-0.40000000000000924</v>
      </c>
      <c r="J212" s="177">
        <f t="shared" si="71"/>
        <v>0</v>
      </c>
      <c r="K212" s="177">
        <f t="shared" ca="1" si="71"/>
        <v>0</v>
      </c>
      <c r="L212" s="177">
        <f t="shared" ca="1" si="71"/>
        <v>0</v>
      </c>
      <c r="M212" s="177">
        <f t="shared" ca="1" si="71"/>
        <v>0</v>
      </c>
      <c r="N212" s="177">
        <f t="shared" ca="1" si="71"/>
        <v>0</v>
      </c>
      <c r="O212" s="177">
        <f t="shared" ca="1" si="71"/>
        <v>0</v>
      </c>
      <c r="P212" s="177">
        <f t="shared" ca="1" si="71"/>
        <v>0</v>
      </c>
      <c r="Q212" s="177">
        <f t="shared" ca="1" si="71"/>
        <v>0</v>
      </c>
      <c r="R212" s="177">
        <f t="shared" ca="1" si="71"/>
        <v>0</v>
      </c>
      <c r="S212" s="177">
        <f t="shared" ca="1" si="71"/>
        <v>0</v>
      </c>
      <c r="T212" s="177">
        <f t="shared" ca="1" si="71"/>
        <v>0</v>
      </c>
      <c r="U212" s="177">
        <f t="shared" ca="1" si="71"/>
        <v>0</v>
      </c>
      <c r="V212" s="177">
        <f t="shared" ca="1" si="71"/>
        <v>0</v>
      </c>
      <c r="W212" s="177">
        <f t="shared" ca="1" si="71"/>
        <v>0</v>
      </c>
      <c r="X212" s="177">
        <f t="shared" ca="1" si="71"/>
        <v>-2.7301959826752547</v>
      </c>
      <c r="Y212" s="177">
        <f t="shared" ca="1" si="71"/>
        <v>-2.6766627281129947</v>
      </c>
      <c r="Z212" s="177">
        <f t="shared" ca="1" si="71"/>
        <v>-2.6241791452088181</v>
      </c>
      <c r="AA212" s="177">
        <f t="shared" ca="1" si="71"/>
        <v>-2.5727246521655078</v>
      </c>
      <c r="AB212" s="177">
        <f t="shared" ca="1" si="71"/>
        <v>-2.5222790707504976</v>
      </c>
      <c r="AC212" s="177">
        <f t="shared" ca="1" si="71"/>
        <v>-2.4728226183828408</v>
      </c>
      <c r="AD212" s="177">
        <f t="shared" ca="1" si="71"/>
        <v>-2.4243359003753344</v>
      </c>
      <c r="AE212" s="177">
        <f t="shared" ca="1" si="71"/>
        <v>-2.3767999023287589</v>
      </c>
      <c r="AF212" s="177">
        <f t="shared" ca="1" si="71"/>
        <v>20</v>
      </c>
      <c r="AG212" s="177">
        <f t="shared" ca="1" si="71"/>
        <v>0</v>
      </c>
      <c r="AH212" s="177">
        <f t="shared" ca="1" si="71"/>
        <v>0</v>
      </c>
      <c r="AI212" s="177">
        <f t="shared" ca="1" si="71"/>
        <v>0</v>
      </c>
      <c r="AJ212" s="177">
        <f t="shared" ca="1" si="71"/>
        <v>0</v>
      </c>
      <c r="AK212" s="177">
        <f t="shared" ca="1" si="71"/>
        <v>0</v>
      </c>
      <c r="AL212" s="177">
        <f t="shared" ca="1" si="71"/>
        <v>0</v>
      </c>
      <c r="AM212" s="177">
        <f t="shared" ca="1" si="71"/>
        <v>0</v>
      </c>
      <c r="AN212" s="177">
        <f t="shared" ca="1" si="71"/>
        <v>0</v>
      </c>
      <c r="AO212" s="177">
        <f t="shared" ca="1" si="71"/>
        <v>0</v>
      </c>
      <c r="AP212" s="177">
        <f t="shared" ca="1" si="71"/>
        <v>0</v>
      </c>
      <c r="AQ212" s="177">
        <f t="shared" ca="1" si="71"/>
        <v>0</v>
      </c>
      <c r="AR212" s="177">
        <f t="shared" ca="1" si="71"/>
        <v>0</v>
      </c>
      <c r="AS212" s="177">
        <f t="shared" ca="1" si="71"/>
        <v>0</v>
      </c>
      <c r="AT212" s="177">
        <f t="shared" ca="1" si="71"/>
        <v>0</v>
      </c>
      <c r="AU212" s="177">
        <f t="shared" ca="1" si="71"/>
        <v>0</v>
      </c>
      <c r="AV212" s="177">
        <f t="shared" ca="1" si="71"/>
        <v>0</v>
      </c>
      <c r="AW212" s="177">
        <f t="shared" ca="1" si="71"/>
        <v>0</v>
      </c>
      <c r="AX212" s="177">
        <f t="shared" ca="1" si="71"/>
        <v>0</v>
      </c>
    </row>
    <row r="213" spans="1:50" s="204" customFormat="1" ht="15" customHeight="1">
      <c r="B213" s="206"/>
      <c r="E213" s="177" t="str">
        <f xml:space="preserve"> E$125</f>
        <v>Government revenues excluding participation</v>
      </c>
      <c r="F213" s="177">
        <f t="shared" ref="F213:AX213" si="72" xml:space="preserve"> F$125</f>
        <v>0</v>
      </c>
      <c r="G213" s="177" t="str">
        <f t="shared" si="72"/>
        <v>US$ mn 2021</v>
      </c>
      <c r="H213" s="177">
        <f t="shared" si="72"/>
        <v>0</v>
      </c>
      <c r="I213" s="177">
        <f t="shared" ca="1" si="72"/>
        <v>611.79250460841865</v>
      </c>
      <c r="J213" s="177">
        <f t="shared" si="72"/>
        <v>0</v>
      </c>
      <c r="K213" s="177">
        <f t="shared" ca="1" si="72"/>
        <v>0</v>
      </c>
      <c r="L213" s="177">
        <f t="shared" ca="1" si="72"/>
        <v>0</v>
      </c>
      <c r="M213" s="177">
        <f t="shared" ca="1" si="72"/>
        <v>0</v>
      </c>
      <c r="N213" s="177">
        <f t="shared" ca="1" si="72"/>
        <v>0</v>
      </c>
      <c r="O213" s="177">
        <f t="shared" ca="1" si="72"/>
        <v>0.73750000000000004</v>
      </c>
      <c r="P213" s="177">
        <f t="shared" ca="1" si="72"/>
        <v>8.8656249999999996</v>
      </c>
      <c r="Q213" s="177">
        <f t="shared" ca="1" si="72"/>
        <v>18.595652328431374</v>
      </c>
      <c r="R213" s="177">
        <f t="shared" ca="1" si="72"/>
        <v>18.712036596501338</v>
      </c>
      <c r="S213" s="177">
        <f t="shared" ca="1" si="72"/>
        <v>25.901850013156011</v>
      </c>
      <c r="T213" s="177">
        <f t="shared" ca="1" si="72"/>
        <v>46.29910934689709</v>
      </c>
      <c r="U213" s="177">
        <f t="shared" ca="1" si="72"/>
        <v>52.085327833092393</v>
      </c>
      <c r="V213" s="177">
        <f t="shared" ca="1" si="72"/>
        <v>58.550023788694524</v>
      </c>
      <c r="W213" s="177">
        <f t="shared" ca="1" si="72"/>
        <v>58.550023788694531</v>
      </c>
      <c r="X213" s="177">
        <f t="shared" ca="1" si="72"/>
        <v>57.588994802792826</v>
      </c>
      <c r="Y213" s="177">
        <f t="shared" ca="1" si="72"/>
        <v>57.607838508398771</v>
      </c>
      <c r="Z213" s="177">
        <f t="shared" ca="1" si="72"/>
        <v>57.626312729581016</v>
      </c>
      <c r="AA213" s="177">
        <f t="shared" ca="1" si="72"/>
        <v>47.429674711132279</v>
      </c>
      <c r="AB213" s="177">
        <f t="shared" ca="1" si="72"/>
        <v>38.435881555790353</v>
      </c>
      <c r="AC213" s="177">
        <f t="shared" ca="1" si="72"/>
        <v>28.28939753761021</v>
      </c>
      <c r="AD213" s="177">
        <f t="shared" ca="1" si="72"/>
        <v>20.591642791157952</v>
      </c>
      <c r="AE213" s="177">
        <f t="shared" ca="1" si="72"/>
        <v>15.925613276488066</v>
      </c>
      <c r="AF213" s="177">
        <f t="shared" ca="1" si="72"/>
        <v>0</v>
      </c>
      <c r="AG213" s="177">
        <f t="shared" ca="1" si="72"/>
        <v>0</v>
      </c>
      <c r="AH213" s="177">
        <f t="shared" ca="1" si="72"/>
        <v>0</v>
      </c>
      <c r="AI213" s="177">
        <f t="shared" ca="1" si="72"/>
        <v>0</v>
      </c>
      <c r="AJ213" s="177">
        <f t="shared" ca="1" si="72"/>
        <v>0</v>
      </c>
      <c r="AK213" s="177">
        <f t="shared" ca="1" si="72"/>
        <v>0</v>
      </c>
      <c r="AL213" s="177">
        <f t="shared" ca="1" si="72"/>
        <v>0</v>
      </c>
      <c r="AM213" s="177">
        <f t="shared" ca="1" si="72"/>
        <v>0</v>
      </c>
      <c r="AN213" s="177">
        <f t="shared" ca="1" si="72"/>
        <v>0</v>
      </c>
      <c r="AO213" s="177">
        <f t="shared" ca="1" si="72"/>
        <v>0</v>
      </c>
      <c r="AP213" s="177">
        <f t="shared" ca="1" si="72"/>
        <v>0</v>
      </c>
      <c r="AQ213" s="177">
        <f t="shared" ca="1" si="72"/>
        <v>0</v>
      </c>
      <c r="AR213" s="177">
        <f t="shared" ca="1" si="72"/>
        <v>0</v>
      </c>
      <c r="AS213" s="177">
        <f t="shared" ca="1" si="72"/>
        <v>0</v>
      </c>
      <c r="AT213" s="177">
        <f t="shared" ca="1" si="72"/>
        <v>0</v>
      </c>
      <c r="AU213" s="177">
        <f t="shared" ca="1" si="72"/>
        <v>0</v>
      </c>
      <c r="AV213" s="177">
        <f t="shared" ca="1" si="72"/>
        <v>0</v>
      </c>
      <c r="AW213" s="177">
        <f t="shared" ca="1" si="72"/>
        <v>0</v>
      </c>
      <c r="AX213" s="177">
        <f t="shared" ca="1" si="72"/>
        <v>0</v>
      </c>
    </row>
    <row r="214" spans="1:50" s="204" customFormat="1" ht="15" customHeight="1">
      <c r="B214" s="206"/>
      <c r="E214" s="177" t="str">
        <f xml:space="preserve"> E$126</f>
        <v>State participation cashflows including share of loan</v>
      </c>
      <c r="F214" s="177">
        <f t="shared" ref="F214:AX214" si="73" xml:space="preserve"> F$126</f>
        <v>0</v>
      </c>
      <c r="G214" s="177" t="str">
        <f t="shared" si="73"/>
        <v>US$ mn 2021</v>
      </c>
      <c r="H214" s="177">
        <f t="shared" si="73"/>
        <v>0</v>
      </c>
      <c r="I214" s="177">
        <f t="shared" ca="1" si="73"/>
        <v>0</v>
      </c>
      <c r="J214" s="177">
        <f t="shared" si="73"/>
        <v>0</v>
      </c>
      <c r="K214" s="177">
        <f t="shared" ca="1" si="73"/>
        <v>0</v>
      </c>
      <c r="L214" s="177">
        <f t="shared" ca="1" si="73"/>
        <v>0</v>
      </c>
      <c r="M214" s="177">
        <f t="shared" ca="1" si="73"/>
        <v>0</v>
      </c>
      <c r="N214" s="177">
        <f t="shared" ca="1" si="73"/>
        <v>0</v>
      </c>
      <c r="O214" s="177">
        <f t="shared" ca="1" si="73"/>
        <v>0</v>
      </c>
      <c r="P214" s="177">
        <f t="shared" ca="1" si="73"/>
        <v>0</v>
      </c>
      <c r="Q214" s="177">
        <f t="shared" ca="1" si="73"/>
        <v>0</v>
      </c>
      <c r="R214" s="177">
        <f t="shared" ca="1" si="73"/>
        <v>0</v>
      </c>
      <c r="S214" s="177">
        <f t="shared" ca="1" si="73"/>
        <v>0</v>
      </c>
      <c r="T214" s="177">
        <f t="shared" ca="1" si="73"/>
        <v>0</v>
      </c>
      <c r="U214" s="177">
        <f t="shared" ca="1" si="73"/>
        <v>0</v>
      </c>
      <c r="V214" s="177">
        <f t="shared" ca="1" si="73"/>
        <v>0</v>
      </c>
      <c r="W214" s="177">
        <f t="shared" ca="1" si="73"/>
        <v>0</v>
      </c>
      <c r="X214" s="177">
        <f t="shared" ca="1" si="73"/>
        <v>0</v>
      </c>
      <c r="Y214" s="177">
        <f t="shared" ca="1" si="73"/>
        <v>0</v>
      </c>
      <c r="Z214" s="177">
        <f t="shared" ca="1" si="73"/>
        <v>0</v>
      </c>
      <c r="AA214" s="177">
        <f t="shared" ca="1" si="73"/>
        <v>0</v>
      </c>
      <c r="AB214" s="177">
        <f t="shared" ca="1" si="73"/>
        <v>0</v>
      </c>
      <c r="AC214" s="177">
        <f t="shared" ca="1" si="73"/>
        <v>0</v>
      </c>
      <c r="AD214" s="177">
        <f t="shared" ca="1" si="73"/>
        <v>0</v>
      </c>
      <c r="AE214" s="177">
        <f t="shared" ca="1" si="73"/>
        <v>0</v>
      </c>
      <c r="AF214" s="177">
        <f t="shared" ca="1" si="73"/>
        <v>0</v>
      </c>
      <c r="AG214" s="177">
        <f t="shared" ca="1" si="73"/>
        <v>0</v>
      </c>
      <c r="AH214" s="177">
        <f t="shared" ca="1" si="73"/>
        <v>0</v>
      </c>
      <c r="AI214" s="177">
        <f t="shared" ca="1" si="73"/>
        <v>0</v>
      </c>
      <c r="AJ214" s="177">
        <f t="shared" ca="1" si="73"/>
        <v>0</v>
      </c>
      <c r="AK214" s="177">
        <f t="shared" ca="1" si="73"/>
        <v>0</v>
      </c>
      <c r="AL214" s="177">
        <f t="shared" ca="1" si="73"/>
        <v>0</v>
      </c>
      <c r="AM214" s="177">
        <f t="shared" ca="1" si="73"/>
        <v>0</v>
      </c>
      <c r="AN214" s="177">
        <f t="shared" ca="1" si="73"/>
        <v>0</v>
      </c>
      <c r="AO214" s="177">
        <f t="shared" ca="1" si="73"/>
        <v>0</v>
      </c>
      <c r="AP214" s="177">
        <f t="shared" ca="1" si="73"/>
        <v>0</v>
      </c>
      <c r="AQ214" s="177">
        <f t="shared" ca="1" si="73"/>
        <v>0</v>
      </c>
      <c r="AR214" s="177">
        <f t="shared" ca="1" si="73"/>
        <v>0</v>
      </c>
      <c r="AS214" s="177">
        <f t="shared" ca="1" si="73"/>
        <v>0</v>
      </c>
      <c r="AT214" s="177">
        <f t="shared" ca="1" si="73"/>
        <v>0</v>
      </c>
      <c r="AU214" s="177">
        <f t="shared" ca="1" si="73"/>
        <v>0</v>
      </c>
      <c r="AV214" s="177">
        <f t="shared" ca="1" si="73"/>
        <v>0</v>
      </c>
      <c r="AW214" s="177">
        <f t="shared" ca="1" si="73"/>
        <v>0</v>
      </c>
      <c r="AX214" s="177">
        <f t="shared" ca="1" si="73"/>
        <v>0</v>
      </c>
    </row>
    <row r="215" spans="1:50" s="177" customFormat="1" ht="15" customHeight="1">
      <c r="B215" s="210"/>
      <c r="E215" s="177" t="str">
        <f xml:space="preserve"> E$127</f>
        <v>Government revenues including participation</v>
      </c>
      <c r="F215" s="177">
        <f t="shared" ref="F215:AX215" si="74" xml:space="preserve"> F$127</f>
        <v>0</v>
      </c>
      <c r="G215" s="177" t="str">
        <f t="shared" si="74"/>
        <v>US$ mn 2021</v>
      </c>
      <c r="H215" s="177">
        <f t="shared" si="74"/>
        <v>0</v>
      </c>
      <c r="I215" s="177">
        <f t="shared" ca="1" si="74"/>
        <v>611.79250460841865</v>
      </c>
      <c r="J215" s="177">
        <f t="shared" si="74"/>
        <v>0</v>
      </c>
      <c r="K215" s="177">
        <f t="shared" ca="1" si="74"/>
        <v>0</v>
      </c>
      <c r="L215" s="177">
        <f t="shared" ca="1" si="74"/>
        <v>0</v>
      </c>
      <c r="M215" s="177">
        <f t="shared" ca="1" si="74"/>
        <v>0</v>
      </c>
      <c r="N215" s="177">
        <f t="shared" ca="1" si="74"/>
        <v>0</v>
      </c>
      <c r="O215" s="177">
        <f t="shared" ca="1" si="74"/>
        <v>0.73750000000000004</v>
      </c>
      <c r="P215" s="177">
        <f t="shared" ca="1" si="74"/>
        <v>8.8656249999999996</v>
      </c>
      <c r="Q215" s="177">
        <f t="shared" ca="1" si="74"/>
        <v>18.595652328431374</v>
      </c>
      <c r="R215" s="177">
        <f t="shared" ca="1" si="74"/>
        <v>18.712036596501338</v>
      </c>
      <c r="S215" s="177">
        <f t="shared" ca="1" si="74"/>
        <v>25.901850013156011</v>
      </c>
      <c r="T215" s="177">
        <f t="shared" ca="1" si="74"/>
        <v>46.29910934689709</v>
      </c>
      <c r="U215" s="177">
        <f t="shared" ca="1" si="74"/>
        <v>52.085327833092393</v>
      </c>
      <c r="V215" s="177">
        <f t="shared" ca="1" si="74"/>
        <v>58.550023788694524</v>
      </c>
      <c r="W215" s="177">
        <f t="shared" ca="1" si="74"/>
        <v>58.550023788694531</v>
      </c>
      <c r="X215" s="177">
        <f t="shared" ca="1" si="74"/>
        <v>57.588994802792826</v>
      </c>
      <c r="Y215" s="177">
        <f t="shared" ca="1" si="74"/>
        <v>57.607838508398771</v>
      </c>
      <c r="Z215" s="177">
        <f t="shared" ca="1" si="74"/>
        <v>57.626312729581016</v>
      </c>
      <c r="AA215" s="177">
        <f t="shared" ca="1" si="74"/>
        <v>47.429674711132279</v>
      </c>
      <c r="AB215" s="177">
        <f t="shared" ca="1" si="74"/>
        <v>38.435881555790353</v>
      </c>
      <c r="AC215" s="177">
        <f t="shared" ca="1" si="74"/>
        <v>28.28939753761021</v>
      </c>
      <c r="AD215" s="177">
        <f t="shared" ca="1" si="74"/>
        <v>20.591642791157952</v>
      </c>
      <c r="AE215" s="177">
        <f t="shared" ca="1" si="74"/>
        <v>15.925613276488066</v>
      </c>
      <c r="AF215" s="177">
        <f t="shared" ca="1" si="74"/>
        <v>0</v>
      </c>
      <c r="AG215" s="177">
        <f t="shared" ca="1" si="74"/>
        <v>0</v>
      </c>
      <c r="AH215" s="177">
        <f t="shared" ca="1" si="74"/>
        <v>0</v>
      </c>
      <c r="AI215" s="177">
        <f t="shared" ca="1" si="74"/>
        <v>0</v>
      </c>
      <c r="AJ215" s="177">
        <f t="shared" ca="1" si="74"/>
        <v>0</v>
      </c>
      <c r="AK215" s="177">
        <f t="shared" ca="1" si="74"/>
        <v>0</v>
      </c>
      <c r="AL215" s="177">
        <f t="shared" ca="1" si="74"/>
        <v>0</v>
      </c>
      <c r="AM215" s="177">
        <f t="shared" ca="1" si="74"/>
        <v>0</v>
      </c>
      <c r="AN215" s="177">
        <f t="shared" ca="1" si="74"/>
        <v>0</v>
      </c>
      <c r="AO215" s="177">
        <f t="shared" ca="1" si="74"/>
        <v>0</v>
      </c>
      <c r="AP215" s="177">
        <f t="shared" ca="1" si="74"/>
        <v>0</v>
      </c>
      <c r="AQ215" s="177">
        <f t="shared" ca="1" si="74"/>
        <v>0</v>
      </c>
      <c r="AR215" s="177">
        <f t="shared" ca="1" si="74"/>
        <v>0</v>
      </c>
      <c r="AS215" s="177">
        <f t="shared" ca="1" si="74"/>
        <v>0</v>
      </c>
      <c r="AT215" s="177">
        <f t="shared" ca="1" si="74"/>
        <v>0</v>
      </c>
      <c r="AU215" s="177">
        <f t="shared" ca="1" si="74"/>
        <v>0</v>
      </c>
      <c r="AV215" s="177">
        <f t="shared" ca="1" si="74"/>
        <v>0</v>
      </c>
      <c r="AW215" s="177">
        <f t="shared" ca="1" si="74"/>
        <v>0</v>
      </c>
      <c r="AX215" s="177">
        <f t="shared" ca="1" si="74"/>
        <v>0</v>
      </c>
    </row>
    <row r="216" spans="1:50" s="204" customFormat="1" ht="15" customHeight="1">
      <c r="B216" s="206"/>
      <c r="E216" s="177" t="str">
        <f xml:space="preserve"> E$128</f>
        <v>Net cashflow after fiscal regime: Parent company (excluding loan)</v>
      </c>
      <c r="F216" s="177">
        <f t="shared" ref="F216:AX216" si="75" xml:space="preserve"> F$128</f>
        <v>0</v>
      </c>
      <c r="G216" s="177" t="str">
        <f t="shared" si="75"/>
        <v>US$ mn 2021</v>
      </c>
      <c r="H216" s="177">
        <f t="shared" si="75"/>
        <v>0</v>
      </c>
      <c r="I216" s="177">
        <f t="shared" ca="1" si="75"/>
        <v>831.01304756082709</v>
      </c>
      <c r="J216" s="177">
        <f t="shared" si="75"/>
        <v>0</v>
      </c>
      <c r="K216" s="177">
        <f t="shared" ca="1" si="75"/>
        <v>-10</v>
      </c>
      <c r="L216" s="177">
        <f t="shared" ca="1" si="75"/>
        <v>-10</v>
      </c>
      <c r="M216" s="177">
        <f t="shared" ca="1" si="75"/>
        <v>-10</v>
      </c>
      <c r="N216" s="177">
        <f t="shared" ca="1" si="75"/>
        <v>-15.000000000000004</v>
      </c>
      <c r="O216" s="177">
        <f t="shared" ca="1" si="75"/>
        <v>-65.487500000000026</v>
      </c>
      <c r="P216" s="177">
        <f t="shared" ca="1" si="75"/>
        <v>30.009374999999988</v>
      </c>
      <c r="Q216" s="177">
        <f t="shared" ca="1" si="75"/>
        <v>48.834136395220533</v>
      </c>
      <c r="R216" s="177">
        <f t="shared" ca="1" si="75"/>
        <v>53.971919909169479</v>
      </c>
      <c r="S216" s="177">
        <f t="shared" ca="1" si="75"/>
        <v>51.860340055968031</v>
      </c>
      <c r="T216" s="177">
        <f t="shared" ca="1" si="75"/>
        <v>36.3702593914172</v>
      </c>
      <c r="U216" s="177">
        <f t="shared" ca="1" si="75"/>
        <v>35.324920299392332</v>
      </c>
      <c r="V216" s="177">
        <f t="shared" ca="1" si="75"/>
        <v>87.19997621130544</v>
      </c>
      <c r="W216" s="177">
        <f t="shared" ca="1" si="75"/>
        <v>87.199976211305483</v>
      </c>
      <c r="X216" s="177">
        <f t="shared" ca="1" si="75"/>
        <v>85.430809214531905</v>
      </c>
      <c r="Y216" s="177">
        <f t="shared" ca="1" si="75"/>
        <v>85.465498763488256</v>
      </c>
      <c r="Z216" s="177">
        <f t="shared" ca="1" si="75"/>
        <v>85.499508125210156</v>
      </c>
      <c r="AA216" s="177">
        <f t="shared" ca="1" si="75"/>
        <v>70.122600636702245</v>
      </c>
      <c r="AB216" s="177">
        <f t="shared" ca="1" si="75"/>
        <v>61.541839373459155</v>
      </c>
      <c r="AC216" s="177">
        <f t="shared" ca="1" si="75"/>
        <v>46.112779844006937</v>
      </c>
      <c r="AD216" s="177">
        <f t="shared" ca="1" si="75"/>
        <v>43.609021308466701</v>
      </c>
      <c r="AE216" s="177">
        <f t="shared" ca="1" si="75"/>
        <v>32.947586821183165</v>
      </c>
      <c r="AF216" s="177">
        <f t="shared" ca="1" si="75"/>
        <v>0</v>
      </c>
      <c r="AG216" s="177">
        <f t="shared" ca="1" si="75"/>
        <v>0</v>
      </c>
      <c r="AH216" s="177">
        <f t="shared" ca="1" si="75"/>
        <v>0</v>
      </c>
      <c r="AI216" s="177">
        <f t="shared" ca="1" si="75"/>
        <v>0</v>
      </c>
      <c r="AJ216" s="177">
        <f t="shared" ca="1" si="75"/>
        <v>0</v>
      </c>
      <c r="AK216" s="177">
        <f t="shared" ca="1" si="75"/>
        <v>0</v>
      </c>
      <c r="AL216" s="177">
        <f t="shared" ca="1" si="75"/>
        <v>0</v>
      </c>
      <c r="AM216" s="177">
        <f t="shared" ca="1" si="75"/>
        <v>0</v>
      </c>
      <c r="AN216" s="177">
        <f t="shared" ca="1" si="75"/>
        <v>0</v>
      </c>
      <c r="AO216" s="177">
        <f t="shared" ca="1" si="75"/>
        <v>0</v>
      </c>
      <c r="AP216" s="177">
        <f t="shared" ca="1" si="75"/>
        <v>0</v>
      </c>
      <c r="AQ216" s="177">
        <f t="shared" ca="1" si="75"/>
        <v>0</v>
      </c>
      <c r="AR216" s="177">
        <f t="shared" ca="1" si="75"/>
        <v>0</v>
      </c>
      <c r="AS216" s="177">
        <f t="shared" ca="1" si="75"/>
        <v>0</v>
      </c>
      <c r="AT216" s="177">
        <f t="shared" ca="1" si="75"/>
        <v>0</v>
      </c>
      <c r="AU216" s="177">
        <f t="shared" ca="1" si="75"/>
        <v>0</v>
      </c>
      <c r="AV216" s="177">
        <f t="shared" ca="1" si="75"/>
        <v>0</v>
      </c>
      <c r="AW216" s="177">
        <f t="shared" ca="1" si="75"/>
        <v>0</v>
      </c>
      <c r="AX216" s="177">
        <f t="shared" ca="1" si="75"/>
        <v>0</v>
      </c>
    </row>
    <row r="217" spans="1:50" s="204" customFormat="1" ht="15" customHeight="1">
      <c r="B217" s="206"/>
      <c r="E217" s="177" t="str">
        <f xml:space="preserve"> E$129</f>
        <v>Project loan cashflows net of state participation share, met by parent company</v>
      </c>
      <c r="F217" s="177">
        <f t="shared" ref="F217:AX217" si="76" xml:space="preserve"> F$129</f>
        <v>0</v>
      </c>
      <c r="G217" s="177" t="str">
        <f t="shared" si="76"/>
        <v>US$ mn 2021</v>
      </c>
      <c r="H217" s="177">
        <f t="shared" si="76"/>
        <v>0</v>
      </c>
      <c r="I217" s="177">
        <f t="shared" ca="1" si="76"/>
        <v>60.794447830754194</v>
      </c>
      <c r="J217" s="177">
        <f t="shared" si="76"/>
        <v>0</v>
      </c>
      <c r="K217" s="177">
        <f t="shared" ca="1" si="76"/>
        <v>0</v>
      </c>
      <c r="L217" s="177">
        <f t="shared" ca="1" si="76"/>
        <v>0</v>
      </c>
      <c r="M217" s="177">
        <f t="shared" ca="1" si="76"/>
        <v>0</v>
      </c>
      <c r="N217" s="177">
        <f t="shared" ca="1" si="76"/>
        <v>-34.999999999999993</v>
      </c>
      <c r="O217" s="177">
        <f t="shared" ca="1" si="76"/>
        <v>-175</v>
      </c>
      <c r="P217" s="177">
        <f t="shared" ca="1" si="76"/>
        <v>-69.999999999999986</v>
      </c>
      <c r="Q217" s="177">
        <f t="shared" ca="1" si="76"/>
        <v>78.320211276348076</v>
      </c>
      <c r="R217" s="177">
        <f t="shared" ca="1" si="76"/>
        <v>73.066043494329136</v>
      </c>
      <c r="S217" s="177">
        <f t="shared" ca="1" si="76"/>
        <v>67.987809930875954</v>
      </c>
      <c r="T217" s="177">
        <f t="shared" ca="1" si="76"/>
        <v>63.080631261685731</v>
      </c>
      <c r="U217" s="177">
        <f t="shared" ca="1" si="76"/>
        <v>58.339751867515311</v>
      </c>
      <c r="V217" s="177">
        <f t="shared" ca="1" si="76"/>
        <v>0</v>
      </c>
      <c r="W217" s="177">
        <f t="shared" ca="1" si="76"/>
        <v>0</v>
      </c>
      <c r="X217" s="177">
        <f t="shared" ca="1" si="76"/>
        <v>0</v>
      </c>
      <c r="Y217" s="177">
        <f t="shared" ca="1" si="76"/>
        <v>0</v>
      </c>
      <c r="Z217" s="177">
        <f t="shared" ca="1" si="76"/>
        <v>0</v>
      </c>
      <c r="AA217" s="177">
        <f t="shared" ca="1" si="76"/>
        <v>0</v>
      </c>
      <c r="AB217" s="177">
        <f t="shared" ca="1" si="76"/>
        <v>0</v>
      </c>
      <c r="AC217" s="177">
        <f t="shared" ca="1" si="76"/>
        <v>0</v>
      </c>
      <c r="AD217" s="177">
        <f t="shared" ca="1" si="76"/>
        <v>0</v>
      </c>
      <c r="AE217" s="177">
        <f t="shared" ca="1" si="76"/>
        <v>0</v>
      </c>
      <c r="AF217" s="177">
        <f t="shared" ca="1" si="76"/>
        <v>0</v>
      </c>
      <c r="AG217" s="177">
        <f t="shared" ca="1" si="76"/>
        <v>0</v>
      </c>
      <c r="AH217" s="177">
        <f t="shared" ca="1" si="76"/>
        <v>0</v>
      </c>
      <c r="AI217" s="177">
        <f t="shared" ca="1" si="76"/>
        <v>0</v>
      </c>
      <c r="AJ217" s="177">
        <f t="shared" ca="1" si="76"/>
        <v>0</v>
      </c>
      <c r="AK217" s="177">
        <f t="shared" ca="1" si="76"/>
        <v>0</v>
      </c>
      <c r="AL217" s="177">
        <f t="shared" ca="1" si="76"/>
        <v>0</v>
      </c>
      <c r="AM217" s="177">
        <f t="shared" ca="1" si="76"/>
        <v>0</v>
      </c>
      <c r="AN217" s="177">
        <f t="shared" ca="1" si="76"/>
        <v>0</v>
      </c>
      <c r="AO217" s="177">
        <f t="shared" ca="1" si="76"/>
        <v>0</v>
      </c>
      <c r="AP217" s="177">
        <f t="shared" ca="1" si="76"/>
        <v>0</v>
      </c>
      <c r="AQ217" s="177">
        <f t="shared" ca="1" si="76"/>
        <v>0</v>
      </c>
      <c r="AR217" s="177">
        <f t="shared" ca="1" si="76"/>
        <v>0</v>
      </c>
      <c r="AS217" s="177">
        <f t="shared" ca="1" si="76"/>
        <v>0</v>
      </c>
      <c r="AT217" s="177">
        <f t="shared" ca="1" si="76"/>
        <v>0</v>
      </c>
      <c r="AU217" s="177">
        <f t="shared" ca="1" si="76"/>
        <v>0</v>
      </c>
      <c r="AV217" s="177">
        <f t="shared" ca="1" si="76"/>
        <v>0</v>
      </c>
      <c r="AW217" s="177">
        <f t="shared" ca="1" si="76"/>
        <v>0</v>
      </c>
      <c r="AX217" s="177">
        <f t="shared" ca="1" si="76"/>
        <v>0</v>
      </c>
    </row>
    <row r="218" spans="1:50" s="93" customFormat="1" ht="15" customHeight="1">
      <c r="A218" s="90"/>
      <c r="B218" s="134"/>
      <c r="E218" s="177" t="str">
        <f xml:space="preserve"> E$130</f>
        <v>Investors (Parent company + lender)</v>
      </c>
      <c r="F218" s="177">
        <f t="shared" ref="F218:AX218" si="77" xml:space="preserve"> F$130</f>
        <v>0</v>
      </c>
      <c r="G218" s="177" t="str">
        <f t="shared" si="77"/>
        <v>US$ mn 2021</v>
      </c>
      <c r="H218" s="177">
        <f t="shared" si="77"/>
        <v>0</v>
      </c>
      <c r="I218" s="177">
        <f t="shared" ca="1" si="77"/>
        <v>891.80749539158114</v>
      </c>
      <c r="J218" s="177">
        <f t="shared" si="77"/>
        <v>0</v>
      </c>
      <c r="K218" s="177">
        <f t="shared" ca="1" si="77"/>
        <v>-10</v>
      </c>
      <c r="L218" s="177">
        <f t="shared" ca="1" si="77"/>
        <v>-10</v>
      </c>
      <c r="M218" s="177">
        <f t="shared" ca="1" si="77"/>
        <v>-10</v>
      </c>
      <c r="N218" s="177">
        <f t="shared" ca="1" si="77"/>
        <v>-50</v>
      </c>
      <c r="O218" s="177">
        <f t="shared" ca="1" si="77"/>
        <v>-240.48750000000001</v>
      </c>
      <c r="P218" s="177">
        <f t="shared" ca="1" si="77"/>
        <v>-39.990625000000001</v>
      </c>
      <c r="Q218" s="177">
        <f t="shared" ca="1" si="77"/>
        <v>127.15434767156862</v>
      </c>
      <c r="R218" s="177">
        <f t="shared" ca="1" si="77"/>
        <v>127.03796340349861</v>
      </c>
      <c r="S218" s="177">
        <f t="shared" ca="1" si="77"/>
        <v>119.84814998684399</v>
      </c>
      <c r="T218" s="177">
        <f t="shared" ca="1" si="77"/>
        <v>99.450890653102931</v>
      </c>
      <c r="U218" s="177">
        <f t="shared" ca="1" si="77"/>
        <v>93.664672166907636</v>
      </c>
      <c r="V218" s="177">
        <f t="shared" ca="1" si="77"/>
        <v>87.19997621130544</v>
      </c>
      <c r="W218" s="177">
        <f t="shared" ca="1" si="77"/>
        <v>87.199976211305483</v>
      </c>
      <c r="X218" s="177">
        <f t="shared" ca="1" si="77"/>
        <v>85.430809214531905</v>
      </c>
      <c r="Y218" s="177">
        <f t="shared" ca="1" si="77"/>
        <v>85.465498763488256</v>
      </c>
      <c r="Z218" s="177">
        <f t="shared" ca="1" si="77"/>
        <v>85.499508125210156</v>
      </c>
      <c r="AA218" s="177">
        <f t="shared" ca="1" si="77"/>
        <v>70.122600636702245</v>
      </c>
      <c r="AB218" s="177">
        <f t="shared" ca="1" si="77"/>
        <v>61.541839373459155</v>
      </c>
      <c r="AC218" s="177">
        <f t="shared" ca="1" si="77"/>
        <v>46.112779844006937</v>
      </c>
      <c r="AD218" s="177">
        <f t="shared" ca="1" si="77"/>
        <v>43.609021308466701</v>
      </c>
      <c r="AE218" s="177">
        <f t="shared" ca="1" si="77"/>
        <v>32.947586821183165</v>
      </c>
      <c r="AF218" s="177">
        <f t="shared" ca="1" si="77"/>
        <v>0</v>
      </c>
      <c r="AG218" s="177">
        <f t="shared" ca="1" si="77"/>
        <v>0</v>
      </c>
      <c r="AH218" s="177">
        <f t="shared" ca="1" si="77"/>
        <v>0</v>
      </c>
      <c r="AI218" s="177">
        <f t="shared" ca="1" si="77"/>
        <v>0</v>
      </c>
      <c r="AJ218" s="177">
        <f t="shared" ca="1" si="77"/>
        <v>0</v>
      </c>
      <c r="AK218" s="177">
        <f t="shared" ca="1" si="77"/>
        <v>0</v>
      </c>
      <c r="AL218" s="177">
        <f t="shared" ca="1" si="77"/>
        <v>0</v>
      </c>
      <c r="AM218" s="177">
        <f t="shared" ca="1" si="77"/>
        <v>0</v>
      </c>
      <c r="AN218" s="177">
        <f t="shared" ca="1" si="77"/>
        <v>0</v>
      </c>
      <c r="AO218" s="177">
        <f t="shared" ca="1" si="77"/>
        <v>0</v>
      </c>
      <c r="AP218" s="177">
        <f t="shared" ca="1" si="77"/>
        <v>0</v>
      </c>
      <c r="AQ218" s="177">
        <f t="shared" ca="1" si="77"/>
        <v>0</v>
      </c>
      <c r="AR218" s="177">
        <f t="shared" ca="1" si="77"/>
        <v>0</v>
      </c>
      <c r="AS218" s="177">
        <f t="shared" ca="1" si="77"/>
        <v>0</v>
      </c>
      <c r="AT218" s="177">
        <f t="shared" ca="1" si="77"/>
        <v>0</v>
      </c>
      <c r="AU218" s="177">
        <f t="shared" ca="1" si="77"/>
        <v>0</v>
      </c>
      <c r="AV218" s="177">
        <f t="shared" ca="1" si="77"/>
        <v>0</v>
      </c>
      <c r="AW218" s="177">
        <f t="shared" ca="1" si="77"/>
        <v>0</v>
      </c>
      <c r="AX218" s="177">
        <f t="shared" ca="1" si="77"/>
        <v>0</v>
      </c>
    </row>
    <row r="219" spans="1:50" s="204" customFormat="1" ht="14.1" customHeight="1">
      <c r="B219" s="206"/>
      <c r="E219" s="177" t="str">
        <f xml:space="preserve"> E$131</f>
        <v>Project benefits</v>
      </c>
      <c r="F219" s="177">
        <f t="shared" ref="F219:AX219" si="78" xml:space="preserve"> F$131</f>
        <v>0</v>
      </c>
      <c r="G219" s="177" t="str">
        <f t="shared" si="78"/>
        <v>US$ mn 2021</v>
      </c>
      <c r="H219" s="177">
        <f t="shared" si="78"/>
        <v>0</v>
      </c>
      <c r="I219" s="177">
        <f t="shared" ca="1" si="78"/>
        <v>1934</v>
      </c>
      <c r="J219" s="177">
        <f t="shared" si="78"/>
        <v>0</v>
      </c>
      <c r="K219" s="177">
        <f t="shared" ca="1" si="78"/>
        <v>0</v>
      </c>
      <c r="L219" s="177">
        <f t="shared" ca="1" si="78"/>
        <v>0</v>
      </c>
      <c r="M219" s="177">
        <f t="shared" ca="1" si="78"/>
        <v>0</v>
      </c>
      <c r="N219" s="177">
        <f t="shared" ca="1" si="78"/>
        <v>0</v>
      </c>
      <c r="O219" s="177">
        <f t="shared" ca="1" si="78"/>
        <v>10.25</v>
      </c>
      <c r="P219" s="177">
        <f t="shared" ca="1" si="78"/>
        <v>68.875</v>
      </c>
      <c r="Q219" s="177">
        <f t="shared" ca="1" si="78"/>
        <v>145.75</v>
      </c>
      <c r="R219" s="177">
        <f t="shared" ca="1" si="78"/>
        <v>145.74999999999997</v>
      </c>
      <c r="S219" s="177">
        <f t="shared" ca="1" si="78"/>
        <v>145.75</v>
      </c>
      <c r="T219" s="177">
        <f t="shared" ca="1" si="78"/>
        <v>145.75000000000003</v>
      </c>
      <c r="U219" s="177">
        <f t="shared" ca="1" si="78"/>
        <v>145.75</v>
      </c>
      <c r="V219" s="177">
        <f t="shared" ca="1" si="78"/>
        <v>145.75</v>
      </c>
      <c r="W219" s="177">
        <f t="shared" ca="1" si="78"/>
        <v>145.75</v>
      </c>
      <c r="X219" s="177">
        <f t="shared" ca="1" si="78"/>
        <v>145.75</v>
      </c>
      <c r="Y219" s="177">
        <f t="shared" ca="1" si="78"/>
        <v>145.75000000000003</v>
      </c>
      <c r="Z219" s="177">
        <f t="shared" ca="1" si="78"/>
        <v>145.75</v>
      </c>
      <c r="AA219" s="177">
        <f t="shared" ca="1" si="78"/>
        <v>120.12500000000001</v>
      </c>
      <c r="AB219" s="177">
        <f t="shared" ca="1" si="78"/>
        <v>102.5</v>
      </c>
      <c r="AC219" s="177">
        <f t="shared" ca="1" si="78"/>
        <v>76.875</v>
      </c>
      <c r="AD219" s="177">
        <f t="shared" ca="1" si="78"/>
        <v>66.624999999999986</v>
      </c>
      <c r="AE219" s="177">
        <f t="shared" ca="1" si="78"/>
        <v>51.249999999999993</v>
      </c>
      <c r="AF219" s="177">
        <f t="shared" ca="1" si="78"/>
        <v>-20</v>
      </c>
      <c r="AG219" s="177">
        <f t="shared" ca="1" si="78"/>
        <v>0</v>
      </c>
      <c r="AH219" s="177">
        <f t="shared" ca="1" si="78"/>
        <v>0</v>
      </c>
      <c r="AI219" s="177">
        <f t="shared" ca="1" si="78"/>
        <v>0</v>
      </c>
      <c r="AJ219" s="177">
        <f t="shared" ca="1" si="78"/>
        <v>0</v>
      </c>
      <c r="AK219" s="177">
        <f t="shared" ca="1" si="78"/>
        <v>0</v>
      </c>
      <c r="AL219" s="177">
        <f t="shared" ca="1" si="78"/>
        <v>0</v>
      </c>
      <c r="AM219" s="177">
        <f t="shared" ca="1" si="78"/>
        <v>0</v>
      </c>
      <c r="AN219" s="177">
        <f t="shared" ca="1" si="78"/>
        <v>0</v>
      </c>
      <c r="AO219" s="177">
        <f t="shared" ca="1" si="78"/>
        <v>0</v>
      </c>
      <c r="AP219" s="177">
        <f t="shared" ca="1" si="78"/>
        <v>0</v>
      </c>
      <c r="AQ219" s="177">
        <f t="shared" ca="1" si="78"/>
        <v>0</v>
      </c>
      <c r="AR219" s="177">
        <f t="shared" ca="1" si="78"/>
        <v>0</v>
      </c>
      <c r="AS219" s="177">
        <f t="shared" ca="1" si="78"/>
        <v>0</v>
      </c>
      <c r="AT219" s="177">
        <f t="shared" ca="1" si="78"/>
        <v>0</v>
      </c>
      <c r="AU219" s="177">
        <f t="shared" ca="1" si="78"/>
        <v>0</v>
      </c>
      <c r="AV219" s="177">
        <f t="shared" ca="1" si="78"/>
        <v>0</v>
      </c>
      <c r="AW219" s="177">
        <f t="shared" ca="1" si="78"/>
        <v>0</v>
      </c>
      <c r="AX219" s="177">
        <f t="shared" ca="1" si="78"/>
        <v>0</v>
      </c>
    </row>
    <row r="220" spans="1:50" s="93" customFormat="1" ht="15" customHeight="1">
      <c r="A220" s="90"/>
      <c r="B220" s="156"/>
    </row>
    <row r="221" spans="1:50" s="204" customFormat="1" ht="15" customHeight="1">
      <c r="B221" s="205"/>
      <c r="E221" s="204" t="str">
        <f xml:space="preserve"> ProjectCashflows!E$206</f>
        <v>FID forward flag</v>
      </c>
      <c r="F221" s="204">
        <f xml:space="preserve"> ProjectCashflows!F$206</f>
        <v>0</v>
      </c>
      <c r="G221" s="204" t="str">
        <f xml:space="preserve"> ProjectCashflows!G$206</f>
        <v>Flag</v>
      </c>
      <c r="H221" s="204">
        <f xml:space="preserve"> ProjectCashflows!H$206</f>
        <v>0</v>
      </c>
      <c r="I221" s="204">
        <f ca="1" xml:space="preserve"> ProjectCashflows!I$206</f>
        <v>37</v>
      </c>
      <c r="J221" s="204">
        <f xml:space="preserve"> ProjectCashflows!J$206</f>
        <v>0</v>
      </c>
      <c r="K221" s="204">
        <f ca="1" xml:space="preserve"> ProjectCashflows!K$206</f>
        <v>0</v>
      </c>
      <c r="L221" s="204">
        <f ca="1" xml:space="preserve"> ProjectCashflows!L$206</f>
        <v>0</v>
      </c>
      <c r="M221" s="204">
        <f ca="1" xml:space="preserve"> ProjectCashflows!M$206</f>
        <v>0</v>
      </c>
      <c r="N221" s="204">
        <f ca="1" xml:space="preserve"> ProjectCashflows!N$206</f>
        <v>1</v>
      </c>
      <c r="O221" s="204">
        <f ca="1" xml:space="preserve"> ProjectCashflows!O$206</f>
        <v>1</v>
      </c>
      <c r="P221" s="204">
        <f ca="1" xml:space="preserve"> ProjectCashflows!P$206</f>
        <v>1</v>
      </c>
      <c r="Q221" s="204">
        <f ca="1" xml:space="preserve"> ProjectCashflows!Q$206</f>
        <v>1</v>
      </c>
      <c r="R221" s="204">
        <f ca="1" xml:space="preserve"> ProjectCashflows!R$206</f>
        <v>1</v>
      </c>
      <c r="S221" s="204">
        <f ca="1" xml:space="preserve"> ProjectCashflows!S$206</f>
        <v>1</v>
      </c>
      <c r="T221" s="204">
        <f ca="1" xml:space="preserve"> ProjectCashflows!T$206</f>
        <v>1</v>
      </c>
      <c r="U221" s="204">
        <f ca="1" xml:space="preserve"> ProjectCashflows!U$206</f>
        <v>1</v>
      </c>
      <c r="V221" s="204">
        <f ca="1" xml:space="preserve"> ProjectCashflows!V$206</f>
        <v>1</v>
      </c>
      <c r="W221" s="204">
        <f ca="1" xml:space="preserve"> ProjectCashflows!W$206</f>
        <v>1</v>
      </c>
      <c r="X221" s="204">
        <f ca="1" xml:space="preserve"> ProjectCashflows!X$206</f>
        <v>1</v>
      </c>
      <c r="Y221" s="204">
        <f ca="1" xml:space="preserve"> ProjectCashflows!Y$206</f>
        <v>1</v>
      </c>
      <c r="Z221" s="204">
        <f ca="1" xml:space="preserve"> ProjectCashflows!Z$206</f>
        <v>1</v>
      </c>
      <c r="AA221" s="204">
        <f ca="1" xml:space="preserve"> ProjectCashflows!AA$206</f>
        <v>1</v>
      </c>
      <c r="AB221" s="204">
        <f ca="1" xml:space="preserve"> ProjectCashflows!AB$206</f>
        <v>1</v>
      </c>
      <c r="AC221" s="204">
        <f ca="1" xml:space="preserve"> ProjectCashflows!AC$206</f>
        <v>1</v>
      </c>
      <c r="AD221" s="204">
        <f ca="1" xml:space="preserve"> ProjectCashflows!AD$206</f>
        <v>1</v>
      </c>
      <c r="AE221" s="204">
        <f ca="1" xml:space="preserve"> ProjectCashflows!AE$206</f>
        <v>1</v>
      </c>
      <c r="AF221" s="204">
        <f ca="1" xml:space="preserve"> ProjectCashflows!AF$206</f>
        <v>1</v>
      </c>
      <c r="AG221" s="204">
        <f ca="1" xml:space="preserve"> ProjectCashflows!AG$206</f>
        <v>1</v>
      </c>
      <c r="AH221" s="204">
        <f ca="1" xml:space="preserve"> ProjectCashflows!AH$206</f>
        <v>1</v>
      </c>
      <c r="AI221" s="204">
        <f ca="1" xml:space="preserve"> ProjectCashflows!AI$206</f>
        <v>1</v>
      </c>
      <c r="AJ221" s="204">
        <f ca="1" xml:space="preserve"> ProjectCashflows!AJ$206</f>
        <v>1</v>
      </c>
      <c r="AK221" s="204">
        <f ca="1" xml:space="preserve"> ProjectCashflows!AK$206</f>
        <v>1</v>
      </c>
      <c r="AL221" s="204">
        <f ca="1" xml:space="preserve"> ProjectCashflows!AL$206</f>
        <v>1</v>
      </c>
      <c r="AM221" s="204">
        <f ca="1" xml:space="preserve"> ProjectCashflows!AM$206</f>
        <v>1</v>
      </c>
      <c r="AN221" s="204">
        <f ca="1" xml:space="preserve"> ProjectCashflows!AN$206</f>
        <v>1</v>
      </c>
      <c r="AO221" s="204">
        <f ca="1" xml:space="preserve"> ProjectCashflows!AO$206</f>
        <v>1</v>
      </c>
      <c r="AP221" s="204">
        <f ca="1" xml:space="preserve"> ProjectCashflows!AP$206</f>
        <v>1</v>
      </c>
      <c r="AQ221" s="204">
        <f ca="1" xml:space="preserve"> ProjectCashflows!AQ$206</f>
        <v>1</v>
      </c>
      <c r="AR221" s="204">
        <f ca="1" xml:space="preserve"> ProjectCashflows!AR$206</f>
        <v>1</v>
      </c>
      <c r="AS221" s="204">
        <f ca="1" xml:space="preserve"> ProjectCashflows!AS$206</f>
        <v>1</v>
      </c>
      <c r="AT221" s="204">
        <f ca="1" xml:space="preserve"> ProjectCashflows!AT$206</f>
        <v>1</v>
      </c>
      <c r="AU221" s="204">
        <f ca="1" xml:space="preserve"> ProjectCashflows!AU$206</f>
        <v>1</v>
      </c>
      <c r="AV221" s="204">
        <f ca="1" xml:space="preserve"> ProjectCashflows!AV$206</f>
        <v>1</v>
      </c>
      <c r="AW221" s="204">
        <f ca="1" xml:space="preserve"> ProjectCashflows!AW$206</f>
        <v>1</v>
      </c>
      <c r="AX221" s="204">
        <f ca="1" xml:space="preserve"> ProjectCashflows!AX$206</f>
        <v>1</v>
      </c>
    </row>
    <row r="222" spans="1:50" s="93" customFormat="1" ht="15" customHeight="1">
      <c r="A222" s="90"/>
      <c r="B222" s="156"/>
    </row>
    <row r="223" spans="1:50" s="93" customFormat="1" ht="15" customHeight="1">
      <c r="A223" s="90"/>
      <c r="B223" s="156" t="str">
        <f xml:space="preserve"> Translate!E$12 &amp; ": " &amp; Inputs!F$84 &amp; ", " &amp; Inputs!F$85</f>
        <v>Cashflows: FID forward, real</v>
      </c>
    </row>
    <row r="224" spans="1:50" s="93" customFormat="1" ht="15" customHeight="1">
      <c r="A224" s="90"/>
      <c r="B224" s="156"/>
      <c r="E224" s="93" t="str">
        <f xml:space="preserve"> E211 &amp; ": " &amp; Inputs!F$84</f>
        <v>Project cashflow before decommissioning fund: FID forward</v>
      </c>
      <c r="G224" s="93" t="str">
        <f t="shared" ref="G224:G232" si="79" xml:space="preserve"> G211</f>
        <v>US$ mn 2021</v>
      </c>
      <c r="H224" s="93">
        <f xml:space="preserve"> ProjectCashflows!H$245</f>
        <v>0</v>
      </c>
      <c r="K224" s="93">
        <f t="shared" ref="K224:AX224" ca="1" si="80" xml:space="preserve"> K211 * K$221</f>
        <v>0</v>
      </c>
      <c r="L224" s="93">
        <f t="shared" ca="1" si="80"/>
        <v>0</v>
      </c>
      <c r="M224" s="93">
        <f t="shared" ca="1" si="80"/>
        <v>0</v>
      </c>
      <c r="N224" s="93">
        <f t="shared" ca="1" si="80"/>
        <v>-50</v>
      </c>
      <c r="O224" s="93">
        <f t="shared" ca="1" si="80"/>
        <v>-239.75000000000006</v>
      </c>
      <c r="P224" s="93">
        <f t="shared" ca="1" si="80"/>
        <v>-31.125000000000004</v>
      </c>
      <c r="Q224" s="93">
        <f t="shared" ca="1" si="80"/>
        <v>145.75</v>
      </c>
      <c r="R224" s="93">
        <f t="shared" ca="1" si="80"/>
        <v>145.74999999999997</v>
      </c>
      <c r="S224" s="93">
        <f t="shared" ca="1" si="80"/>
        <v>145.74999999999997</v>
      </c>
      <c r="T224" s="93">
        <f t="shared" ca="1" si="80"/>
        <v>145.75000000000003</v>
      </c>
      <c r="U224" s="93">
        <f t="shared" ca="1" si="80"/>
        <v>145.75</v>
      </c>
      <c r="V224" s="93">
        <f t="shared" ca="1" si="80"/>
        <v>145.74999999999997</v>
      </c>
      <c r="W224" s="93">
        <f t="shared" ca="1" si="80"/>
        <v>145.75</v>
      </c>
      <c r="X224" s="93">
        <f t="shared" ca="1" si="80"/>
        <v>145.74999999999997</v>
      </c>
      <c r="Y224" s="93">
        <f t="shared" ca="1" si="80"/>
        <v>145.75000000000003</v>
      </c>
      <c r="Z224" s="93">
        <f t="shared" ca="1" si="80"/>
        <v>145.75</v>
      </c>
      <c r="AA224" s="93">
        <f t="shared" ca="1" si="80"/>
        <v>120.12500000000001</v>
      </c>
      <c r="AB224" s="93">
        <f t="shared" ca="1" si="80"/>
        <v>102.5</v>
      </c>
      <c r="AC224" s="93">
        <f t="shared" ca="1" si="80"/>
        <v>76.875</v>
      </c>
      <c r="AD224" s="93">
        <f t="shared" ca="1" si="80"/>
        <v>66.624999999999986</v>
      </c>
      <c r="AE224" s="93">
        <f t="shared" ca="1" si="80"/>
        <v>51.249999999999993</v>
      </c>
      <c r="AF224" s="93">
        <f t="shared" ca="1" si="80"/>
        <v>-20</v>
      </c>
      <c r="AG224" s="93">
        <f t="shared" ca="1" si="80"/>
        <v>0</v>
      </c>
      <c r="AH224" s="93">
        <f t="shared" ca="1" si="80"/>
        <v>0</v>
      </c>
      <c r="AI224" s="93">
        <f t="shared" ca="1" si="80"/>
        <v>0</v>
      </c>
      <c r="AJ224" s="93">
        <f t="shared" ca="1" si="80"/>
        <v>0</v>
      </c>
      <c r="AK224" s="93">
        <f t="shared" ca="1" si="80"/>
        <v>0</v>
      </c>
      <c r="AL224" s="93">
        <f t="shared" ca="1" si="80"/>
        <v>0</v>
      </c>
      <c r="AM224" s="93">
        <f t="shared" ca="1" si="80"/>
        <v>0</v>
      </c>
      <c r="AN224" s="93">
        <f t="shared" ca="1" si="80"/>
        <v>0</v>
      </c>
      <c r="AO224" s="93">
        <f t="shared" ca="1" si="80"/>
        <v>0</v>
      </c>
      <c r="AP224" s="93">
        <f t="shared" ca="1" si="80"/>
        <v>0</v>
      </c>
      <c r="AQ224" s="93">
        <f t="shared" ca="1" si="80"/>
        <v>0</v>
      </c>
      <c r="AR224" s="93">
        <f t="shared" ca="1" si="80"/>
        <v>0</v>
      </c>
      <c r="AS224" s="93">
        <f t="shared" ca="1" si="80"/>
        <v>0</v>
      </c>
      <c r="AT224" s="93">
        <f t="shared" ca="1" si="80"/>
        <v>0</v>
      </c>
      <c r="AU224" s="93">
        <f t="shared" ca="1" si="80"/>
        <v>0</v>
      </c>
      <c r="AV224" s="93">
        <f t="shared" ca="1" si="80"/>
        <v>0</v>
      </c>
      <c r="AW224" s="93">
        <f t="shared" ca="1" si="80"/>
        <v>0</v>
      </c>
      <c r="AX224" s="93">
        <f t="shared" ca="1" si="80"/>
        <v>0</v>
      </c>
    </row>
    <row r="225" spans="1:50" s="93" customFormat="1" ht="15" customHeight="1">
      <c r="A225" s="90"/>
      <c r="B225" s="134"/>
      <c r="E225" s="93" t="str">
        <f xml:space="preserve"> E212 &amp; ": " &amp; Inputs!F$84</f>
        <v>Net decommissioning cashflows: FID forward</v>
      </c>
      <c r="G225" s="93" t="str">
        <f t="shared" si="79"/>
        <v>US$ mn 2021</v>
      </c>
      <c r="H225" s="93">
        <f xml:space="preserve"> FiscalModel!H$125</f>
        <v>0</v>
      </c>
      <c r="K225" s="93">
        <f t="shared" ref="K225:AX225" ca="1" si="81" xml:space="preserve"> K212 * K$221</f>
        <v>0</v>
      </c>
      <c r="L225" s="93">
        <f t="shared" ca="1" si="81"/>
        <v>0</v>
      </c>
      <c r="M225" s="93">
        <f t="shared" ca="1" si="81"/>
        <v>0</v>
      </c>
      <c r="N225" s="93">
        <f t="shared" ca="1" si="81"/>
        <v>0</v>
      </c>
      <c r="O225" s="93">
        <f t="shared" ca="1" si="81"/>
        <v>0</v>
      </c>
      <c r="P225" s="93">
        <f t="shared" ca="1" si="81"/>
        <v>0</v>
      </c>
      <c r="Q225" s="93">
        <f t="shared" ca="1" si="81"/>
        <v>0</v>
      </c>
      <c r="R225" s="93">
        <f t="shared" ca="1" si="81"/>
        <v>0</v>
      </c>
      <c r="S225" s="93">
        <f t="shared" ca="1" si="81"/>
        <v>0</v>
      </c>
      <c r="T225" s="93">
        <f t="shared" ca="1" si="81"/>
        <v>0</v>
      </c>
      <c r="U225" s="93">
        <f t="shared" ca="1" si="81"/>
        <v>0</v>
      </c>
      <c r="V225" s="93">
        <f t="shared" ca="1" si="81"/>
        <v>0</v>
      </c>
      <c r="W225" s="93">
        <f t="shared" ca="1" si="81"/>
        <v>0</v>
      </c>
      <c r="X225" s="93">
        <f t="shared" ca="1" si="81"/>
        <v>-2.7301959826752547</v>
      </c>
      <c r="Y225" s="93">
        <f t="shared" ca="1" si="81"/>
        <v>-2.6766627281129947</v>
      </c>
      <c r="Z225" s="93">
        <f t="shared" ca="1" si="81"/>
        <v>-2.6241791452088181</v>
      </c>
      <c r="AA225" s="93">
        <f t="shared" ca="1" si="81"/>
        <v>-2.5727246521655078</v>
      </c>
      <c r="AB225" s="93">
        <f t="shared" ca="1" si="81"/>
        <v>-2.5222790707504976</v>
      </c>
      <c r="AC225" s="93">
        <f t="shared" ca="1" si="81"/>
        <v>-2.4728226183828408</v>
      </c>
      <c r="AD225" s="93">
        <f t="shared" ca="1" si="81"/>
        <v>-2.4243359003753344</v>
      </c>
      <c r="AE225" s="93">
        <f t="shared" ca="1" si="81"/>
        <v>-2.3767999023287589</v>
      </c>
      <c r="AF225" s="93">
        <f t="shared" ca="1" si="81"/>
        <v>20</v>
      </c>
      <c r="AG225" s="93">
        <f t="shared" ca="1" si="81"/>
        <v>0</v>
      </c>
      <c r="AH225" s="93">
        <f t="shared" ca="1" si="81"/>
        <v>0</v>
      </c>
      <c r="AI225" s="93">
        <f t="shared" ca="1" si="81"/>
        <v>0</v>
      </c>
      <c r="AJ225" s="93">
        <f t="shared" ca="1" si="81"/>
        <v>0</v>
      </c>
      <c r="AK225" s="93">
        <f t="shared" ca="1" si="81"/>
        <v>0</v>
      </c>
      <c r="AL225" s="93">
        <f t="shared" ca="1" si="81"/>
        <v>0</v>
      </c>
      <c r="AM225" s="93">
        <f t="shared" ca="1" si="81"/>
        <v>0</v>
      </c>
      <c r="AN225" s="93">
        <f t="shared" ca="1" si="81"/>
        <v>0</v>
      </c>
      <c r="AO225" s="93">
        <f t="shared" ca="1" si="81"/>
        <v>0</v>
      </c>
      <c r="AP225" s="93">
        <f t="shared" ca="1" si="81"/>
        <v>0</v>
      </c>
      <c r="AQ225" s="93">
        <f t="shared" ca="1" si="81"/>
        <v>0</v>
      </c>
      <c r="AR225" s="93">
        <f t="shared" ca="1" si="81"/>
        <v>0</v>
      </c>
      <c r="AS225" s="93">
        <f t="shared" ca="1" si="81"/>
        <v>0</v>
      </c>
      <c r="AT225" s="93">
        <f t="shared" ca="1" si="81"/>
        <v>0</v>
      </c>
      <c r="AU225" s="93">
        <f t="shared" ca="1" si="81"/>
        <v>0</v>
      </c>
      <c r="AV225" s="93">
        <f t="shared" ca="1" si="81"/>
        <v>0</v>
      </c>
      <c r="AW225" s="93">
        <f t="shared" ca="1" si="81"/>
        <v>0</v>
      </c>
      <c r="AX225" s="93">
        <f t="shared" ca="1" si="81"/>
        <v>0</v>
      </c>
    </row>
    <row r="226" spans="1:50" s="93" customFormat="1" ht="15" customHeight="1">
      <c r="A226" s="90"/>
      <c r="B226" s="134"/>
      <c r="E226" s="93" t="str">
        <f xml:space="preserve"> E213 &amp; ": " &amp; Inputs!F$84</f>
        <v>Government revenues excluding participation: FID forward</v>
      </c>
      <c r="G226" s="93" t="str">
        <f t="shared" si="79"/>
        <v>US$ mn 2021</v>
      </c>
      <c r="H226" s="93">
        <f xml:space="preserve"> FiscalModel!H$741</f>
        <v>0</v>
      </c>
      <c r="K226" s="93">
        <f t="shared" ref="K226:AX226" ca="1" si="82" xml:space="preserve"> K213 * K$221</f>
        <v>0</v>
      </c>
      <c r="L226" s="93">
        <f t="shared" ca="1" si="82"/>
        <v>0</v>
      </c>
      <c r="M226" s="93">
        <f t="shared" ca="1" si="82"/>
        <v>0</v>
      </c>
      <c r="N226" s="93">
        <f t="shared" ca="1" si="82"/>
        <v>0</v>
      </c>
      <c r="O226" s="93">
        <f t="shared" ca="1" si="82"/>
        <v>0.73750000000000004</v>
      </c>
      <c r="P226" s="93">
        <f t="shared" ca="1" si="82"/>
        <v>8.8656249999999996</v>
      </c>
      <c r="Q226" s="93">
        <f t="shared" ca="1" si="82"/>
        <v>18.595652328431374</v>
      </c>
      <c r="R226" s="93">
        <f t="shared" ca="1" si="82"/>
        <v>18.712036596501338</v>
      </c>
      <c r="S226" s="93">
        <f t="shared" ca="1" si="82"/>
        <v>25.901850013156011</v>
      </c>
      <c r="T226" s="93">
        <f t="shared" ca="1" si="82"/>
        <v>46.29910934689709</v>
      </c>
      <c r="U226" s="93">
        <f t="shared" ca="1" si="82"/>
        <v>52.085327833092393</v>
      </c>
      <c r="V226" s="93">
        <f t="shared" ca="1" si="82"/>
        <v>58.550023788694524</v>
      </c>
      <c r="W226" s="93">
        <f t="shared" ca="1" si="82"/>
        <v>58.550023788694531</v>
      </c>
      <c r="X226" s="93">
        <f t="shared" ca="1" si="82"/>
        <v>57.588994802792826</v>
      </c>
      <c r="Y226" s="93">
        <f t="shared" ca="1" si="82"/>
        <v>57.607838508398771</v>
      </c>
      <c r="Z226" s="93">
        <f t="shared" ca="1" si="82"/>
        <v>57.626312729581016</v>
      </c>
      <c r="AA226" s="93">
        <f t="shared" ca="1" si="82"/>
        <v>47.429674711132279</v>
      </c>
      <c r="AB226" s="93">
        <f t="shared" ca="1" si="82"/>
        <v>38.435881555790353</v>
      </c>
      <c r="AC226" s="93">
        <f t="shared" ca="1" si="82"/>
        <v>28.28939753761021</v>
      </c>
      <c r="AD226" s="93">
        <f t="shared" ca="1" si="82"/>
        <v>20.591642791157952</v>
      </c>
      <c r="AE226" s="93">
        <f t="shared" ca="1" si="82"/>
        <v>15.925613276488066</v>
      </c>
      <c r="AF226" s="93">
        <f t="shared" ca="1" si="82"/>
        <v>0</v>
      </c>
      <c r="AG226" s="93">
        <f t="shared" ca="1" si="82"/>
        <v>0</v>
      </c>
      <c r="AH226" s="93">
        <f t="shared" ca="1" si="82"/>
        <v>0</v>
      </c>
      <c r="AI226" s="93">
        <f t="shared" ca="1" si="82"/>
        <v>0</v>
      </c>
      <c r="AJ226" s="93">
        <f t="shared" ca="1" si="82"/>
        <v>0</v>
      </c>
      <c r="AK226" s="93">
        <f t="shared" ca="1" si="82"/>
        <v>0</v>
      </c>
      <c r="AL226" s="93">
        <f t="shared" ca="1" si="82"/>
        <v>0</v>
      </c>
      <c r="AM226" s="93">
        <f t="shared" ca="1" si="82"/>
        <v>0</v>
      </c>
      <c r="AN226" s="93">
        <f t="shared" ca="1" si="82"/>
        <v>0</v>
      </c>
      <c r="AO226" s="93">
        <f t="shared" ca="1" si="82"/>
        <v>0</v>
      </c>
      <c r="AP226" s="93">
        <f t="shared" ca="1" si="82"/>
        <v>0</v>
      </c>
      <c r="AQ226" s="93">
        <f t="shared" ca="1" si="82"/>
        <v>0</v>
      </c>
      <c r="AR226" s="93">
        <f t="shared" ca="1" si="82"/>
        <v>0</v>
      </c>
      <c r="AS226" s="93">
        <f t="shared" ca="1" si="82"/>
        <v>0</v>
      </c>
      <c r="AT226" s="93">
        <f t="shared" ca="1" si="82"/>
        <v>0</v>
      </c>
      <c r="AU226" s="93">
        <f t="shared" ca="1" si="82"/>
        <v>0</v>
      </c>
      <c r="AV226" s="93">
        <f t="shared" ca="1" si="82"/>
        <v>0</v>
      </c>
      <c r="AW226" s="93">
        <f t="shared" ca="1" si="82"/>
        <v>0</v>
      </c>
      <c r="AX226" s="93">
        <f t="shared" ca="1" si="82"/>
        <v>0</v>
      </c>
    </row>
    <row r="227" spans="1:50" s="93" customFormat="1" ht="15" customHeight="1">
      <c r="A227" s="90"/>
      <c r="B227" s="134"/>
      <c r="E227" s="93" t="str">
        <f xml:space="preserve"> E214 &amp; ": " &amp; Inputs!F$84</f>
        <v>State participation cashflows including share of loan: FID forward</v>
      </c>
      <c r="G227" s="93" t="str">
        <f t="shared" si="79"/>
        <v>US$ mn 2021</v>
      </c>
      <c r="H227" s="93">
        <f xml:space="preserve"> FiscalModel!H$784</f>
        <v>0</v>
      </c>
      <c r="K227" s="93">
        <f t="shared" ref="K227:AX227" ca="1" si="83" xml:space="preserve"> K214 * K$221</f>
        <v>0</v>
      </c>
      <c r="L227" s="93">
        <f t="shared" ca="1" si="83"/>
        <v>0</v>
      </c>
      <c r="M227" s="93">
        <f t="shared" ca="1" si="83"/>
        <v>0</v>
      </c>
      <c r="N227" s="93">
        <f t="shared" ca="1" si="83"/>
        <v>0</v>
      </c>
      <c r="O227" s="93">
        <f t="shared" ca="1" si="83"/>
        <v>0</v>
      </c>
      <c r="P227" s="93">
        <f t="shared" ca="1" si="83"/>
        <v>0</v>
      </c>
      <c r="Q227" s="93">
        <f t="shared" ca="1" si="83"/>
        <v>0</v>
      </c>
      <c r="R227" s="93">
        <f t="shared" ca="1" si="83"/>
        <v>0</v>
      </c>
      <c r="S227" s="93">
        <f t="shared" ca="1" si="83"/>
        <v>0</v>
      </c>
      <c r="T227" s="93">
        <f t="shared" ca="1" si="83"/>
        <v>0</v>
      </c>
      <c r="U227" s="93">
        <f t="shared" ca="1" si="83"/>
        <v>0</v>
      </c>
      <c r="V227" s="93">
        <f t="shared" ca="1" si="83"/>
        <v>0</v>
      </c>
      <c r="W227" s="93">
        <f t="shared" ca="1" si="83"/>
        <v>0</v>
      </c>
      <c r="X227" s="93">
        <f t="shared" ca="1" si="83"/>
        <v>0</v>
      </c>
      <c r="Y227" s="93">
        <f t="shared" ca="1" si="83"/>
        <v>0</v>
      </c>
      <c r="Z227" s="93">
        <f t="shared" ca="1" si="83"/>
        <v>0</v>
      </c>
      <c r="AA227" s="93">
        <f t="shared" ca="1" si="83"/>
        <v>0</v>
      </c>
      <c r="AB227" s="93">
        <f t="shared" ca="1" si="83"/>
        <v>0</v>
      </c>
      <c r="AC227" s="93">
        <f t="shared" ca="1" si="83"/>
        <v>0</v>
      </c>
      <c r="AD227" s="93">
        <f t="shared" ca="1" si="83"/>
        <v>0</v>
      </c>
      <c r="AE227" s="93">
        <f t="shared" ca="1" si="83"/>
        <v>0</v>
      </c>
      <c r="AF227" s="93">
        <f t="shared" ca="1" si="83"/>
        <v>0</v>
      </c>
      <c r="AG227" s="93">
        <f t="shared" ca="1" si="83"/>
        <v>0</v>
      </c>
      <c r="AH227" s="93">
        <f t="shared" ca="1" si="83"/>
        <v>0</v>
      </c>
      <c r="AI227" s="93">
        <f t="shared" ca="1" si="83"/>
        <v>0</v>
      </c>
      <c r="AJ227" s="93">
        <f t="shared" ca="1" si="83"/>
        <v>0</v>
      </c>
      <c r="AK227" s="93">
        <f t="shared" ca="1" si="83"/>
        <v>0</v>
      </c>
      <c r="AL227" s="93">
        <f t="shared" ca="1" si="83"/>
        <v>0</v>
      </c>
      <c r="AM227" s="93">
        <f t="shared" ca="1" si="83"/>
        <v>0</v>
      </c>
      <c r="AN227" s="93">
        <f t="shared" ca="1" si="83"/>
        <v>0</v>
      </c>
      <c r="AO227" s="93">
        <f t="shared" ca="1" si="83"/>
        <v>0</v>
      </c>
      <c r="AP227" s="93">
        <f t="shared" ca="1" si="83"/>
        <v>0</v>
      </c>
      <c r="AQ227" s="93">
        <f t="shared" ca="1" si="83"/>
        <v>0</v>
      </c>
      <c r="AR227" s="93">
        <f t="shared" ca="1" si="83"/>
        <v>0</v>
      </c>
      <c r="AS227" s="93">
        <f t="shared" ca="1" si="83"/>
        <v>0</v>
      </c>
      <c r="AT227" s="93">
        <f t="shared" ca="1" si="83"/>
        <v>0</v>
      </c>
      <c r="AU227" s="93">
        <f t="shared" ca="1" si="83"/>
        <v>0</v>
      </c>
      <c r="AV227" s="93">
        <f t="shared" ca="1" si="83"/>
        <v>0</v>
      </c>
      <c r="AW227" s="93">
        <f t="shared" ca="1" si="83"/>
        <v>0</v>
      </c>
      <c r="AX227" s="93">
        <f t="shared" ca="1" si="83"/>
        <v>0</v>
      </c>
    </row>
    <row r="228" spans="1:50" s="93" customFormat="1" ht="15" customHeight="1">
      <c r="A228" s="90"/>
      <c r="B228" s="134"/>
      <c r="E228" s="93" t="str">
        <f xml:space="preserve"> E215 &amp; ": " &amp; Inputs!F$84</f>
        <v>Government revenues including participation: FID forward</v>
      </c>
      <c r="G228" s="93" t="str">
        <f t="shared" si="79"/>
        <v>US$ mn 2021</v>
      </c>
      <c r="K228" s="93">
        <f t="shared" ref="K228:AX228" ca="1" si="84" xml:space="preserve"> K215 * K$221</f>
        <v>0</v>
      </c>
      <c r="L228" s="93">
        <f t="shared" ca="1" si="84"/>
        <v>0</v>
      </c>
      <c r="M228" s="93">
        <f t="shared" ca="1" si="84"/>
        <v>0</v>
      </c>
      <c r="N228" s="93">
        <f t="shared" ca="1" si="84"/>
        <v>0</v>
      </c>
      <c r="O228" s="93">
        <f t="shared" ca="1" si="84"/>
        <v>0.73750000000000004</v>
      </c>
      <c r="P228" s="93">
        <f t="shared" ca="1" si="84"/>
        <v>8.8656249999999996</v>
      </c>
      <c r="Q228" s="93">
        <f t="shared" ca="1" si="84"/>
        <v>18.595652328431374</v>
      </c>
      <c r="R228" s="93">
        <f t="shared" ca="1" si="84"/>
        <v>18.712036596501338</v>
      </c>
      <c r="S228" s="93">
        <f t="shared" ca="1" si="84"/>
        <v>25.901850013156011</v>
      </c>
      <c r="T228" s="93">
        <f t="shared" ca="1" si="84"/>
        <v>46.29910934689709</v>
      </c>
      <c r="U228" s="93">
        <f t="shared" ca="1" si="84"/>
        <v>52.085327833092393</v>
      </c>
      <c r="V228" s="93">
        <f t="shared" ca="1" si="84"/>
        <v>58.550023788694524</v>
      </c>
      <c r="W228" s="93">
        <f t="shared" ca="1" si="84"/>
        <v>58.550023788694531</v>
      </c>
      <c r="X228" s="93">
        <f t="shared" ca="1" si="84"/>
        <v>57.588994802792826</v>
      </c>
      <c r="Y228" s="93">
        <f t="shared" ca="1" si="84"/>
        <v>57.607838508398771</v>
      </c>
      <c r="Z228" s="93">
        <f t="shared" ca="1" si="84"/>
        <v>57.626312729581016</v>
      </c>
      <c r="AA228" s="93">
        <f t="shared" ca="1" si="84"/>
        <v>47.429674711132279</v>
      </c>
      <c r="AB228" s="93">
        <f t="shared" ca="1" si="84"/>
        <v>38.435881555790353</v>
      </c>
      <c r="AC228" s="93">
        <f t="shared" ca="1" si="84"/>
        <v>28.28939753761021</v>
      </c>
      <c r="AD228" s="93">
        <f t="shared" ca="1" si="84"/>
        <v>20.591642791157952</v>
      </c>
      <c r="AE228" s="93">
        <f t="shared" ca="1" si="84"/>
        <v>15.925613276488066</v>
      </c>
      <c r="AF228" s="93">
        <f t="shared" ca="1" si="84"/>
        <v>0</v>
      </c>
      <c r="AG228" s="93">
        <f t="shared" ca="1" si="84"/>
        <v>0</v>
      </c>
      <c r="AH228" s="93">
        <f t="shared" ca="1" si="84"/>
        <v>0</v>
      </c>
      <c r="AI228" s="93">
        <f t="shared" ca="1" si="84"/>
        <v>0</v>
      </c>
      <c r="AJ228" s="93">
        <f t="shared" ca="1" si="84"/>
        <v>0</v>
      </c>
      <c r="AK228" s="93">
        <f t="shared" ca="1" si="84"/>
        <v>0</v>
      </c>
      <c r="AL228" s="93">
        <f t="shared" ca="1" si="84"/>
        <v>0</v>
      </c>
      <c r="AM228" s="93">
        <f t="shared" ca="1" si="84"/>
        <v>0</v>
      </c>
      <c r="AN228" s="93">
        <f t="shared" ca="1" si="84"/>
        <v>0</v>
      </c>
      <c r="AO228" s="93">
        <f t="shared" ca="1" si="84"/>
        <v>0</v>
      </c>
      <c r="AP228" s="93">
        <f t="shared" ca="1" si="84"/>
        <v>0</v>
      </c>
      <c r="AQ228" s="93">
        <f t="shared" ca="1" si="84"/>
        <v>0</v>
      </c>
      <c r="AR228" s="93">
        <f t="shared" ca="1" si="84"/>
        <v>0</v>
      </c>
      <c r="AS228" s="93">
        <f t="shared" ca="1" si="84"/>
        <v>0</v>
      </c>
      <c r="AT228" s="93">
        <f t="shared" ca="1" si="84"/>
        <v>0</v>
      </c>
      <c r="AU228" s="93">
        <f t="shared" ca="1" si="84"/>
        <v>0</v>
      </c>
      <c r="AV228" s="93">
        <f t="shared" ca="1" si="84"/>
        <v>0</v>
      </c>
      <c r="AW228" s="93">
        <f t="shared" ca="1" si="84"/>
        <v>0</v>
      </c>
      <c r="AX228" s="93">
        <f t="shared" ca="1" si="84"/>
        <v>0</v>
      </c>
    </row>
    <row r="229" spans="1:50" s="93" customFormat="1" ht="15" customHeight="1">
      <c r="A229" s="90"/>
      <c r="B229" s="134"/>
      <c r="E229" s="93" t="str">
        <f xml:space="preserve"> E216 &amp; ": " &amp; Inputs!F$84</f>
        <v>Net cashflow after fiscal regime: Parent company (excluding loan): FID forward</v>
      </c>
      <c r="G229" s="93" t="str">
        <f t="shared" si="79"/>
        <v>US$ mn 2021</v>
      </c>
      <c r="H229" s="93">
        <f xml:space="preserve"> FiscalModel!H$783</f>
        <v>0</v>
      </c>
      <c r="K229" s="93">
        <f t="shared" ref="K229:AX229" ca="1" si="85" xml:space="preserve"> K216 * K$221</f>
        <v>0</v>
      </c>
      <c r="L229" s="93">
        <f t="shared" ca="1" si="85"/>
        <v>0</v>
      </c>
      <c r="M229" s="93">
        <f t="shared" ca="1" si="85"/>
        <v>0</v>
      </c>
      <c r="N229" s="93">
        <f t="shared" ca="1" si="85"/>
        <v>-15.000000000000004</v>
      </c>
      <c r="O229" s="93">
        <f t="shared" ca="1" si="85"/>
        <v>-65.487500000000026</v>
      </c>
      <c r="P229" s="93">
        <f t="shared" ca="1" si="85"/>
        <v>30.009374999999988</v>
      </c>
      <c r="Q229" s="93">
        <f t="shared" ca="1" si="85"/>
        <v>48.834136395220533</v>
      </c>
      <c r="R229" s="93">
        <f t="shared" ca="1" si="85"/>
        <v>53.971919909169479</v>
      </c>
      <c r="S229" s="93">
        <f t="shared" ca="1" si="85"/>
        <v>51.860340055968031</v>
      </c>
      <c r="T229" s="93">
        <f t="shared" ca="1" si="85"/>
        <v>36.3702593914172</v>
      </c>
      <c r="U229" s="93">
        <f t="shared" ca="1" si="85"/>
        <v>35.324920299392332</v>
      </c>
      <c r="V229" s="93">
        <f t="shared" ca="1" si="85"/>
        <v>87.19997621130544</v>
      </c>
      <c r="W229" s="93">
        <f t="shared" ca="1" si="85"/>
        <v>87.199976211305483</v>
      </c>
      <c r="X229" s="93">
        <f t="shared" ca="1" si="85"/>
        <v>85.430809214531905</v>
      </c>
      <c r="Y229" s="93">
        <f t="shared" ca="1" si="85"/>
        <v>85.465498763488256</v>
      </c>
      <c r="Z229" s="93">
        <f t="shared" ca="1" si="85"/>
        <v>85.499508125210156</v>
      </c>
      <c r="AA229" s="93">
        <f t="shared" ca="1" si="85"/>
        <v>70.122600636702245</v>
      </c>
      <c r="AB229" s="93">
        <f t="shared" ca="1" si="85"/>
        <v>61.541839373459155</v>
      </c>
      <c r="AC229" s="93">
        <f t="shared" ca="1" si="85"/>
        <v>46.112779844006937</v>
      </c>
      <c r="AD229" s="93">
        <f t="shared" ca="1" si="85"/>
        <v>43.609021308466701</v>
      </c>
      <c r="AE229" s="93">
        <f t="shared" ca="1" si="85"/>
        <v>32.947586821183165</v>
      </c>
      <c r="AF229" s="93">
        <f t="shared" ca="1" si="85"/>
        <v>0</v>
      </c>
      <c r="AG229" s="93">
        <f t="shared" ca="1" si="85"/>
        <v>0</v>
      </c>
      <c r="AH229" s="93">
        <f t="shared" ca="1" si="85"/>
        <v>0</v>
      </c>
      <c r="AI229" s="93">
        <f t="shared" ca="1" si="85"/>
        <v>0</v>
      </c>
      <c r="AJ229" s="93">
        <f t="shared" ca="1" si="85"/>
        <v>0</v>
      </c>
      <c r="AK229" s="93">
        <f t="shared" ca="1" si="85"/>
        <v>0</v>
      </c>
      <c r="AL229" s="93">
        <f t="shared" ca="1" si="85"/>
        <v>0</v>
      </c>
      <c r="AM229" s="93">
        <f t="shared" ca="1" si="85"/>
        <v>0</v>
      </c>
      <c r="AN229" s="93">
        <f t="shared" ca="1" si="85"/>
        <v>0</v>
      </c>
      <c r="AO229" s="93">
        <f t="shared" ca="1" si="85"/>
        <v>0</v>
      </c>
      <c r="AP229" s="93">
        <f t="shared" ca="1" si="85"/>
        <v>0</v>
      </c>
      <c r="AQ229" s="93">
        <f t="shared" ca="1" si="85"/>
        <v>0</v>
      </c>
      <c r="AR229" s="93">
        <f t="shared" ca="1" si="85"/>
        <v>0</v>
      </c>
      <c r="AS229" s="93">
        <f t="shared" ca="1" si="85"/>
        <v>0</v>
      </c>
      <c r="AT229" s="93">
        <f t="shared" ca="1" si="85"/>
        <v>0</v>
      </c>
      <c r="AU229" s="93">
        <f t="shared" ca="1" si="85"/>
        <v>0</v>
      </c>
      <c r="AV229" s="93">
        <f t="shared" ca="1" si="85"/>
        <v>0</v>
      </c>
      <c r="AW229" s="93">
        <f t="shared" ca="1" si="85"/>
        <v>0</v>
      </c>
      <c r="AX229" s="93">
        <f t="shared" ca="1" si="85"/>
        <v>0</v>
      </c>
    </row>
    <row r="230" spans="1:50" s="93" customFormat="1" ht="15" customHeight="1">
      <c r="A230" s="90"/>
      <c r="B230" s="134"/>
      <c r="E230" s="93" t="str">
        <f xml:space="preserve"> E217 &amp; ": " &amp; Inputs!F$84</f>
        <v>Project loan cashflows net of state participation share, met by parent company: FID forward</v>
      </c>
      <c r="G230" s="93" t="str">
        <f t="shared" si="79"/>
        <v>US$ mn 2021</v>
      </c>
      <c r="H230" s="93">
        <f xml:space="preserve"> FiscalModel!H$785</f>
        <v>0</v>
      </c>
      <c r="K230" s="93">
        <f t="shared" ref="K230:AX230" ca="1" si="86" xml:space="preserve"> K217 * K$221</f>
        <v>0</v>
      </c>
      <c r="L230" s="93">
        <f t="shared" ca="1" si="86"/>
        <v>0</v>
      </c>
      <c r="M230" s="93">
        <f t="shared" ca="1" si="86"/>
        <v>0</v>
      </c>
      <c r="N230" s="93">
        <f t="shared" ca="1" si="86"/>
        <v>-34.999999999999993</v>
      </c>
      <c r="O230" s="93">
        <f t="shared" ca="1" si="86"/>
        <v>-175</v>
      </c>
      <c r="P230" s="93">
        <f t="shared" ca="1" si="86"/>
        <v>-69.999999999999986</v>
      </c>
      <c r="Q230" s="93">
        <f t="shared" ca="1" si="86"/>
        <v>78.320211276348076</v>
      </c>
      <c r="R230" s="93">
        <f t="shared" ca="1" si="86"/>
        <v>73.066043494329136</v>
      </c>
      <c r="S230" s="93">
        <f t="shared" ca="1" si="86"/>
        <v>67.987809930875954</v>
      </c>
      <c r="T230" s="93">
        <f t="shared" ca="1" si="86"/>
        <v>63.080631261685731</v>
      </c>
      <c r="U230" s="93">
        <f t="shared" ca="1" si="86"/>
        <v>58.339751867515311</v>
      </c>
      <c r="V230" s="93">
        <f t="shared" ca="1" si="86"/>
        <v>0</v>
      </c>
      <c r="W230" s="93">
        <f t="shared" ca="1" si="86"/>
        <v>0</v>
      </c>
      <c r="X230" s="93">
        <f t="shared" ca="1" si="86"/>
        <v>0</v>
      </c>
      <c r="Y230" s="93">
        <f t="shared" ca="1" si="86"/>
        <v>0</v>
      </c>
      <c r="Z230" s="93">
        <f t="shared" ca="1" si="86"/>
        <v>0</v>
      </c>
      <c r="AA230" s="93">
        <f t="shared" ca="1" si="86"/>
        <v>0</v>
      </c>
      <c r="AB230" s="93">
        <f t="shared" ca="1" si="86"/>
        <v>0</v>
      </c>
      <c r="AC230" s="93">
        <f t="shared" ca="1" si="86"/>
        <v>0</v>
      </c>
      <c r="AD230" s="93">
        <f t="shared" ca="1" si="86"/>
        <v>0</v>
      </c>
      <c r="AE230" s="93">
        <f t="shared" ca="1" si="86"/>
        <v>0</v>
      </c>
      <c r="AF230" s="93">
        <f t="shared" ca="1" si="86"/>
        <v>0</v>
      </c>
      <c r="AG230" s="93">
        <f t="shared" ca="1" si="86"/>
        <v>0</v>
      </c>
      <c r="AH230" s="93">
        <f t="shared" ca="1" si="86"/>
        <v>0</v>
      </c>
      <c r="AI230" s="93">
        <f t="shared" ca="1" si="86"/>
        <v>0</v>
      </c>
      <c r="AJ230" s="93">
        <f t="shared" ca="1" si="86"/>
        <v>0</v>
      </c>
      <c r="AK230" s="93">
        <f t="shared" ca="1" si="86"/>
        <v>0</v>
      </c>
      <c r="AL230" s="93">
        <f t="shared" ca="1" si="86"/>
        <v>0</v>
      </c>
      <c r="AM230" s="93">
        <f t="shared" ca="1" si="86"/>
        <v>0</v>
      </c>
      <c r="AN230" s="93">
        <f t="shared" ca="1" si="86"/>
        <v>0</v>
      </c>
      <c r="AO230" s="93">
        <f t="shared" ca="1" si="86"/>
        <v>0</v>
      </c>
      <c r="AP230" s="93">
        <f t="shared" ca="1" si="86"/>
        <v>0</v>
      </c>
      <c r="AQ230" s="93">
        <f t="shared" ca="1" si="86"/>
        <v>0</v>
      </c>
      <c r="AR230" s="93">
        <f t="shared" ca="1" si="86"/>
        <v>0</v>
      </c>
      <c r="AS230" s="93">
        <f t="shared" ca="1" si="86"/>
        <v>0</v>
      </c>
      <c r="AT230" s="93">
        <f t="shared" ca="1" si="86"/>
        <v>0</v>
      </c>
      <c r="AU230" s="93">
        <f t="shared" ca="1" si="86"/>
        <v>0</v>
      </c>
      <c r="AV230" s="93">
        <f t="shared" ca="1" si="86"/>
        <v>0</v>
      </c>
      <c r="AW230" s="93">
        <f t="shared" ca="1" si="86"/>
        <v>0</v>
      </c>
      <c r="AX230" s="93">
        <f t="shared" ca="1" si="86"/>
        <v>0</v>
      </c>
    </row>
    <row r="231" spans="1:50" s="93" customFormat="1" ht="15" customHeight="1">
      <c r="A231" s="90"/>
      <c r="B231" s="134"/>
      <c r="E231" s="93" t="str">
        <f xml:space="preserve"> E218 &amp; ": " &amp; Inputs!F$84</f>
        <v>Investors (Parent company + lender): FID forward</v>
      </c>
      <c r="G231" s="93" t="str">
        <f t="shared" si="79"/>
        <v>US$ mn 2021</v>
      </c>
      <c r="H231" s="93">
        <f xml:space="preserve"> FiscalModel!H$785</f>
        <v>0</v>
      </c>
      <c r="K231" s="93">
        <f t="shared" ref="K231:AX231" ca="1" si="87" xml:space="preserve"> K218 * K$221</f>
        <v>0</v>
      </c>
      <c r="L231" s="93">
        <f t="shared" ca="1" si="87"/>
        <v>0</v>
      </c>
      <c r="M231" s="93">
        <f t="shared" ca="1" si="87"/>
        <v>0</v>
      </c>
      <c r="N231" s="93">
        <f t="shared" ca="1" si="87"/>
        <v>-50</v>
      </c>
      <c r="O231" s="93">
        <f t="shared" ca="1" si="87"/>
        <v>-240.48750000000001</v>
      </c>
      <c r="P231" s="93">
        <f t="shared" ca="1" si="87"/>
        <v>-39.990625000000001</v>
      </c>
      <c r="Q231" s="93">
        <f t="shared" ca="1" si="87"/>
        <v>127.15434767156862</v>
      </c>
      <c r="R231" s="93">
        <f t="shared" ca="1" si="87"/>
        <v>127.03796340349861</v>
      </c>
      <c r="S231" s="93">
        <f t="shared" ca="1" si="87"/>
        <v>119.84814998684399</v>
      </c>
      <c r="T231" s="93">
        <f t="shared" ca="1" si="87"/>
        <v>99.450890653102931</v>
      </c>
      <c r="U231" s="93">
        <f t="shared" ca="1" si="87"/>
        <v>93.664672166907636</v>
      </c>
      <c r="V231" s="93">
        <f t="shared" ca="1" si="87"/>
        <v>87.19997621130544</v>
      </c>
      <c r="W231" s="93">
        <f t="shared" ca="1" si="87"/>
        <v>87.199976211305483</v>
      </c>
      <c r="X231" s="93">
        <f t="shared" ca="1" si="87"/>
        <v>85.430809214531905</v>
      </c>
      <c r="Y231" s="93">
        <f t="shared" ca="1" si="87"/>
        <v>85.465498763488256</v>
      </c>
      <c r="Z231" s="93">
        <f t="shared" ca="1" si="87"/>
        <v>85.499508125210156</v>
      </c>
      <c r="AA231" s="93">
        <f t="shared" ca="1" si="87"/>
        <v>70.122600636702245</v>
      </c>
      <c r="AB231" s="93">
        <f t="shared" ca="1" si="87"/>
        <v>61.541839373459155</v>
      </c>
      <c r="AC231" s="93">
        <f t="shared" ca="1" si="87"/>
        <v>46.112779844006937</v>
      </c>
      <c r="AD231" s="93">
        <f t="shared" ca="1" si="87"/>
        <v>43.609021308466701</v>
      </c>
      <c r="AE231" s="93">
        <f t="shared" ca="1" si="87"/>
        <v>32.947586821183165</v>
      </c>
      <c r="AF231" s="93">
        <f t="shared" ca="1" si="87"/>
        <v>0</v>
      </c>
      <c r="AG231" s="93">
        <f t="shared" ca="1" si="87"/>
        <v>0</v>
      </c>
      <c r="AH231" s="93">
        <f t="shared" ca="1" si="87"/>
        <v>0</v>
      </c>
      <c r="AI231" s="93">
        <f t="shared" ca="1" si="87"/>
        <v>0</v>
      </c>
      <c r="AJ231" s="93">
        <f t="shared" ca="1" si="87"/>
        <v>0</v>
      </c>
      <c r="AK231" s="93">
        <f t="shared" ca="1" si="87"/>
        <v>0</v>
      </c>
      <c r="AL231" s="93">
        <f t="shared" ca="1" si="87"/>
        <v>0</v>
      </c>
      <c r="AM231" s="93">
        <f t="shared" ca="1" si="87"/>
        <v>0</v>
      </c>
      <c r="AN231" s="93">
        <f t="shared" ca="1" si="87"/>
        <v>0</v>
      </c>
      <c r="AO231" s="93">
        <f t="shared" ca="1" si="87"/>
        <v>0</v>
      </c>
      <c r="AP231" s="93">
        <f t="shared" ca="1" si="87"/>
        <v>0</v>
      </c>
      <c r="AQ231" s="93">
        <f t="shared" ca="1" si="87"/>
        <v>0</v>
      </c>
      <c r="AR231" s="93">
        <f t="shared" ca="1" si="87"/>
        <v>0</v>
      </c>
      <c r="AS231" s="93">
        <f t="shared" ca="1" si="87"/>
        <v>0</v>
      </c>
      <c r="AT231" s="93">
        <f t="shared" ca="1" si="87"/>
        <v>0</v>
      </c>
      <c r="AU231" s="93">
        <f t="shared" ca="1" si="87"/>
        <v>0</v>
      </c>
      <c r="AV231" s="93">
        <f t="shared" ca="1" si="87"/>
        <v>0</v>
      </c>
      <c r="AW231" s="93">
        <f t="shared" ca="1" si="87"/>
        <v>0</v>
      </c>
      <c r="AX231" s="93">
        <f t="shared" ca="1" si="87"/>
        <v>0</v>
      </c>
    </row>
    <row r="232" spans="1:50" s="93" customFormat="1" ht="15" customHeight="1">
      <c r="A232" s="90"/>
      <c r="B232" s="134"/>
      <c r="E232" s="93" t="str">
        <f xml:space="preserve"> E219 &amp; ": " &amp; Inputs!F$84</f>
        <v>Project benefits: FID forward</v>
      </c>
      <c r="G232" s="93" t="str">
        <f t="shared" si="79"/>
        <v>US$ mn 2021</v>
      </c>
      <c r="H232" s="93" t="str">
        <f xml:space="preserve"> ProjectCashflows!H$252</f>
        <v>cashflows excluding exploration &amp; development costs</v>
      </c>
      <c r="K232" s="93">
        <f t="shared" ref="K232:AX232" ca="1" si="88" xml:space="preserve"> K219 * K$221</f>
        <v>0</v>
      </c>
      <c r="L232" s="93">
        <f t="shared" ca="1" si="88"/>
        <v>0</v>
      </c>
      <c r="M232" s="93">
        <f t="shared" ca="1" si="88"/>
        <v>0</v>
      </c>
      <c r="N232" s="93">
        <f t="shared" ca="1" si="88"/>
        <v>0</v>
      </c>
      <c r="O232" s="93">
        <f t="shared" ca="1" si="88"/>
        <v>10.25</v>
      </c>
      <c r="P232" s="93">
        <f t="shared" ca="1" si="88"/>
        <v>68.875</v>
      </c>
      <c r="Q232" s="93">
        <f t="shared" ca="1" si="88"/>
        <v>145.75</v>
      </c>
      <c r="R232" s="93">
        <f t="shared" ca="1" si="88"/>
        <v>145.74999999999997</v>
      </c>
      <c r="S232" s="93">
        <f t="shared" ca="1" si="88"/>
        <v>145.75</v>
      </c>
      <c r="T232" s="93">
        <f t="shared" ca="1" si="88"/>
        <v>145.75000000000003</v>
      </c>
      <c r="U232" s="93">
        <f t="shared" ca="1" si="88"/>
        <v>145.75</v>
      </c>
      <c r="V232" s="93">
        <f t="shared" ca="1" si="88"/>
        <v>145.75</v>
      </c>
      <c r="W232" s="93">
        <f t="shared" ca="1" si="88"/>
        <v>145.75</v>
      </c>
      <c r="X232" s="93">
        <f t="shared" ca="1" si="88"/>
        <v>145.75</v>
      </c>
      <c r="Y232" s="93">
        <f t="shared" ca="1" si="88"/>
        <v>145.75000000000003</v>
      </c>
      <c r="Z232" s="93">
        <f t="shared" ca="1" si="88"/>
        <v>145.75</v>
      </c>
      <c r="AA232" s="93">
        <f t="shared" ca="1" si="88"/>
        <v>120.12500000000001</v>
      </c>
      <c r="AB232" s="93">
        <f t="shared" ca="1" si="88"/>
        <v>102.5</v>
      </c>
      <c r="AC232" s="93">
        <f t="shared" ca="1" si="88"/>
        <v>76.875</v>
      </c>
      <c r="AD232" s="93">
        <f t="shared" ca="1" si="88"/>
        <v>66.624999999999986</v>
      </c>
      <c r="AE232" s="93">
        <f t="shared" ca="1" si="88"/>
        <v>51.249999999999993</v>
      </c>
      <c r="AF232" s="93">
        <f t="shared" ca="1" si="88"/>
        <v>-20</v>
      </c>
      <c r="AG232" s="93">
        <f t="shared" ca="1" si="88"/>
        <v>0</v>
      </c>
      <c r="AH232" s="93">
        <f t="shared" ca="1" si="88"/>
        <v>0</v>
      </c>
      <c r="AI232" s="93">
        <f t="shared" ca="1" si="88"/>
        <v>0</v>
      </c>
      <c r="AJ232" s="93">
        <f t="shared" ca="1" si="88"/>
        <v>0</v>
      </c>
      <c r="AK232" s="93">
        <f t="shared" ca="1" si="88"/>
        <v>0</v>
      </c>
      <c r="AL232" s="93">
        <f t="shared" ca="1" si="88"/>
        <v>0</v>
      </c>
      <c r="AM232" s="93">
        <f t="shared" ca="1" si="88"/>
        <v>0</v>
      </c>
      <c r="AN232" s="93">
        <f t="shared" ca="1" si="88"/>
        <v>0</v>
      </c>
      <c r="AO232" s="93">
        <f t="shared" ca="1" si="88"/>
        <v>0</v>
      </c>
      <c r="AP232" s="93">
        <f t="shared" ca="1" si="88"/>
        <v>0</v>
      </c>
      <c r="AQ232" s="93">
        <f t="shared" ca="1" si="88"/>
        <v>0</v>
      </c>
      <c r="AR232" s="93">
        <f t="shared" ca="1" si="88"/>
        <v>0</v>
      </c>
      <c r="AS232" s="93">
        <f t="shared" ca="1" si="88"/>
        <v>0</v>
      </c>
      <c r="AT232" s="93">
        <f t="shared" ca="1" si="88"/>
        <v>0</v>
      </c>
      <c r="AU232" s="93">
        <f t="shared" ca="1" si="88"/>
        <v>0</v>
      </c>
      <c r="AV232" s="93">
        <f t="shared" ca="1" si="88"/>
        <v>0</v>
      </c>
      <c r="AW232" s="93">
        <f t="shared" ca="1" si="88"/>
        <v>0</v>
      </c>
      <c r="AX232" s="93">
        <f t="shared" ca="1" si="88"/>
        <v>0</v>
      </c>
    </row>
    <row r="233" spans="1:50" s="93" customFormat="1" ht="15" customHeight="1">
      <c r="A233" s="90"/>
      <c r="B233" s="134"/>
    </row>
    <row r="234" spans="1:50" s="93" customFormat="1" ht="15" customHeight="1">
      <c r="A234" s="90"/>
      <c r="B234" s="134"/>
      <c r="E234" s="93" t="str">
        <f xml:space="preserve"> Translate!E$444 &amp;  ": " &amp; B223</f>
        <v>Check: Cashflows: FID forward, real</v>
      </c>
      <c r="G234" s="93" t="str">
        <f xml:space="preserve"> G225</f>
        <v>US$ mn 2021</v>
      </c>
      <c r="I234" s="93">
        <f ca="1" xml:space="preserve"> SUM(K234:AX234)</f>
        <v>0</v>
      </c>
      <c r="K234" s="93">
        <f ca="1" xml:space="preserve"> K224 + K225 - SUM(K228:K230)</f>
        <v>0</v>
      </c>
      <c r="L234" s="93">
        <f t="shared" ref="L234:AX234" ca="1" si="89" xml:space="preserve"> L224 + L225 - SUM(L228:L230)</f>
        <v>0</v>
      </c>
      <c r="M234" s="93">
        <f t="shared" ca="1" si="89"/>
        <v>0</v>
      </c>
      <c r="N234" s="93">
        <f t="shared" ca="1" si="89"/>
        <v>0</v>
      </c>
      <c r="O234" s="93">
        <f t="shared" ca="1" si="89"/>
        <v>0</v>
      </c>
      <c r="P234" s="93">
        <f t="shared" ca="1" si="89"/>
        <v>0</v>
      </c>
      <c r="Q234" s="93">
        <f t="shared" ca="1" si="89"/>
        <v>0</v>
      </c>
      <c r="R234" s="93">
        <f t="shared" ca="1" si="89"/>
        <v>0</v>
      </c>
      <c r="S234" s="93">
        <f t="shared" ca="1" si="89"/>
        <v>0</v>
      </c>
      <c r="T234" s="93">
        <f t="shared" ca="1" si="89"/>
        <v>0</v>
      </c>
      <c r="U234" s="93">
        <f t="shared" ca="1" si="89"/>
        <v>0</v>
      </c>
      <c r="V234" s="93">
        <f t="shared" ca="1" si="89"/>
        <v>0</v>
      </c>
      <c r="W234" s="93">
        <f t="shared" ca="1" si="89"/>
        <v>0</v>
      </c>
      <c r="X234" s="93">
        <f t="shared" ca="1" si="89"/>
        <v>0</v>
      </c>
      <c r="Y234" s="93">
        <f t="shared" ca="1" si="89"/>
        <v>0</v>
      </c>
      <c r="Z234" s="93">
        <f t="shared" ca="1" si="89"/>
        <v>0</v>
      </c>
      <c r="AA234" s="93">
        <f t="shared" ca="1" si="89"/>
        <v>0</v>
      </c>
      <c r="AB234" s="93">
        <f t="shared" ca="1" si="89"/>
        <v>0</v>
      </c>
      <c r="AC234" s="93">
        <f t="shared" ca="1" si="89"/>
        <v>0</v>
      </c>
      <c r="AD234" s="93">
        <f t="shared" ca="1" si="89"/>
        <v>0</v>
      </c>
      <c r="AE234" s="93">
        <f t="shared" ca="1" si="89"/>
        <v>0</v>
      </c>
      <c r="AF234" s="93">
        <f t="shared" ca="1" si="89"/>
        <v>0</v>
      </c>
      <c r="AG234" s="93">
        <f t="shared" ca="1" si="89"/>
        <v>0</v>
      </c>
      <c r="AH234" s="93">
        <f t="shared" ca="1" si="89"/>
        <v>0</v>
      </c>
      <c r="AI234" s="93">
        <f t="shared" ca="1" si="89"/>
        <v>0</v>
      </c>
      <c r="AJ234" s="93">
        <f t="shared" ca="1" si="89"/>
        <v>0</v>
      </c>
      <c r="AK234" s="93">
        <f t="shared" ca="1" si="89"/>
        <v>0</v>
      </c>
      <c r="AL234" s="93">
        <f t="shared" ca="1" si="89"/>
        <v>0</v>
      </c>
      <c r="AM234" s="93">
        <f t="shared" ca="1" si="89"/>
        <v>0</v>
      </c>
      <c r="AN234" s="93">
        <f t="shared" ca="1" si="89"/>
        <v>0</v>
      </c>
      <c r="AO234" s="93">
        <f t="shared" ca="1" si="89"/>
        <v>0</v>
      </c>
      <c r="AP234" s="93">
        <f t="shared" ca="1" si="89"/>
        <v>0</v>
      </c>
      <c r="AQ234" s="93">
        <f t="shared" ca="1" si="89"/>
        <v>0</v>
      </c>
      <c r="AR234" s="93">
        <f t="shared" ca="1" si="89"/>
        <v>0</v>
      </c>
      <c r="AS234" s="93">
        <f t="shared" ca="1" si="89"/>
        <v>0</v>
      </c>
      <c r="AT234" s="93">
        <f t="shared" ca="1" si="89"/>
        <v>0</v>
      </c>
      <c r="AU234" s="93">
        <f t="shared" ca="1" si="89"/>
        <v>0</v>
      </c>
      <c r="AV234" s="93">
        <f t="shared" ca="1" si="89"/>
        <v>0</v>
      </c>
      <c r="AW234" s="93">
        <f t="shared" ca="1" si="89"/>
        <v>0</v>
      </c>
      <c r="AX234" s="93">
        <f t="shared" ca="1" si="89"/>
        <v>0</v>
      </c>
    </row>
    <row r="235" spans="1:50" s="93" customFormat="1" ht="15" customHeight="1">
      <c r="A235" s="90"/>
      <c r="B235" s="134"/>
      <c r="E235" s="93" t="str">
        <f xml:space="preserve"> E234</f>
        <v>Check: Cashflows: FID forward, real</v>
      </c>
      <c r="F235" s="61">
        <f ca="1" xml:space="preserve"> MIN( 1, SUM(K235:AX235))</f>
        <v>0</v>
      </c>
      <c r="G235" s="1041" t="str">
        <f xml:space="preserve"> Translate!E$444</f>
        <v>Check</v>
      </c>
      <c r="I235" s="93">
        <f ca="1" xml:space="preserve"> SUM(K235:AX235)</f>
        <v>0</v>
      </c>
      <c r="K235" s="61">
        <f t="shared" ref="K235:AX235" ca="1" si="90" xml:space="preserve"> IF( ABS( K234) &gt; CHK_TOL, 1, 0)</f>
        <v>0</v>
      </c>
      <c r="L235" s="61">
        <f t="shared" ca="1" si="90"/>
        <v>0</v>
      </c>
      <c r="M235" s="61">
        <f t="shared" ca="1" si="90"/>
        <v>0</v>
      </c>
      <c r="N235" s="61">
        <f t="shared" ca="1" si="90"/>
        <v>0</v>
      </c>
      <c r="O235" s="61">
        <f t="shared" ca="1" si="90"/>
        <v>0</v>
      </c>
      <c r="P235" s="61">
        <f t="shared" ca="1" si="90"/>
        <v>0</v>
      </c>
      <c r="Q235" s="61">
        <f t="shared" ca="1" si="90"/>
        <v>0</v>
      </c>
      <c r="R235" s="61">
        <f t="shared" ca="1" si="90"/>
        <v>0</v>
      </c>
      <c r="S235" s="61">
        <f t="shared" ca="1" si="90"/>
        <v>0</v>
      </c>
      <c r="T235" s="61">
        <f t="shared" ca="1" si="90"/>
        <v>0</v>
      </c>
      <c r="U235" s="61">
        <f t="shared" ca="1" si="90"/>
        <v>0</v>
      </c>
      <c r="V235" s="61">
        <f t="shared" ca="1" si="90"/>
        <v>0</v>
      </c>
      <c r="W235" s="61">
        <f t="shared" ca="1" si="90"/>
        <v>0</v>
      </c>
      <c r="X235" s="61">
        <f t="shared" ca="1" si="90"/>
        <v>0</v>
      </c>
      <c r="Y235" s="61">
        <f t="shared" ca="1" si="90"/>
        <v>0</v>
      </c>
      <c r="Z235" s="61">
        <f t="shared" ca="1" si="90"/>
        <v>0</v>
      </c>
      <c r="AA235" s="61">
        <f t="shared" ca="1" si="90"/>
        <v>0</v>
      </c>
      <c r="AB235" s="61">
        <f t="shared" ca="1" si="90"/>
        <v>0</v>
      </c>
      <c r="AC235" s="61">
        <f t="shared" ca="1" si="90"/>
        <v>0</v>
      </c>
      <c r="AD235" s="61">
        <f t="shared" ca="1" si="90"/>
        <v>0</v>
      </c>
      <c r="AE235" s="61">
        <f t="shared" ca="1" si="90"/>
        <v>0</v>
      </c>
      <c r="AF235" s="61">
        <f t="shared" ca="1" si="90"/>
        <v>0</v>
      </c>
      <c r="AG235" s="61">
        <f t="shared" ca="1" si="90"/>
        <v>0</v>
      </c>
      <c r="AH235" s="61">
        <f t="shared" ca="1" si="90"/>
        <v>0</v>
      </c>
      <c r="AI235" s="61">
        <f t="shared" ca="1" si="90"/>
        <v>0</v>
      </c>
      <c r="AJ235" s="61">
        <f t="shared" ca="1" si="90"/>
        <v>0</v>
      </c>
      <c r="AK235" s="61">
        <f t="shared" ca="1" si="90"/>
        <v>0</v>
      </c>
      <c r="AL235" s="61">
        <f t="shared" ca="1" si="90"/>
        <v>0</v>
      </c>
      <c r="AM235" s="61">
        <f t="shared" ca="1" si="90"/>
        <v>0</v>
      </c>
      <c r="AN235" s="61">
        <f t="shared" ca="1" si="90"/>
        <v>0</v>
      </c>
      <c r="AO235" s="61">
        <f t="shared" ca="1" si="90"/>
        <v>0</v>
      </c>
      <c r="AP235" s="61">
        <f t="shared" ca="1" si="90"/>
        <v>0</v>
      </c>
      <c r="AQ235" s="61">
        <f t="shared" ca="1" si="90"/>
        <v>0</v>
      </c>
      <c r="AR235" s="61">
        <f t="shared" ca="1" si="90"/>
        <v>0</v>
      </c>
      <c r="AS235" s="61">
        <f t="shared" ca="1" si="90"/>
        <v>0</v>
      </c>
      <c r="AT235" s="61">
        <f t="shared" ca="1" si="90"/>
        <v>0</v>
      </c>
      <c r="AU235" s="61">
        <f t="shared" ca="1" si="90"/>
        <v>0</v>
      </c>
      <c r="AV235" s="61">
        <f t="shared" ca="1" si="90"/>
        <v>0</v>
      </c>
      <c r="AW235" s="61">
        <f t="shared" ca="1" si="90"/>
        <v>0</v>
      </c>
      <c r="AX235" s="61">
        <f t="shared" ca="1" si="90"/>
        <v>0</v>
      </c>
    </row>
    <row r="236" spans="1:50" s="93" customFormat="1" ht="15" customHeight="1">
      <c r="A236" s="90"/>
      <c r="B236" s="134"/>
    </row>
    <row r="237" spans="1:50" s="93" customFormat="1" ht="15" customHeight="1">
      <c r="A237" s="90"/>
      <c r="B237" s="134"/>
      <c r="E237" s="93" t="str">
        <f xml:space="preserve"> Translate!$E$19 &amp;  ": " &amp; E224</f>
        <v>Total: Project cashflow before decommissioning fund: FID forward</v>
      </c>
      <c r="F237" s="158">
        <f t="shared" ref="F237:F245" ca="1" si="91" xml:space="preserve"> SUM(K224:AX224)</f>
        <v>1534</v>
      </c>
      <c r="G237" s="93" t="str">
        <f t="shared" ref="G237:G245" si="92" xml:space="preserve"> G224</f>
        <v>US$ mn 2021</v>
      </c>
    </row>
    <row r="238" spans="1:50" s="93" customFormat="1" ht="15" customHeight="1">
      <c r="A238" s="90"/>
      <c r="B238" s="134"/>
      <c r="E238" s="93" t="str">
        <f xml:space="preserve"> Translate!$E$19 &amp;  ": " &amp; E225</f>
        <v>Total: Net decommissioning cashflows: FID forward</v>
      </c>
      <c r="F238" s="158">
        <f t="shared" ca="1" si="91"/>
        <v>-0.40000000000000924</v>
      </c>
      <c r="G238" s="93" t="str">
        <f t="shared" si="92"/>
        <v>US$ mn 2021</v>
      </c>
    </row>
    <row r="239" spans="1:50" s="93" customFormat="1" ht="15" customHeight="1">
      <c r="A239" s="90"/>
      <c r="B239" s="134"/>
      <c r="E239" s="93" t="str">
        <f xml:space="preserve"> Translate!$E$19 &amp;  ": " &amp; E226</f>
        <v>Total: Government revenues excluding participation: FID forward</v>
      </c>
      <c r="F239" s="158">
        <f ca="1" xml:space="preserve"> SUM(K226:AX226)</f>
        <v>611.79250460841865</v>
      </c>
      <c r="G239" s="93" t="str">
        <f t="shared" si="92"/>
        <v>US$ mn 2021</v>
      </c>
    </row>
    <row r="240" spans="1:50" s="93" customFormat="1" ht="15" customHeight="1">
      <c r="A240" s="90"/>
      <c r="B240" s="134"/>
      <c r="E240" s="93" t="str">
        <f xml:space="preserve"> Translate!$E$19 &amp;  ": " &amp; E227</f>
        <v>Total: State participation cashflows including share of loan: FID forward</v>
      </c>
      <c r="F240" s="158">
        <f t="shared" ca="1" si="91"/>
        <v>0</v>
      </c>
      <c r="G240" s="93" t="str">
        <f t="shared" si="92"/>
        <v>US$ mn 2021</v>
      </c>
    </row>
    <row r="241" spans="1:7" s="93" customFormat="1" ht="15" customHeight="1">
      <c r="A241" s="90"/>
      <c r="B241" s="134"/>
      <c r="E241" s="93" t="str">
        <f xml:space="preserve"> Translate!$E$19 &amp;  ": " &amp; E228</f>
        <v>Total: Government revenues including participation: FID forward</v>
      </c>
      <c r="F241" s="158">
        <f t="shared" ca="1" si="91"/>
        <v>611.79250460841865</v>
      </c>
      <c r="G241" s="93" t="str">
        <f t="shared" si="92"/>
        <v>US$ mn 2021</v>
      </c>
    </row>
    <row r="242" spans="1:7" s="93" customFormat="1" ht="15" customHeight="1">
      <c r="A242" s="90"/>
      <c r="B242" s="134"/>
      <c r="E242" s="93" t="str">
        <f xml:space="preserve"> Translate!$E$19 &amp;  ": " &amp; E229</f>
        <v>Total: Net cashflow after fiscal regime: Parent company (excluding loan): FID forward</v>
      </c>
      <c r="F242" s="158">
        <f t="shared" ca="1" si="91"/>
        <v>861.01304756082686</v>
      </c>
      <c r="G242" s="93" t="str">
        <f t="shared" si="92"/>
        <v>US$ mn 2021</v>
      </c>
    </row>
    <row r="243" spans="1:7" s="93" customFormat="1" ht="15" customHeight="1">
      <c r="A243" s="90"/>
      <c r="B243" s="134"/>
      <c r="E243" s="93" t="str">
        <f xml:space="preserve"> Translate!$E$19 &amp;  ": " &amp; E230</f>
        <v>Total: Project loan cashflows net of state participation share, met by parent company: FID forward</v>
      </c>
      <c r="F243" s="158">
        <f t="shared" ca="1" si="91"/>
        <v>60.794447830754194</v>
      </c>
      <c r="G243" s="93" t="str">
        <f t="shared" si="92"/>
        <v>US$ mn 2021</v>
      </c>
    </row>
    <row r="244" spans="1:7" s="93" customFormat="1" ht="15" customHeight="1">
      <c r="A244" s="90"/>
      <c r="B244" s="134"/>
      <c r="E244" s="93" t="str">
        <f xml:space="preserve"> Translate!$E$19 &amp;  ": " &amp; E231</f>
        <v>Total: Investors (Parent company + lender): FID forward</v>
      </c>
      <c r="F244" s="158">
        <f t="shared" ca="1" si="91"/>
        <v>921.80749539158114</v>
      </c>
      <c r="G244" s="93" t="str">
        <f t="shared" si="92"/>
        <v>US$ mn 2021</v>
      </c>
    </row>
    <row r="245" spans="1:7" s="93" customFormat="1" ht="15" customHeight="1">
      <c r="A245" s="90"/>
      <c r="B245" s="134"/>
      <c r="E245" s="93" t="str">
        <f xml:space="preserve"> Translate!$E$19 &amp;  ": " &amp; E232</f>
        <v>Total: Project benefits: FID forward</v>
      </c>
      <c r="F245" s="93">
        <f t="shared" ca="1" si="91"/>
        <v>1934</v>
      </c>
      <c r="G245" s="93" t="str">
        <f t="shared" si="92"/>
        <v>US$ mn 2021</v>
      </c>
    </row>
    <row r="246" spans="1:7" s="93" customFormat="1" ht="15" customHeight="1">
      <c r="A246" s="90"/>
      <c r="B246" s="134"/>
    </row>
    <row r="247" spans="1:7" s="93" customFormat="1" ht="15" customHeight="1">
      <c r="A247" s="90"/>
      <c r="B247" s="134"/>
      <c r="E247" s="93" t="str">
        <f xml:space="preserve"> Translate!$E$444 &amp; ": " &amp; B223 &amp;  ", "  &amp; Translate!$E$19</f>
        <v>Check: Cashflows: FID forward, real, Total</v>
      </c>
      <c r="F247" s="61">
        <f ca="1" xml:space="preserve"> IF( ABS(F237 + F238 - SUM(F241:F243) ) &gt; CHK_TOL, 1, 0)</f>
        <v>0</v>
      </c>
      <c r="G247" s="1041" t="str">
        <f xml:space="preserve"> Translate!E$444</f>
        <v>Check</v>
      </c>
    </row>
    <row r="248" spans="1:7" s="93" customFormat="1" ht="15" customHeight="1">
      <c r="A248" s="90"/>
      <c r="B248" s="134"/>
    </row>
    <row r="249" spans="1:7" s="93" customFormat="1" ht="15" customHeight="1">
      <c r="A249" s="90"/>
      <c r="B249" s="156" t="str">
        <f>Translate!$E$17 &amp; ": " &amp; Inputs!F$84 &amp; ", " &amp; Inputs!F$85</f>
        <v>Government share metrics: FID forward, real</v>
      </c>
    </row>
    <row r="250" spans="1:7" s="93" customFormat="1" ht="15" customHeight="1">
      <c r="A250" s="90"/>
      <c r="B250" s="134"/>
      <c r="E250" s="305" t="str">
        <f>Translate!$E$435</f>
        <v>Average Effective Tax Rate (excl. participation)</v>
      </c>
      <c r="F250" s="65">
        <f ca="1" xml:space="preserve"> F239 / F237</f>
        <v>0.39882171095724817</v>
      </c>
      <c r="G250" s="305" t="str">
        <f xml:space="preserve"> "% " &amp; Inputs!F$85 &amp;", " &amp;  Inputs!F$84 &amp;", " &amp; Inputs!F$87</f>
        <v>% real, FID forward, undiscounted</v>
      </c>
    </row>
    <row r="251" spans="1:7" s="93" customFormat="1" ht="15" customHeight="1">
      <c r="A251" s="90"/>
      <c r="B251" s="134"/>
      <c r="E251" s="305" t="str">
        <f>Translate!$E$436</f>
        <v>Average Effective Tax Rate (incl. participation)</v>
      </c>
      <c r="F251" s="251">
        <f ca="1" xml:space="preserve"> F241 / F237</f>
        <v>0.39882171095724817</v>
      </c>
      <c r="G251" s="305" t="str">
        <f xml:space="preserve"> "% " &amp; Inputs!F$85 &amp;", " &amp;  Inputs!F$84 &amp;", " &amp; Inputs!F$87</f>
        <v>% real, FID forward, undiscounted</v>
      </c>
    </row>
    <row r="252" spans="1:7" s="93" customFormat="1" ht="15" customHeight="1">
      <c r="A252" s="90"/>
      <c r="B252" s="134"/>
      <c r="E252" s="93" t="str">
        <f>Translate!E$510</f>
        <v>Government share of project benefits</v>
      </c>
      <c r="F252" s="251">
        <f ca="1" xml:space="preserve"> F241 / F245</f>
        <v>0.31633531779132301</v>
      </c>
      <c r="G252" s="305" t="str">
        <f xml:space="preserve"> "% " &amp; Inputs!F$85 &amp;", " &amp;  Inputs!F$84 &amp;", " &amp; Inputs!F$87</f>
        <v>% real, FID forward, undiscounted</v>
      </c>
    </row>
    <row r="253" spans="1:7" s="93" customFormat="1" ht="15" customHeight="1">
      <c r="A253" s="90"/>
      <c r="B253" s="134"/>
    </row>
    <row r="254" spans="1:7" s="93" customFormat="1" ht="15" customHeight="1">
      <c r="A254" s="90"/>
      <c r="B254" s="156" t="str">
        <f xml:space="preserve"> Translate!E$13 &amp; ": " &amp; Inputs!F$84 &amp; ", " &amp; Inputs!F$85</f>
        <v>IRR: FID forward, real</v>
      </c>
    </row>
    <row r="255" spans="1:7" s="93" customFormat="1" ht="15" customHeight="1">
      <c r="A255" s="90"/>
      <c r="B255" s="134"/>
      <c r="E255" s="93" t="str">
        <f xml:space="preserve"> E224</f>
        <v>Project cashflow before decommissioning fund: FID forward</v>
      </c>
      <c r="F255" s="251">
        <f ca="1" xml:space="preserve"> IFERROR( IRR( K224:AX224), 0)</f>
        <v>0.32357722056597038</v>
      </c>
      <c r="G255" s="93" t="str">
        <f xml:space="preserve"> "% " &amp; Translate!E$18 &amp; " " &amp; G225</f>
        <v>% p.a. US$ mn 2021</v>
      </c>
    </row>
    <row r="256" spans="1:7" s="93" customFormat="1" ht="15" customHeight="1">
      <c r="A256" s="90"/>
      <c r="B256" s="134"/>
      <c r="E256" s="93" t="str">
        <f xml:space="preserve"> E229</f>
        <v>Net cashflow after fiscal regime: Parent company (excluding loan): FID forward</v>
      </c>
      <c r="F256" s="251">
        <f ca="1" xml:space="preserve"> IFERROR( IRR( K229:AX229), 0)</f>
        <v>0.50992349748940002</v>
      </c>
      <c r="G256" s="93" t="str">
        <f xml:space="preserve"> "% " &amp; Translate!E$18 &amp; " " &amp; G229</f>
        <v>% p.a. US$ mn 2021</v>
      </c>
    </row>
    <row r="257" spans="1:50" s="93" customFormat="1" ht="15" customHeight="1">
      <c r="A257" s="90"/>
      <c r="B257" s="134"/>
      <c r="E257" s="93" t="str">
        <f xml:space="preserve"> E230</f>
        <v>Project loan cashflows net of state participation share, met by parent company: FID forward</v>
      </c>
      <c r="F257" s="251">
        <f ca="1" xml:space="preserve"> IFERROR( IRR( K230:AX230), 0)</f>
        <v>5.4762649400369456E-2</v>
      </c>
      <c r="G257" s="93" t="str">
        <f xml:space="preserve"> "% " &amp; Translate!E$18 &amp; " " &amp; G230</f>
        <v>% p.a. US$ mn 2021</v>
      </c>
    </row>
    <row r="258" spans="1:50" s="93" customFormat="1" ht="15" customHeight="1">
      <c r="A258" s="90"/>
      <c r="B258" s="134"/>
      <c r="E258" s="93" t="str">
        <f xml:space="preserve"> E231</f>
        <v>Investors (Parent company + lender): FID forward</v>
      </c>
      <c r="F258" s="251">
        <f ca="1" xml:space="preserve"> IFERROR( IRR( K231:AX231), 0)</f>
        <v>0.24324745050459429</v>
      </c>
      <c r="G258" s="93" t="str">
        <f xml:space="preserve"> "% " &amp; Translate!E$18 &amp; " " &amp; G231</f>
        <v>% p.a. US$ mn 2021</v>
      </c>
    </row>
    <row r="259" spans="1:50" s="93" customFormat="1" ht="15" customHeight="1">
      <c r="A259" s="90"/>
      <c r="B259" s="134"/>
      <c r="E259" s="93" t="str">
        <f xml:space="preserve"> E227</f>
        <v>State participation cashflows including share of loan: FID forward</v>
      </c>
      <c r="F259" s="251">
        <f ca="1" xml:space="preserve"> IFERROR( IRR( K227:AX227), 0)</f>
        <v>0</v>
      </c>
      <c r="G259" s="93" t="str">
        <f xml:space="preserve"> "% " &amp; Translate!E$18 &amp; " " &amp; G227</f>
        <v>% p.a. US$ mn 2021</v>
      </c>
    </row>
    <row r="260" spans="1:50" s="93" customFormat="1" ht="15" customHeight="1">
      <c r="A260" s="90"/>
      <c r="B260" s="134"/>
    </row>
    <row r="261" spans="1:50" s="93" customFormat="1" ht="15" customHeight="1">
      <c r="A261" s="90"/>
      <c r="B261" s="156" t="str">
        <f xml:space="preserve">  Translate!$E$14 &amp; ": " &amp; Inputs!F$84 &amp; ", " &amp; Inputs!F$85 &amp; ", " &amp; Inputs!F$87</f>
        <v>Payback: FID forward, real, undiscounted</v>
      </c>
    </row>
    <row r="262" spans="1:50" s="93" customFormat="1" ht="15" customHeight="1">
      <c r="A262" s="90"/>
      <c r="B262" s="156"/>
      <c r="E262" s="93" t="str">
        <f t="shared" ref="E262:AC262" si="93" xml:space="preserve"> E224</f>
        <v>Project cashflow before decommissioning fund: FID forward</v>
      </c>
      <c r="F262" s="93">
        <f t="shared" si="93"/>
        <v>0</v>
      </c>
      <c r="G262" s="93" t="str">
        <f t="shared" si="93"/>
        <v>US$ mn 2021</v>
      </c>
      <c r="H262" s="93">
        <f t="shared" si="93"/>
        <v>0</v>
      </c>
      <c r="I262" s="93">
        <f t="shared" si="93"/>
        <v>0</v>
      </c>
      <c r="J262" s="93">
        <f t="shared" si="93"/>
        <v>0</v>
      </c>
      <c r="K262" s="93">
        <f t="shared" ca="1" si="93"/>
        <v>0</v>
      </c>
      <c r="L262" s="93">
        <f t="shared" ca="1" si="93"/>
        <v>0</v>
      </c>
      <c r="M262" s="93">
        <f t="shared" ca="1" si="93"/>
        <v>0</v>
      </c>
      <c r="N262" s="93">
        <f t="shared" ca="1" si="93"/>
        <v>-50</v>
      </c>
      <c r="O262" s="93">
        <f t="shared" ca="1" si="93"/>
        <v>-239.75000000000006</v>
      </c>
      <c r="P262" s="93">
        <f t="shared" ca="1" si="93"/>
        <v>-31.125000000000004</v>
      </c>
      <c r="Q262" s="93">
        <f t="shared" ca="1" si="93"/>
        <v>145.75</v>
      </c>
      <c r="R262" s="93">
        <f t="shared" ca="1" si="93"/>
        <v>145.74999999999997</v>
      </c>
      <c r="S262" s="93">
        <f t="shared" ca="1" si="93"/>
        <v>145.74999999999997</v>
      </c>
      <c r="T262" s="93">
        <f t="shared" ca="1" si="93"/>
        <v>145.75000000000003</v>
      </c>
      <c r="U262" s="93">
        <f t="shared" ca="1" si="93"/>
        <v>145.75</v>
      </c>
      <c r="V262" s="93">
        <f t="shared" ca="1" si="93"/>
        <v>145.74999999999997</v>
      </c>
      <c r="W262" s="93">
        <f t="shared" ca="1" si="93"/>
        <v>145.75</v>
      </c>
      <c r="X262" s="93">
        <f t="shared" ca="1" si="93"/>
        <v>145.74999999999997</v>
      </c>
      <c r="Y262" s="93">
        <f t="shared" ca="1" si="93"/>
        <v>145.75000000000003</v>
      </c>
      <c r="Z262" s="93">
        <f t="shared" ca="1" si="93"/>
        <v>145.75</v>
      </c>
      <c r="AA262" s="93">
        <f t="shared" ca="1" si="93"/>
        <v>120.12500000000001</v>
      </c>
      <c r="AB262" s="93">
        <f t="shared" ca="1" si="93"/>
        <v>102.5</v>
      </c>
      <c r="AC262" s="93">
        <f t="shared" ca="1" si="93"/>
        <v>76.875</v>
      </c>
      <c r="AD262" s="93">
        <f t="shared" ref="AD262:AX262" ca="1" si="94" xml:space="preserve"> AD224</f>
        <v>66.624999999999986</v>
      </c>
      <c r="AE262" s="93">
        <f t="shared" ca="1" si="94"/>
        <v>51.249999999999993</v>
      </c>
      <c r="AF262" s="93">
        <f t="shared" ca="1" si="94"/>
        <v>-20</v>
      </c>
      <c r="AG262" s="93">
        <f t="shared" ca="1" si="94"/>
        <v>0</v>
      </c>
      <c r="AH262" s="93">
        <f t="shared" ca="1" si="94"/>
        <v>0</v>
      </c>
      <c r="AI262" s="93">
        <f t="shared" ca="1" si="94"/>
        <v>0</v>
      </c>
      <c r="AJ262" s="93">
        <f t="shared" ca="1" si="94"/>
        <v>0</v>
      </c>
      <c r="AK262" s="93">
        <f t="shared" ca="1" si="94"/>
        <v>0</v>
      </c>
      <c r="AL262" s="93">
        <f t="shared" ca="1" si="94"/>
        <v>0</v>
      </c>
      <c r="AM262" s="93">
        <f t="shared" ca="1" si="94"/>
        <v>0</v>
      </c>
      <c r="AN262" s="93">
        <f t="shared" ca="1" si="94"/>
        <v>0</v>
      </c>
      <c r="AO262" s="93">
        <f t="shared" ca="1" si="94"/>
        <v>0</v>
      </c>
      <c r="AP262" s="93">
        <f t="shared" ca="1" si="94"/>
        <v>0</v>
      </c>
      <c r="AQ262" s="93">
        <f t="shared" ca="1" si="94"/>
        <v>0</v>
      </c>
      <c r="AR262" s="93">
        <f t="shared" ca="1" si="94"/>
        <v>0</v>
      </c>
      <c r="AS262" s="93">
        <f t="shared" ca="1" si="94"/>
        <v>0</v>
      </c>
      <c r="AT262" s="93">
        <f t="shared" ca="1" si="94"/>
        <v>0</v>
      </c>
      <c r="AU262" s="93">
        <f t="shared" ca="1" si="94"/>
        <v>0</v>
      </c>
      <c r="AV262" s="93">
        <f t="shared" ca="1" si="94"/>
        <v>0</v>
      </c>
      <c r="AW262" s="93">
        <f t="shared" ca="1" si="94"/>
        <v>0</v>
      </c>
      <c r="AX262" s="93">
        <f t="shared" ca="1" si="94"/>
        <v>0</v>
      </c>
    </row>
    <row r="263" spans="1:50" s="93" customFormat="1" ht="15" customHeight="1">
      <c r="A263" s="90"/>
      <c r="B263" s="156"/>
      <c r="E263" s="93" t="str">
        <f t="shared" ref="E263:AC263" si="95" xml:space="preserve"> E231</f>
        <v>Investors (Parent company + lender): FID forward</v>
      </c>
      <c r="F263" s="93">
        <f t="shared" si="95"/>
        <v>0</v>
      </c>
      <c r="G263" s="93" t="str">
        <f t="shared" si="95"/>
        <v>US$ mn 2021</v>
      </c>
      <c r="H263" s="93">
        <f t="shared" si="95"/>
        <v>0</v>
      </c>
      <c r="I263" s="93">
        <f t="shared" si="95"/>
        <v>0</v>
      </c>
      <c r="J263" s="93">
        <f t="shared" si="95"/>
        <v>0</v>
      </c>
      <c r="K263" s="93">
        <f t="shared" ca="1" si="95"/>
        <v>0</v>
      </c>
      <c r="L263" s="93">
        <f t="shared" ca="1" si="95"/>
        <v>0</v>
      </c>
      <c r="M263" s="93">
        <f t="shared" ca="1" si="95"/>
        <v>0</v>
      </c>
      <c r="N263" s="93">
        <f t="shared" ca="1" si="95"/>
        <v>-50</v>
      </c>
      <c r="O263" s="93">
        <f t="shared" ca="1" si="95"/>
        <v>-240.48750000000001</v>
      </c>
      <c r="P263" s="93">
        <f t="shared" ca="1" si="95"/>
        <v>-39.990625000000001</v>
      </c>
      <c r="Q263" s="93">
        <f t="shared" ca="1" si="95"/>
        <v>127.15434767156862</v>
      </c>
      <c r="R263" s="93">
        <f t="shared" ca="1" si="95"/>
        <v>127.03796340349861</v>
      </c>
      <c r="S263" s="93">
        <f t="shared" ca="1" si="95"/>
        <v>119.84814998684399</v>
      </c>
      <c r="T263" s="93">
        <f t="shared" ca="1" si="95"/>
        <v>99.450890653102931</v>
      </c>
      <c r="U263" s="93">
        <f t="shared" ca="1" si="95"/>
        <v>93.664672166907636</v>
      </c>
      <c r="V263" s="93">
        <f t="shared" ca="1" si="95"/>
        <v>87.19997621130544</v>
      </c>
      <c r="W263" s="93">
        <f t="shared" ca="1" si="95"/>
        <v>87.199976211305483</v>
      </c>
      <c r="X263" s="93">
        <f t="shared" ca="1" si="95"/>
        <v>85.430809214531905</v>
      </c>
      <c r="Y263" s="93">
        <f t="shared" ca="1" si="95"/>
        <v>85.465498763488256</v>
      </c>
      <c r="Z263" s="93">
        <f t="shared" ca="1" si="95"/>
        <v>85.499508125210156</v>
      </c>
      <c r="AA263" s="93">
        <f t="shared" ca="1" si="95"/>
        <v>70.122600636702245</v>
      </c>
      <c r="AB263" s="93">
        <f t="shared" ca="1" si="95"/>
        <v>61.541839373459155</v>
      </c>
      <c r="AC263" s="93">
        <f t="shared" ca="1" si="95"/>
        <v>46.112779844006937</v>
      </c>
      <c r="AD263" s="93">
        <f t="shared" ref="AD263:AX263" ca="1" si="96" xml:space="preserve"> AD231</f>
        <v>43.609021308466701</v>
      </c>
      <c r="AE263" s="93">
        <f t="shared" ca="1" si="96"/>
        <v>32.947586821183165</v>
      </c>
      <c r="AF263" s="93">
        <f t="shared" ca="1" si="96"/>
        <v>0</v>
      </c>
      <c r="AG263" s="93">
        <f t="shared" ca="1" si="96"/>
        <v>0</v>
      </c>
      <c r="AH263" s="93">
        <f t="shared" ca="1" si="96"/>
        <v>0</v>
      </c>
      <c r="AI263" s="93">
        <f t="shared" ca="1" si="96"/>
        <v>0</v>
      </c>
      <c r="AJ263" s="93">
        <f t="shared" ca="1" si="96"/>
        <v>0</v>
      </c>
      <c r="AK263" s="93">
        <f t="shared" ca="1" si="96"/>
        <v>0</v>
      </c>
      <c r="AL263" s="93">
        <f t="shared" ca="1" si="96"/>
        <v>0</v>
      </c>
      <c r="AM263" s="93">
        <f t="shared" ca="1" si="96"/>
        <v>0</v>
      </c>
      <c r="AN263" s="93">
        <f t="shared" ca="1" si="96"/>
        <v>0</v>
      </c>
      <c r="AO263" s="93">
        <f t="shared" ca="1" si="96"/>
        <v>0</v>
      </c>
      <c r="AP263" s="93">
        <f t="shared" ca="1" si="96"/>
        <v>0</v>
      </c>
      <c r="AQ263" s="93">
        <f t="shared" ca="1" si="96"/>
        <v>0</v>
      </c>
      <c r="AR263" s="93">
        <f t="shared" ca="1" si="96"/>
        <v>0</v>
      </c>
      <c r="AS263" s="93">
        <f t="shared" ca="1" si="96"/>
        <v>0</v>
      </c>
      <c r="AT263" s="93">
        <f t="shared" ca="1" si="96"/>
        <v>0</v>
      </c>
      <c r="AU263" s="93">
        <f t="shared" ca="1" si="96"/>
        <v>0</v>
      </c>
      <c r="AV263" s="93">
        <f t="shared" ca="1" si="96"/>
        <v>0</v>
      </c>
      <c r="AW263" s="93">
        <f t="shared" ca="1" si="96"/>
        <v>0</v>
      </c>
      <c r="AX263" s="93">
        <f t="shared" ca="1" si="96"/>
        <v>0</v>
      </c>
    </row>
    <row r="264" spans="1:50" s="93" customFormat="1" ht="15" customHeight="1">
      <c r="A264" s="90"/>
      <c r="B264" s="134"/>
      <c r="E264" s="93" t="str">
        <f xml:space="preserve"> E262 &amp; " Cum"</f>
        <v>Project cashflow before decommissioning fund: FID forward Cum</v>
      </c>
      <c r="G264" s="93" t="str">
        <f xml:space="preserve"> G225</f>
        <v>US$ mn 2021</v>
      </c>
      <c r="J264" s="207"/>
      <c r="K264" s="93">
        <f t="shared" ref="K264:AC264" ca="1" si="97" xml:space="preserve"> J264 + K262</f>
        <v>0</v>
      </c>
      <c r="L264" s="93">
        <f t="shared" ca="1" si="97"/>
        <v>0</v>
      </c>
      <c r="M264" s="93">
        <f t="shared" ca="1" si="97"/>
        <v>0</v>
      </c>
      <c r="N264" s="93">
        <f t="shared" ca="1" si="97"/>
        <v>-50</v>
      </c>
      <c r="O264" s="93">
        <f t="shared" ca="1" si="97"/>
        <v>-289.75000000000006</v>
      </c>
      <c r="P264" s="93">
        <f t="shared" ca="1" si="97"/>
        <v>-320.87500000000006</v>
      </c>
      <c r="Q264" s="93">
        <f t="shared" ca="1" si="97"/>
        <v>-175.12500000000006</v>
      </c>
      <c r="R264" s="93">
        <f t="shared" ca="1" si="97"/>
        <v>-29.375000000000085</v>
      </c>
      <c r="S264" s="93">
        <f t="shared" ca="1" si="97"/>
        <v>116.37499999999989</v>
      </c>
      <c r="T264" s="93">
        <f t="shared" ca="1" si="97"/>
        <v>262.12499999999989</v>
      </c>
      <c r="U264" s="93">
        <f t="shared" ca="1" si="97"/>
        <v>407.87499999999989</v>
      </c>
      <c r="V264" s="93">
        <f t="shared" ca="1" si="97"/>
        <v>553.62499999999989</v>
      </c>
      <c r="W264" s="93">
        <f t="shared" ca="1" si="97"/>
        <v>699.37499999999989</v>
      </c>
      <c r="X264" s="93">
        <f t="shared" ca="1" si="97"/>
        <v>845.12499999999989</v>
      </c>
      <c r="Y264" s="93">
        <f t="shared" ca="1" si="97"/>
        <v>990.87499999999989</v>
      </c>
      <c r="Z264" s="93">
        <f t="shared" ca="1" si="97"/>
        <v>1136.625</v>
      </c>
      <c r="AA264" s="93">
        <f t="shared" ca="1" si="97"/>
        <v>1256.75</v>
      </c>
      <c r="AB264" s="93">
        <f t="shared" ca="1" si="97"/>
        <v>1359.25</v>
      </c>
      <c r="AC264" s="93">
        <f t="shared" ca="1" si="97"/>
        <v>1436.125</v>
      </c>
      <c r="AD264" s="93">
        <f t="shared" ref="AD264:AX264" ca="1" si="98" xml:space="preserve"> AC264 + AD262</f>
        <v>1502.75</v>
      </c>
      <c r="AE264" s="93">
        <f t="shared" ca="1" si="98"/>
        <v>1554</v>
      </c>
      <c r="AF264" s="93">
        <f t="shared" ca="1" si="98"/>
        <v>1534</v>
      </c>
      <c r="AG264" s="93">
        <f t="shared" ca="1" si="98"/>
        <v>1534</v>
      </c>
      <c r="AH264" s="93">
        <f t="shared" ca="1" si="98"/>
        <v>1534</v>
      </c>
      <c r="AI264" s="93">
        <f t="shared" ca="1" si="98"/>
        <v>1534</v>
      </c>
      <c r="AJ264" s="93">
        <f t="shared" ca="1" si="98"/>
        <v>1534</v>
      </c>
      <c r="AK264" s="93">
        <f t="shared" ca="1" si="98"/>
        <v>1534</v>
      </c>
      <c r="AL264" s="93">
        <f t="shared" ca="1" si="98"/>
        <v>1534</v>
      </c>
      <c r="AM264" s="93">
        <f t="shared" ca="1" si="98"/>
        <v>1534</v>
      </c>
      <c r="AN264" s="93">
        <f t="shared" ca="1" si="98"/>
        <v>1534</v>
      </c>
      <c r="AO264" s="93">
        <f t="shared" ca="1" si="98"/>
        <v>1534</v>
      </c>
      <c r="AP264" s="93">
        <f t="shared" ca="1" si="98"/>
        <v>1534</v>
      </c>
      <c r="AQ264" s="93">
        <f t="shared" ca="1" si="98"/>
        <v>1534</v>
      </c>
      <c r="AR264" s="93">
        <f t="shared" ca="1" si="98"/>
        <v>1534</v>
      </c>
      <c r="AS264" s="93">
        <f t="shared" ca="1" si="98"/>
        <v>1534</v>
      </c>
      <c r="AT264" s="93">
        <f t="shared" ca="1" si="98"/>
        <v>1534</v>
      </c>
      <c r="AU264" s="93">
        <f t="shared" ca="1" si="98"/>
        <v>1534</v>
      </c>
      <c r="AV264" s="93">
        <f t="shared" ca="1" si="98"/>
        <v>1534</v>
      </c>
      <c r="AW264" s="93">
        <f t="shared" ca="1" si="98"/>
        <v>1534</v>
      </c>
      <c r="AX264" s="93">
        <f t="shared" ca="1" si="98"/>
        <v>1534</v>
      </c>
    </row>
    <row r="265" spans="1:50" s="93" customFormat="1" ht="15" customHeight="1">
      <c r="A265" s="90"/>
      <c r="B265" s="134"/>
      <c r="E265" s="93" t="str">
        <f xml:space="preserve"> E263 &amp; " Cum"</f>
        <v>Investors (Parent company + lender): FID forward Cum</v>
      </c>
      <c r="G265" s="93" t="str">
        <f xml:space="preserve"> G229</f>
        <v>US$ mn 2021</v>
      </c>
      <c r="J265" s="207"/>
      <c r="K265" s="93">
        <f t="shared" ref="K265:AC265" ca="1" si="99" xml:space="preserve"> J265 + K263</f>
        <v>0</v>
      </c>
      <c r="L265" s="93">
        <f t="shared" ca="1" si="99"/>
        <v>0</v>
      </c>
      <c r="M265" s="93">
        <f t="shared" ca="1" si="99"/>
        <v>0</v>
      </c>
      <c r="N265" s="93">
        <f t="shared" ca="1" si="99"/>
        <v>-50</v>
      </c>
      <c r="O265" s="93">
        <f t="shared" ca="1" si="99"/>
        <v>-290.48750000000001</v>
      </c>
      <c r="P265" s="93">
        <f t="shared" ca="1" si="99"/>
        <v>-330.47812500000003</v>
      </c>
      <c r="Q265" s="93">
        <f t="shared" ca="1" si="99"/>
        <v>-203.32377732843142</v>
      </c>
      <c r="R265" s="93">
        <f t="shared" ca="1" si="99"/>
        <v>-76.28581392493281</v>
      </c>
      <c r="S265" s="93">
        <f t="shared" ca="1" si="99"/>
        <v>43.562336061911182</v>
      </c>
      <c r="T265" s="93">
        <f t="shared" ca="1" si="99"/>
        <v>143.01322671501413</v>
      </c>
      <c r="U265" s="93">
        <f t="shared" ca="1" si="99"/>
        <v>236.67789888192175</v>
      </c>
      <c r="V265" s="93">
        <f t="shared" ca="1" si="99"/>
        <v>323.8778750932272</v>
      </c>
      <c r="W265" s="93">
        <f t="shared" ca="1" si="99"/>
        <v>411.07785130453271</v>
      </c>
      <c r="X265" s="93">
        <f t="shared" ca="1" si="99"/>
        <v>496.50866051906462</v>
      </c>
      <c r="Y265" s="93">
        <f t="shared" ca="1" si="99"/>
        <v>581.97415928255282</v>
      </c>
      <c r="Z265" s="93">
        <f t="shared" ca="1" si="99"/>
        <v>667.47366740776295</v>
      </c>
      <c r="AA265" s="93">
        <f t="shared" ca="1" si="99"/>
        <v>737.59626804446521</v>
      </c>
      <c r="AB265" s="93">
        <f t="shared" ca="1" si="99"/>
        <v>799.1381074179244</v>
      </c>
      <c r="AC265" s="93">
        <f t="shared" ca="1" si="99"/>
        <v>845.25088726193133</v>
      </c>
      <c r="AD265" s="93">
        <f t="shared" ref="AD265:AX265" ca="1" si="100" xml:space="preserve"> AC265 + AD263</f>
        <v>888.85990857039803</v>
      </c>
      <c r="AE265" s="93">
        <f t="shared" ca="1" si="100"/>
        <v>921.80749539158114</v>
      </c>
      <c r="AF265" s="93">
        <f t="shared" ca="1" si="100"/>
        <v>921.80749539158114</v>
      </c>
      <c r="AG265" s="93">
        <f t="shared" ca="1" si="100"/>
        <v>921.80749539158114</v>
      </c>
      <c r="AH265" s="93">
        <f t="shared" ca="1" si="100"/>
        <v>921.80749539158114</v>
      </c>
      <c r="AI265" s="93">
        <f t="shared" ca="1" si="100"/>
        <v>921.80749539158114</v>
      </c>
      <c r="AJ265" s="93">
        <f t="shared" ca="1" si="100"/>
        <v>921.80749539158114</v>
      </c>
      <c r="AK265" s="93">
        <f t="shared" ca="1" si="100"/>
        <v>921.80749539158114</v>
      </c>
      <c r="AL265" s="93">
        <f t="shared" ca="1" si="100"/>
        <v>921.80749539158114</v>
      </c>
      <c r="AM265" s="93">
        <f t="shared" ca="1" si="100"/>
        <v>921.80749539158114</v>
      </c>
      <c r="AN265" s="93">
        <f t="shared" ca="1" si="100"/>
        <v>921.80749539158114</v>
      </c>
      <c r="AO265" s="93">
        <f t="shared" ca="1" si="100"/>
        <v>921.80749539158114</v>
      </c>
      <c r="AP265" s="93">
        <f t="shared" ca="1" si="100"/>
        <v>921.80749539158114</v>
      </c>
      <c r="AQ265" s="93">
        <f t="shared" ca="1" si="100"/>
        <v>921.80749539158114</v>
      </c>
      <c r="AR265" s="93">
        <f t="shared" ca="1" si="100"/>
        <v>921.80749539158114</v>
      </c>
      <c r="AS265" s="93">
        <f t="shared" ca="1" si="100"/>
        <v>921.80749539158114</v>
      </c>
      <c r="AT265" s="93">
        <f t="shared" ca="1" si="100"/>
        <v>921.80749539158114</v>
      </c>
      <c r="AU265" s="93">
        <f t="shared" ca="1" si="100"/>
        <v>921.80749539158114</v>
      </c>
      <c r="AV265" s="93">
        <f t="shared" ca="1" si="100"/>
        <v>921.80749539158114</v>
      </c>
      <c r="AW265" s="93">
        <f t="shared" ca="1" si="100"/>
        <v>921.80749539158114</v>
      </c>
      <c r="AX265" s="93">
        <f t="shared" ca="1" si="100"/>
        <v>921.80749539158114</v>
      </c>
    </row>
    <row r="266" spans="1:50" s="93" customFormat="1" ht="15" customHeight="1">
      <c r="A266" s="90"/>
      <c r="B266" s="156"/>
    </row>
    <row r="267" spans="1:50" s="204" customFormat="1" ht="15" customHeight="1">
      <c r="B267" s="205"/>
      <c r="E267" s="204" t="str">
        <f xml:space="preserve"> ProjectCashflows!E$193</f>
        <v>Cumulative production years</v>
      </c>
      <c r="F267" s="204">
        <f xml:space="preserve"> ProjectCashflows!F$193</f>
        <v>0</v>
      </c>
      <c r="G267" s="204" t="str">
        <f xml:space="preserve"> ProjectCashflows!G$193</f>
        <v>Years</v>
      </c>
      <c r="H267" s="204">
        <f xml:space="preserve"> ProjectCashflows!H$193</f>
        <v>0</v>
      </c>
      <c r="I267" s="204">
        <f xml:space="preserve"> ProjectCashflows!I$193</f>
        <v>0</v>
      </c>
      <c r="J267" s="204">
        <f xml:space="preserve"> ProjectCashflows!J$193</f>
        <v>0</v>
      </c>
      <c r="K267" s="204">
        <f ca="1" xml:space="preserve"> ProjectCashflows!K$193</f>
        <v>0</v>
      </c>
      <c r="L267" s="204">
        <f ca="1" xml:space="preserve"> ProjectCashflows!L$193</f>
        <v>0</v>
      </c>
      <c r="M267" s="204">
        <f ca="1" xml:space="preserve"> ProjectCashflows!M$193</f>
        <v>0</v>
      </c>
      <c r="N267" s="204">
        <f ca="1" xml:space="preserve"> ProjectCashflows!N$193</f>
        <v>0</v>
      </c>
      <c r="O267" s="204">
        <f ca="1" xml:space="preserve"> ProjectCashflows!O$193</f>
        <v>1</v>
      </c>
      <c r="P267" s="204">
        <f ca="1" xml:space="preserve"> ProjectCashflows!P$193</f>
        <v>2</v>
      </c>
      <c r="Q267" s="204">
        <f ca="1" xml:space="preserve"> ProjectCashflows!Q$193</f>
        <v>3</v>
      </c>
      <c r="R267" s="204">
        <f ca="1" xml:space="preserve"> ProjectCashflows!R$193</f>
        <v>4</v>
      </c>
      <c r="S267" s="204">
        <f ca="1" xml:space="preserve"> ProjectCashflows!S$193</f>
        <v>5</v>
      </c>
      <c r="T267" s="204">
        <f ca="1" xml:space="preserve"> ProjectCashflows!T$193</f>
        <v>6</v>
      </c>
      <c r="U267" s="204">
        <f ca="1" xml:space="preserve"> ProjectCashflows!U$193</f>
        <v>7</v>
      </c>
      <c r="V267" s="204">
        <f ca="1" xml:space="preserve"> ProjectCashflows!V$193</f>
        <v>8</v>
      </c>
      <c r="W267" s="204">
        <f ca="1" xml:space="preserve"> ProjectCashflows!W$193</f>
        <v>9</v>
      </c>
      <c r="X267" s="204">
        <f ca="1" xml:space="preserve"> ProjectCashflows!X$193</f>
        <v>10</v>
      </c>
      <c r="Y267" s="204">
        <f ca="1" xml:space="preserve"> ProjectCashflows!Y$193</f>
        <v>11</v>
      </c>
      <c r="Z267" s="204">
        <f ca="1" xml:space="preserve"> ProjectCashflows!Z$193</f>
        <v>12</v>
      </c>
      <c r="AA267" s="204">
        <f ca="1" xml:space="preserve"> ProjectCashflows!AA$193</f>
        <v>13</v>
      </c>
      <c r="AB267" s="204">
        <f ca="1" xml:space="preserve"> ProjectCashflows!AB$193</f>
        <v>14</v>
      </c>
      <c r="AC267" s="204">
        <f ca="1" xml:space="preserve"> ProjectCashflows!AC$193</f>
        <v>15</v>
      </c>
      <c r="AD267" s="204">
        <f ca="1" xml:space="preserve"> ProjectCashflows!AD$193</f>
        <v>16</v>
      </c>
      <c r="AE267" s="204">
        <f ca="1" xml:space="preserve"> ProjectCashflows!AE$193</f>
        <v>17</v>
      </c>
      <c r="AF267" s="204">
        <f ca="1" xml:space="preserve"> ProjectCashflows!AF$193</f>
        <v>0</v>
      </c>
      <c r="AG267" s="204">
        <f ca="1" xml:space="preserve"> ProjectCashflows!AG$193</f>
        <v>0</v>
      </c>
      <c r="AH267" s="204">
        <f ca="1" xml:space="preserve"> ProjectCashflows!AH$193</f>
        <v>0</v>
      </c>
      <c r="AI267" s="204">
        <f ca="1" xml:space="preserve"> ProjectCashflows!AI$193</f>
        <v>0</v>
      </c>
      <c r="AJ267" s="204">
        <f ca="1" xml:space="preserve"> ProjectCashflows!AJ$193</f>
        <v>0</v>
      </c>
      <c r="AK267" s="204">
        <f ca="1" xml:space="preserve"> ProjectCashflows!AK$193</f>
        <v>0</v>
      </c>
      <c r="AL267" s="204">
        <f ca="1" xml:space="preserve"> ProjectCashflows!AL$193</f>
        <v>0</v>
      </c>
      <c r="AM267" s="204">
        <f ca="1" xml:space="preserve"> ProjectCashflows!AM$193</f>
        <v>0</v>
      </c>
      <c r="AN267" s="204">
        <f ca="1" xml:space="preserve"> ProjectCashflows!AN$193</f>
        <v>0</v>
      </c>
      <c r="AO267" s="204">
        <f ca="1" xml:space="preserve"> ProjectCashflows!AO$193</f>
        <v>0</v>
      </c>
      <c r="AP267" s="204">
        <f ca="1" xml:space="preserve"> ProjectCashflows!AP$193</f>
        <v>0</v>
      </c>
      <c r="AQ267" s="204">
        <f ca="1" xml:space="preserve"> ProjectCashflows!AQ$193</f>
        <v>0</v>
      </c>
      <c r="AR267" s="204">
        <f ca="1" xml:space="preserve"> ProjectCashflows!AR$193</f>
        <v>0</v>
      </c>
      <c r="AS267" s="204">
        <f ca="1" xml:space="preserve"> ProjectCashflows!AS$193</f>
        <v>0</v>
      </c>
      <c r="AT267" s="204">
        <f ca="1" xml:space="preserve"> ProjectCashflows!AT$193</f>
        <v>0</v>
      </c>
      <c r="AU267" s="204">
        <f ca="1" xml:space="preserve"> ProjectCashflows!AU$193</f>
        <v>0</v>
      </c>
      <c r="AV267" s="204">
        <f ca="1" xml:space="preserve"> ProjectCashflows!AV$193</f>
        <v>0</v>
      </c>
      <c r="AW267" s="204">
        <f ca="1" xml:space="preserve"> ProjectCashflows!AW$193</f>
        <v>0</v>
      </c>
      <c r="AX267" s="204">
        <f ca="1" xml:space="preserve"> ProjectCashflows!AX$193</f>
        <v>0</v>
      </c>
    </row>
    <row r="268" spans="1:50" s="93" customFormat="1" ht="15" customHeight="1">
      <c r="A268" s="90"/>
      <c r="B268" s="134"/>
      <c r="E268" s="93" t="str">
        <f xml:space="preserve"> Translate!E$14 &amp; ": " &amp; E262</f>
        <v>Payback: Project cashflow before decommissioning fund: FID forward</v>
      </c>
      <c r="G268" s="305" t="str">
        <f xml:space="preserve"> Translate!E$358</f>
        <v>Years</v>
      </c>
      <c r="I268" s="208"/>
      <c r="K268" s="208">
        <f t="shared" ref="K268:AX268" ca="1" si="101" xml:space="preserve"> IFERROR( AND( K264 &gt; 0, J264 &lt; 0 ) * (ABS(J264 / K262) + J267), 0)</f>
        <v>0</v>
      </c>
      <c r="L268" s="208">
        <f t="shared" ca="1" si="101"/>
        <v>0</v>
      </c>
      <c r="M268" s="208">
        <f t="shared" ca="1" si="101"/>
        <v>0</v>
      </c>
      <c r="N268" s="208">
        <f t="shared" ca="1" si="101"/>
        <v>0</v>
      </c>
      <c r="O268" s="208">
        <f t="shared" ca="1" si="101"/>
        <v>0</v>
      </c>
      <c r="P268" s="208">
        <f t="shared" ca="1" si="101"/>
        <v>0</v>
      </c>
      <c r="Q268" s="208">
        <f t="shared" ca="1" si="101"/>
        <v>0</v>
      </c>
      <c r="R268" s="208">
        <f t="shared" ca="1" si="101"/>
        <v>0</v>
      </c>
      <c r="S268" s="208">
        <f t="shared" ca="1" si="101"/>
        <v>4.2015437392795887</v>
      </c>
      <c r="T268" s="208">
        <f t="shared" ca="1" si="101"/>
        <v>0</v>
      </c>
      <c r="U268" s="208">
        <f t="shared" ca="1" si="101"/>
        <v>0</v>
      </c>
      <c r="V268" s="208">
        <f t="shared" ca="1" si="101"/>
        <v>0</v>
      </c>
      <c r="W268" s="208">
        <f t="shared" ca="1" si="101"/>
        <v>0</v>
      </c>
      <c r="X268" s="208">
        <f t="shared" ca="1" si="101"/>
        <v>0</v>
      </c>
      <c r="Y268" s="208">
        <f t="shared" ca="1" si="101"/>
        <v>0</v>
      </c>
      <c r="Z268" s="208">
        <f t="shared" ca="1" si="101"/>
        <v>0</v>
      </c>
      <c r="AA268" s="208">
        <f t="shared" ca="1" si="101"/>
        <v>0</v>
      </c>
      <c r="AB268" s="208">
        <f t="shared" ca="1" si="101"/>
        <v>0</v>
      </c>
      <c r="AC268" s="208">
        <f t="shared" ca="1" si="101"/>
        <v>0</v>
      </c>
      <c r="AD268" s="208">
        <f t="shared" ca="1" si="101"/>
        <v>0</v>
      </c>
      <c r="AE268" s="208">
        <f t="shared" ca="1" si="101"/>
        <v>0</v>
      </c>
      <c r="AF268" s="208">
        <f t="shared" ca="1" si="101"/>
        <v>0</v>
      </c>
      <c r="AG268" s="208">
        <f t="shared" ca="1" si="101"/>
        <v>0</v>
      </c>
      <c r="AH268" s="208">
        <f t="shared" ca="1" si="101"/>
        <v>0</v>
      </c>
      <c r="AI268" s="208">
        <f t="shared" ca="1" si="101"/>
        <v>0</v>
      </c>
      <c r="AJ268" s="208">
        <f t="shared" ca="1" si="101"/>
        <v>0</v>
      </c>
      <c r="AK268" s="208">
        <f t="shared" ca="1" si="101"/>
        <v>0</v>
      </c>
      <c r="AL268" s="208">
        <f t="shared" ca="1" si="101"/>
        <v>0</v>
      </c>
      <c r="AM268" s="208">
        <f t="shared" ca="1" si="101"/>
        <v>0</v>
      </c>
      <c r="AN268" s="208">
        <f t="shared" ca="1" si="101"/>
        <v>0</v>
      </c>
      <c r="AO268" s="208">
        <f t="shared" ca="1" si="101"/>
        <v>0</v>
      </c>
      <c r="AP268" s="208">
        <f t="shared" ca="1" si="101"/>
        <v>0</v>
      </c>
      <c r="AQ268" s="208">
        <f t="shared" ca="1" si="101"/>
        <v>0</v>
      </c>
      <c r="AR268" s="208">
        <f t="shared" ca="1" si="101"/>
        <v>0</v>
      </c>
      <c r="AS268" s="208">
        <f t="shared" ca="1" si="101"/>
        <v>0</v>
      </c>
      <c r="AT268" s="208">
        <f t="shared" ca="1" si="101"/>
        <v>0</v>
      </c>
      <c r="AU268" s="208">
        <f t="shared" ca="1" si="101"/>
        <v>0</v>
      </c>
      <c r="AV268" s="208">
        <f t="shared" ca="1" si="101"/>
        <v>0</v>
      </c>
      <c r="AW268" s="208">
        <f t="shared" ca="1" si="101"/>
        <v>0</v>
      </c>
      <c r="AX268" s="208">
        <f t="shared" ca="1" si="101"/>
        <v>0</v>
      </c>
    </row>
    <row r="269" spans="1:50" s="93" customFormat="1" ht="15" customHeight="1">
      <c r="A269" s="90"/>
      <c r="B269" s="134"/>
      <c r="E269" s="93" t="str">
        <f xml:space="preserve"> Translate!E$14 &amp; ": " &amp; E263</f>
        <v>Payback: Investors (Parent company + lender): FID forward</v>
      </c>
      <c r="G269" s="305" t="str">
        <f xml:space="preserve"> Translate!E$358</f>
        <v>Years</v>
      </c>
      <c r="I269" s="208"/>
      <c r="K269" s="208">
        <f t="shared" ref="K269:AX269" ca="1" si="102" xml:space="preserve"> IFERROR( AND( K265 &gt; 0, J265 &lt; 0 ) * (ABS(J265 / K263) + J267), 0)</f>
        <v>0</v>
      </c>
      <c r="L269" s="208">
        <f t="shared" ca="1" si="102"/>
        <v>0</v>
      </c>
      <c r="M269" s="208">
        <f t="shared" ca="1" si="102"/>
        <v>0</v>
      </c>
      <c r="N269" s="208">
        <f t="shared" ca="1" si="102"/>
        <v>0</v>
      </c>
      <c r="O269" s="208">
        <f t="shared" ca="1" si="102"/>
        <v>0</v>
      </c>
      <c r="P269" s="208">
        <f t="shared" ca="1" si="102"/>
        <v>0</v>
      </c>
      <c r="Q269" s="208">
        <f t="shared" ca="1" si="102"/>
        <v>0</v>
      </c>
      <c r="R269" s="208">
        <f t="shared" ca="1" si="102"/>
        <v>0</v>
      </c>
      <c r="S269" s="208">
        <f t="shared" ca="1" si="102"/>
        <v>4.6365205798613234</v>
      </c>
      <c r="T269" s="208">
        <f t="shared" ca="1" si="102"/>
        <v>0</v>
      </c>
      <c r="U269" s="208">
        <f t="shared" ca="1" si="102"/>
        <v>0</v>
      </c>
      <c r="V269" s="208">
        <f t="shared" ca="1" si="102"/>
        <v>0</v>
      </c>
      <c r="W269" s="208">
        <f t="shared" ca="1" si="102"/>
        <v>0</v>
      </c>
      <c r="X269" s="208">
        <f t="shared" ca="1" si="102"/>
        <v>0</v>
      </c>
      <c r="Y269" s="208">
        <f t="shared" ca="1" si="102"/>
        <v>0</v>
      </c>
      <c r="Z269" s="208">
        <f t="shared" ca="1" si="102"/>
        <v>0</v>
      </c>
      <c r="AA269" s="208">
        <f t="shared" ca="1" si="102"/>
        <v>0</v>
      </c>
      <c r="AB269" s="208">
        <f t="shared" ca="1" si="102"/>
        <v>0</v>
      </c>
      <c r="AC269" s="208">
        <f t="shared" ca="1" si="102"/>
        <v>0</v>
      </c>
      <c r="AD269" s="208">
        <f t="shared" ca="1" si="102"/>
        <v>0</v>
      </c>
      <c r="AE269" s="208">
        <f t="shared" ca="1" si="102"/>
        <v>0</v>
      </c>
      <c r="AF269" s="208">
        <f t="shared" ca="1" si="102"/>
        <v>0</v>
      </c>
      <c r="AG269" s="208">
        <f t="shared" ca="1" si="102"/>
        <v>0</v>
      </c>
      <c r="AH269" s="208">
        <f t="shared" ca="1" si="102"/>
        <v>0</v>
      </c>
      <c r="AI269" s="208">
        <f t="shared" ca="1" si="102"/>
        <v>0</v>
      </c>
      <c r="AJ269" s="208">
        <f t="shared" ca="1" si="102"/>
        <v>0</v>
      </c>
      <c r="AK269" s="208">
        <f t="shared" ca="1" si="102"/>
        <v>0</v>
      </c>
      <c r="AL269" s="208">
        <f t="shared" ca="1" si="102"/>
        <v>0</v>
      </c>
      <c r="AM269" s="208">
        <f t="shared" ca="1" si="102"/>
        <v>0</v>
      </c>
      <c r="AN269" s="208">
        <f t="shared" ca="1" si="102"/>
        <v>0</v>
      </c>
      <c r="AO269" s="208">
        <f t="shared" ca="1" si="102"/>
        <v>0</v>
      </c>
      <c r="AP269" s="208">
        <f t="shared" ca="1" si="102"/>
        <v>0</v>
      </c>
      <c r="AQ269" s="208">
        <f t="shared" ca="1" si="102"/>
        <v>0</v>
      </c>
      <c r="AR269" s="208">
        <f t="shared" ca="1" si="102"/>
        <v>0</v>
      </c>
      <c r="AS269" s="208">
        <f t="shared" ca="1" si="102"/>
        <v>0</v>
      </c>
      <c r="AT269" s="208">
        <f t="shared" ca="1" si="102"/>
        <v>0</v>
      </c>
      <c r="AU269" s="208">
        <f t="shared" ca="1" si="102"/>
        <v>0</v>
      </c>
      <c r="AV269" s="208">
        <f t="shared" ca="1" si="102"/>
        <v>0</v>
      </c>
      <c r="AW269" s="208">
        <f t="shared" ca="1" si="102"/>
        <v>0</v>
      </c>
      <c r="AX269" s="208">
        <f t="shared" ca="1" si="102"/>
        <v>0</v>
      </c>
    </row>
    <row r="270" spans="1:50" s="93" customFormat="1" ht="15" customHeight="1">
      <c r="A270" s="90"/>
      <c r="B270" s="134"/>
    </row>
    <row r="271" spans="1:50" s="93" customFormat="1" ht="15" customHeight="1">
      <c r="A271" s="90"/>
      <c r="B271" s="134"/>
      <c r="E271" s="93" t="str">
        <f xml:space="preserve"> E268</f>
        <v>Payback: Project cashflow before decommissioning fund: FID forward</v>
      </c>
      <c r="F271" s="208">
        <f ca="1" xml:space="preserve"> SUM(K268:AX268)</f>
        <v>4.2015437392795887</v>
      </c>
      <c r="G271" s="346" t="str">
        <f xml:space="preserve"> Translate!E$360</f>
        <v>Production year</v>
      </c>
    </row>
    <row r="272" spans="1:50" s="93" customFormat="1" ht="15" customHeight="1">
      <c r="A272" s="90"/>
      <c r="B272" s="134"/>
      <c r="E272" s="93" t="str">
        <f xml:space="preserve"> E269</f>
        <v>Payback: Investors (Parent company + lender): FID forward</v>
      </c>
      <c r="F272" s="208">
        <f ca="1" xml:space="preserve"> SUM(K269:AX269)</f>
        <v>4.6365205798613234</v>
      </c>
      <c r="G272" s="346" t="str">
        <f xml:space="preserve"> Translate!E$360</f>
        <v>Production year</v>
      </c>
    </row>
    <row r="273" spans="1:50" s="41" customFormat="1" ht="15" customHeight="1">
      <c r="D273" s="157"/>
      <c r="E273" s="45"/>
      <c r="G273" s="45"/>
      <c r="H273" s="4"/>
      <c r="O273" s="157"/>
      <c r="P273" s="157"/>
      <c r="Q273" s="157"/>
      <c r="R273" s="157"/>
      <c r="S273" s="157"/>
      <c r="T273" s="157"/>
      <c r="U273" s="157"/>
      <c r="V273" s="157"/>
      <c r="W273" s="157"/>
      <c r="X273" s="157"/>
      <c r="Y273" s="157"/>
    </row>
    <row r="274" spans="1:50" s="93" customFormat="1" ht="15" customHeight="1">
      <c r="A274" s="90"/>
      <c r="B274" s="91" t="str">
        <f>Translate!$E$16 &amp; ": " &amp; Inputs!F$84 &amp; ", " &amp; Inputs!F$85 &amp; ", " &amp; Inputs!F$59</f>
        <v>Project participants: FID forward, real, NPV8</v>
      </c>
    </row>
    <row r="275" spans="1:50" s="93" customFormat="1" ht="15" customHeight="1">
      <c r="A275" s="90"/>
      <c r="B275" s="134"/>
      <c r="C275" s="91"/>
    </row>
    <row r="276" spans="1:50" s="237" customFormat="1" ht="15" customHeight="1">
      <c r="E276" s="237" t="str">
        <f xml:space="preserve"> ProjectCashflows!E$225</f>
        <v>Discount factor: FID forward, NPV8</v>
      </c>
      <c r="F276" s="237">
        <f xml:space="preserve"> ProjectCashflows!F$225</f>
        <v>0</v>
      </c>
      <c r="G276" s="237" t="str">
        <f xml:space="preserve"> ProjectCashflows!G$225</f>
        <v>factor</v>
      </c>
      <c r="H276" s="237">
        <f xml:space="preserve"> ProjectCashflows!H$225</f>
        <v>0</v>
      </c>
      <c r="I276" s="237">
        <f xml:space="preserve"> ProjectCashflows!I$225</f>
        <v>0</v>
      </c>
      <c r="J276" s="237">
        <f xml:space="preserve"> ProjectCashflows!J$225</f>
        <v>0</v>
      </c>
      <c r="K276" s="237">
        <f ca="1" xml:space="preserve"> ProjectCashflows!K$225</f>
        <v>0</v>
      </c>
      <c r="L276" s="237">
        <f ca="1" xml:space="preserve"> ProjectCashflows!L$225</f>
        <v>0</v>
      </c>
      <c r="M276" s="237">
        <f ca="1" xml:space="preserve"> ProjectCashflows!M$225</f>
        <v>0</v>
      </c>
      <c r="N276" s="237">
        <f ca="1" xml:space="preserve"> ProjectCashflows!N$225</f>
        <v>1</v>
      </c>
      <c r="O276" s="237">
        <f ca="1" xml:space="preserve"> ProjectCashflows!O$225</f>
        <v>0.92592592592592582</v>
      </c>
      <c r="P276" s="237">
        <f ca="1" xml:space="preserve"> ProjectCashflows!P$225</f>
        <v>0.85733882030178321</v>
      </c>
      <c r="Q276" s="237">
        <f ca="1" xml:space="preserve"> ProjectCashflows!Q$225</f>
        <v>0.79383224102016958</v>
      </c>
      <c r="R276" s="237">
        <f ca="1" xml:space="preserve"> ProjectCashflows!R$225</f>
        <v>0.73502985279645328</v>
      </c>
      <c r="S276" s="237">
        <f ca="1" xml:space="preserve"> ProjectCashflows!S$225</f>
        <v>0.68058319703375303</v>
      </c>
      <c r="T276" s="237">
        <f ca="1" xml:space="preserve"> ProjectCashflows!T$225</f>
        <v>0.63016962688310452</v>
      </c>
      <c r="U276" s="237">
        <f ca="1" xml:space="preserve"> ProjectCashflows!U$225</f>
        <v>0.58349039526213387</v>
      </c>
      <c r="V276" s="237">
        <f ca="1" xml:space="preserve"> ProjectCashflows!V$225</f>
        <v>0.54026888450197574</v>
      </c>
      <c r="W276" s="237">
        <f ca="1" xml:space="preserve"> ProjectCashflows!W$225</f>
        <v>0.50024896713145905</v>
      </c>
      <c r="X276" s="237">
        <f ca="1" xml:space="preserve"> ProjectCashflows!X$225</f>
        <v>0.46319348808468425</v>
      </c>
      <c r="Y276" s="237">
        <f ca="1" xml:space="preserve"> ProjectCashflows!Y$225</f>
        <v>0.42888285933767062</v>
      </c>
      <c r="Z276" s="237">
        <f ca="1" xml:space="preserve"> ProjectCashflows!Z$225</f>
        <v>0.39711375864599124</v>
      </c>
      <c r="AA276" s="237">
        <f ca="1" xml:space="preserve"> ProjectCashflows!AA$225</f>
        <v>0.36769792467221413</v>
      </c>
      <c r="AB276" s="237">
        <f ca="1" xml:space="preserve"> ProjectCashflows!AB$225</f>
        <v>0.34046104136316119</v>
      </c>
      <c r="AC276" s="237">
        <f ca="1" xml:space="preserve"> ProjectCashflows!AC$225</f>
        <v>0.31524170496588994</v>
      </c>
      <c r="AD276" s="237">
        <f ca="1" xml:space="preserve"> ProjectCashflows!AD$225</f>
        <v>0.29189046756100923</v>
      </c>
      <c r="AE276" s="237">
        <f ca="1" xml:space="preserve"> ProjectCashflows!AE$225</f>
        <v>0.27026895144537894</v>
      </c>
      <c r="AF276" s="237">
        <f ca="1" xml:space="preserve"> ProjectCashflows!AF$225</f>
        <v>0.25024902911609154</v>
      </c>
      <c r="AG276" s="237">
        <f ca="1" xml:space="preserve"> ProjectCashflows!AG$225</f>
        <v>0</v>
      </c>
      <c r="AH276" s="237">
        <f ca="1" xml:space="preserve"> ProjectCashflows!AH$225</f>
        <v>0</v>
      </c>
      <c r="AI276" s="237">
        <f ca="1" xml:space="preserve"> ProjectCashflows!AI$225</f>
        <v>0</v>
      </c>
      <c r="AJ276" s="237">
        <f ca="1" xml:space="preserve"> ProjectCashflows!AJ$225</f>
        <v>0</v>
      </c>
      <c r="AK276" s="237">
        <f ca="1" xml:space="preserve"> ProjectCashflows!AK$225</f>
        <v>0</v>
      </c>
      <c r="AL276" s="237">
        <f ca="1" xml:space="preserve"> ProjectCashflows!AL$225</f>
        <v>0</v>
      </c>
      <c r="AM276" s="237">
        <f ca="1" xml:space="preserve"> ProjectCashflows!AM$225</f>
        <v>0</v>
      </c>
      <c r="AN276" s="237">
        <f ca="1" xml:space="preserve"> ProjectCashflows!AN$225</f>
        <v>0</v>
      </c>
      <c r="AO276" s="237">
        <f ca="1" xml:space="preserve"> ProjectCashflows!AO$225</f>
        <v>0</v>
      </c>
      <c r="AP276" s="237">
        <f ca="1" xml:space="preserve"> ProjectCashflows!AP$225</f>
        <v>0</v>
      </c>
      <c r="AQ276" s="237">
        <f ca="1" xml:space="preserve"> ProjectCashflows!AQ$225</f>
        <v>0</v>
      </c>
      <c r="AR276" s="237">
        <f ca="1" xml:space="preserve"> ProjectCashflows!AR$225</f>
        <v>0</v>
      </c>
      <c r="AS276" s="237">
        <f ca="1" xml:space="preserve"> ProjectCashflows!AS$225</f>
        <v>0</v>
      </c>
      <c r="AT276" s="237">
        <f ca="1" xml:space="preserve"> ProjectCashflows!AT$225</f>
        <v>0</v>
      </c>
      <c r="AU276" s="237">
        <f ca="1" xml:space="preserve"> ProjectCashflows!AU$225</f>
        <v>0</v>
      </c>
      <c r="AV276" s="237">
        <f ca="1" xml:space="preserve"> ProjectCashflows!AV$225</f>
        <v>0</v>
      </c>
      <c r="AW276" s="237">
        <f ca="1" xml:space="preserve"> ProjectCashflows!AW$225</f>
        <v>0</v>
      </c>
      <c r="AX276" s="237">
        <f ca="1" xml:space="preserve"> ProjectCashflows!AX$225</f>
        <v>0</v>
      </c>
    </row>
    <row r="277" spans="1:50" s="204" customFormat="1" ht="15" customHeight="1">
      <c r="B277" s="206"/>
      <c r="E277" s="34" t="str">
        <f xml:space="preserve"> Inputs!E$59</f>
        <v>Short NPV label</v>
      </c>
      <c r="F277" s="198" t="str">
        <f xml:space="preserve"> Inputs!F$59</f>
        <v>NPV8</v>
      </c>
      <c r="G277" s="34" t="str">
        <f xml:space="preserve"> Inputs!G$59</f>
        <v>Label</v>
      </c>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row>
    <row r="278" spans="1:50" s="93" customFormat="1" ht="15" customHeight="1">
      <c r="A278" s="90"/>
      <c r="B278" s="134"/>
    </row>
    <row r="279" spans="1:50" s="93" customFormat="1" ht="15" customHeight="1">
      <c r="A279" s="90"/>
      <c r="B279" s="134"/>
      <c r="E279" s="93" t="str">
        <f t="shared" ref="E279:E287" si="103" xml:space="preserve"> E224</f>
        <v>Project cashflow before decommissioning fund: FID forward</v>
      </c>
      <c r="G279" s="93" t="str">
        <f t="shared" ref="G279:G287" si="104" xml:space="preserve"> G224 &amp; " " &amp; F$176</f>
        <v>US$ mn 2021 NPV8</v>
      </c>
      <c r="K279" s="93">
        <f t="shared" ref="K279:K287" ca="1" si="105" xml:space="preserve"> IFERROR( K224 * K$276, 0)</f>
        <v>0</v>
      </c>
      <c r="L279" s="93">
        <f t="shared" ref="L279:AX285" ca="1" si="106" xml:space="preserve"> IFERROR( L224 * L$276, 0)</f>
        <v>0</v>
      </c>
      <c r="M279" s="93">
        <f t="shared" ca="1" si="106"/>
        <v>0</v>
      </c>
      <c r="N279" s="93">
        <f t="shared" ca="1" si="106"/>
        <v>-50</v>
      </c>
      <c r="O279" s="93">
        <f t="shared" ca="1" si="106"/>
        <v>-221.99074074074076</v>
      </c>
      <c r="P279" s="93">
        <f t="shared" ca="1" si="106"/>
        <v>-26.684670781893004</v>
      </c>
      <c r="Q279" s="93">
        <f t="shared" ca="1" si="106"/>
        <v>115.70104912868972</v>
      </c>
      <c r="R279" s="93">
        <f t="shared" ca="1" si="106"/>
        <v>107.13060104508304</v>
      </c>
      <c r="S279" s="93">
        <f t="shared" ca="1" si="106"/>
        <v>99.195000967669486</v>
      </c>
      <c r="T279" s="93">
        <f t="shared" ca="1" si="106"/>
        <v>91.847223118212497</v>
      </c>
      <c r="U279" s="93">
        <f t="shared" ca="1" si="106"/>
        <v>85.043725109456005</v>
      </c>
      <c r="V279" s="93">
        <f t="shared" ca="1" si="106"/>
        <v>78.744189916162952</v>
      </c>
      <c r="W279" s="93">
        <f t="shared" ca="1" si="106"/>
        <v>72.911286959410162</v>
      </c>
      <c r="X279" s="93">
        <f t="shared" ca="1" si="106"/>
        <v>67.510450888342717</v>
      </c>
      <c r="Y279" s="93">
        <f t="shared" ca="1" si="106"/>
        <v>62.509676748465502</v>
      </c>
      <c r="Z279" s="93">
        <f t="shared" ca="1" si="106"/>
        <v>57.879330322653225</v>
      </c>
      <c r="AA279" s="93">
        <f t="shared" ca="1" si="106"/>
        <v>44.169713201249728</v>
      </c>
      <c r="AB279" s="93">
        <f t="shared" ca="1" si="106"/>
        <v>34.897256739724021</v>
      </c>
      <c r="AC279" s="93">
        <f t="shared" ca="1" si="106"/>
        <v>24.234206069252789</v>
      </c>
      <c r="AD279" s="93">
        <f t="shared" ca="1" si="106"/>
        <v>19.447202401252234</v>
      </c>
      <c r="AE279" s="93">
        <f t="shared" ca="1" si="106"/>
        <v>13.851283761575669</v>
      </c>
      <c r="AF279" s="93">
        <f t="shared" ca="1" si="106"/>
        <v>-5.0049805823218305</v>
      </c>
      <c r="AG279" s="93">
        <f t="shared" ca="1" si="106"/>
        <v>0</v>
      </c>
      <c r="AH279" s="93">
        <f t="shared" ca="1" si="106"/>
        <v>0</v>
      </c>
      <c r="AI279" s="93">
        <f t="shared" ca="1" si="106"/>
        <v>0</v>
      </c>
      <c r="AJ279" s="93">
        <f t="shared" ca="1" si="106"/>
        <v>0</v>
      </c>
      <c r="AK279" s="93">
        <f t="shared" ca="1" si="106"/>
        <v>0</v>
      </c>
      <c r="AL279" s="93">
        <f t="shared" ca="1" si="106"/>
        <v>0</v>
      </c>
      <c r="AM279" s="93">
        <f t="shared" ca="1" si="106"/>
        <v>0</v>
      </c>
      <c r="AN279" s="93">
        <f t="shared" ca="1" si="106"/>
        <v>0</v>
      </c>
      <c r="AO279" s="93">
        <f t="shared" ca="1" si="106"/>
        <v>0</v>
      </c>
      <c r="AP279" s="93">
        <f t="shared" ca="1" si="106"/>
        <v>0</v>
      </c>
      <c r="AQ279" s="93">
        <f t="shared" ca="1" si="106"/>
        <v>0</v>
      </c>
      <c r="AR279" s="93">
        <f t="shared" ca="1" si="106"/>
        <v>0</v>
      </c>
      <c r="AS279" s="93">
        <f t="shared" ca="1" si="106"/>
        <v>0</v>
      </c>
      <c r="AT279" s="93">
        <f t="shared" ca="1" si="106"/>
        <v>0</v>
      </c>
      <c r="AU279" s="93">
        <f t="shared" ca="1" si="106"/>
        <v>0</v>
      </c>
      <c r="AV279" s="93">
        <f t="shared" ca="1" si="106"/>
        <v>0</v>
      </c>
      <c r="AW279" s="93">
        <f t="shared" ca="1" si="106"/>
        <v>0</v>
      </c>
      <c r="AX279" s="93">
        <f t="shared" ca="1" si="106"/>
        <v>0</v>
      </c>
    </row>
    <row r="280" spans="1:50" s="93" customFormat="1" ht="15" customHeight="1">
      <c r="A280" s="90"/>
      <c r="B280" s="134"/>
      <c r="E280" s="93" t="str">
        <f t="shared" si="103"/>
        <v>Net decommissioning cashflows: FID forward</v>
      </c>
      <c r="G280" s="93" t="str">
        <f t="shared" si="104"/>
        <v>US$ mn 2021 NPV8</v>
      </c>
      <c r="K280" s="93">
        <f t="shared" ca="1" si="105"/>
        <v>0</v>
      </c>
      <c r="L280" s="93">
        <f t="shared" ref="L280:Z280" ca="1" si="107" xml:space="preserve"> IFERROR( L225 * L$276, 0)</f>
        <v>0</v>
      </c>
      <c r="M280" s="93">
        <f t="shared" ca="1" si="107"/>
        <v>0</v>
      </c>
      <c r="N280" s="93">
        <f t="shared" ca="1" si="107"/>
        <v>0</v>
      </c>
      <c r="O280" s="93">
        <f t="shared" ca="1" si="107"/>
        <v>0</v>
      </c>
      <c r="P280" s="93">
        <f t="shared" ca="1" si="107"/>
        <v>0</v>
      </c>
      <c r="Q280" s="93">
        <f t="shared" ca="1" si="107"/>
        <v>0</v>
      </c>
      <c r="R280" s="93">
        <f t="shared" ca="1" si="107"/>
        <v>0</v>
      </c>
      <c r="S280" s="93">
        <f t="shared" ca="1" si="107"/>
        <v>0</v>
      </c>
      <c r="T280" s="93">
        <f t="shared" ca="1" si="107"/>
        <v>0</v>
      </c>
      <c r="U280" s="93">
        <f t="shared" ca="1" si="107"/>
        <v>0</v>
      </c>
      <c r="V280" s="93">
        <f t="shared" ca="1" si="107"/>
        <v>0</v>
      </c>
      <c r="W280" s="93">
        <f t="shared" ca="1" si="107"/>
        <v>0</v>
      </c>
      <c r="X280" s="93">
        <f t="shared" ca="1" si="107"/>
        <v>-1.2646090003701433</v>
      </c>
      <c r="Y280" s="93">
        <f t="shared" ca="1" si="107"/>
        <v>-1.1479747643156712</v>
      </c>
      <c r="Z280" s="93">
        <f t="shared" ca="1" si="107"/>
        <v>-1.0420976437142981</v>
      </c>
      <c r="AA280" s="93">
        <f t="shared" ca="1" si="106"/>
        <v>-0.9459855153543012</v>
      </c>
      <c r="AB280" s="93">
        <f t="shared" ca="1" si="106"/>
        <v>-0.85873775903622096</v>
      </c>
      <c r="AC280" s="93">
        <f t="shared" ca="1" si="106"/>
        <v>-0.77953681829722288</v>
      </c>
      <c r="AD280" s="93">
        <f t="shared" ca="1" si="106"/>
        <v>-0.70764053948549666</v>
      </c>
      <c r="AE280" s="93">
        <f t="shared" ca="1" si="106"/>
        <v>-0.64237521739787273</v>
      </c>
      <c r="AF280" s="93">
        <f t="shared" ca="1" si="106"/>
        <v>5.0049805823218305</v>
      </c>
      <c r="AG280" s="93">
        <f t="shared" ca="1" si="106"/>
        <v>0</v>
      </c>
      <c r="AH280" s="93">
        <f t="shared" ca="1" si="106"/>
        <v>0</v>
      </c>
      <c r="AI280" s="93">
        <f t="shared" ca="1" si="106"/>
        <v>0</v>
      </c>
      <c r="AJ280" s="93">
        <f t="shared" ca="1" si="106"/>
        <v>0</v>
      </c>
      <c r="AK280" s="93">
        <f t="shared" ca="1" si="106"/>
        <v>0</v>
      </c>
      <c r="AL280" s="93">
        <f t="shared" ca="1" si="106"/>
        <v>0</v>
      </c>
      <c r="AM280" s="93">
        <f t="shared" ca="1" si="106"/>
        <v>0</v>
      </c>
      <c r="AN280" s="93">
        <f t="shared" ca="1" si="106"/>
        <v>0</v>
      </c>
      <c r="AO280" s="93">
        <f t="shared" ca="1" si="106"/>
        <v>0</v>
      </c>
      <c r="AP280" s="93">
        <f t="shared" ca="1" si="106"/>
        <v>0</v>
      </c>
      <c r="AQ280" s="93">
        <f t="shared" ca="1" si="106"/>
        <v>0</v>
      </c>
      <c r="AR280" s="93">
        <f t="shared" ca="1" si="106"/>
        <v>0</v>
      </c>
      <c r="AS280" s="93">
        <f t="shared" ca="1" si="106"/>
        <v>0</v>
      </c>
      <c r="AT280" s="93">
        <f t="shared" ca="1" si="106"/>
        <v>0</v>
      </c>
      <c r="AU280" s="93">
        <f t="shared" ca="1" si="106"/>
        <v>0</v>
      </c>
      <c r="AV280" s="93">
        <f t="shared" ca="1" si="106"/>
        <v>0</v>
      </c>
      <c r="AW280" s="93">
        <f t="shared" ca="1" si="106"/>
        <v>0</v>
      </c>
      <c r="AX280" s="93">
        <f t="shared" ca="1" si="106"/>
        <v>0</v>
      </c>
    </row>
    <row r="281" spans="1:50" s="93" customFormat="1" ht="15" customHeight="1">
      <c r="A281" s="90"/>
      <c r="B281" s="134"/>
      <c r="E281" s="93" t="str">
        <f t="shared" si="103"/>
        <v>Government revenues excluding participation: FID forward</v>
      </c>
      <c r="G281" s="93" t="str">
        <f t="shared" si="104"/>
        <v>US$ mn 2021 NPV8</v>
      </c>
      <c r="K281" s="93">
        <f t="shared" ca="1" si="105"/>
        <v>0</v>
      </c>
      <c r="L281" s="93">
        <f t="shared" ca="1" si="106"/>
        <v>0</v>
      </c>
      <c r="M281" s="93">
        <f t="shared" ca="1" si="106"/>
        <v>0</v>
      </c>
      <c r="N281" s="93">
        <f t="shared" ca="1" si="106"/>
        <v>0</v>
      </c>
      <c r="O281" s="93">
        <f t="shared" ca="1" si="106"/>
        <v>0.68287037037037035</v>
      </c>
      <c r="P281" s="93">
        <f t="shared" ca="1" si="106"/>
        <v>7.6008444787379963</v>
      </c>
      <c r="Q281" s="93">
        <f t="shared" ca="1" si="106"/>
        <v>14.761828361110613</v>
      </c>
      <c r="R281" s="93">
        <f t="shared" ca="1" si="106"/>
        <v>13.753905505048225</v>
      </c>
      <c r="S281" s="93">
        <f t="shared" ca="1" si="106"/>
        <v>17.628363891042476</v>
      </c>
      <c r="T281" s="93">
        <f t="shared" ca="1" si="106"/>
        <v>29.176292462154198</v>
      </c>
      <c r="U281" s="93">
        <f t="shared" ca="1" si="106"/>
        <v>30.391288524688903</v>
      </c>
      <c r="V281" s="93">
        <f t="shared" ca="1" si="106"/>
        <v>31.632756039882135</v>
      </c>
      <c r="W281" s="93">
        <f t="shared" ca="1" si="106"/>
        <v>29.289588925816798</v>
      </c>
      <c r="X281" s="93">
        <f t="shared" ca="1" si="106"/>
        <v>26.674847377996361</v>
      </c>
      <c r="Y281" s="93">
        <f t="shared" ca="1" si="106"/>
        <v>24.707014499744837</v>
      </c>
      <c r="Z281" s="93">
        <f t="shared" ca="1" si="106"/>
        <v>22.884201644953247</v>
      </c>
      <c r="AA281" s="93">
        <f t="shared" ca="1" si="106"/>
        <v>17.439792959161537</v>
      </c>
      <c r="AB281" s="93">
        <f t="shared" ca="1" si="106"/>
        <v>13.085920260195504</v>
      </c>
      <c r="AC281" s="93">
        <f t="shared" ca="1" si="106"/>
        <v>8.9179979122140907</v>
      </c>
      <c r="AD281" s="93">
        <f t="shared" ca="1" si="106"/>
        <v>6.0105042421603798</v>
      </c>
      <c r="AE281" s="93">
        <f t="shared" ca="1" si="106"/>
        <v>4.3041988013610357</v>
      </c>
      <c r="AF281" s="93">
        <f t="shared" ca="1" si="106"/>
        <v>0</v>
      </c>
      <c r="AG281" s="93">
        <f t="shared" ca="1" si="106"/>
        <v>0</v>
      </c>
      <c r="AH281" s="93">
        <f t="shared" ca="1" si="106"/>
        <v>0</v>
      </c>
      <c r="AI281" s="93">
        <f t="shared" ca="1" si="106"/>
        <v>0</v>
      </c>
      <c r="AJ281" s="93">
        <f t="shared" ca="1" si="106"/>
        <v>0</v>
      </c>
      <c r="AK281" s="93">
        <f t="shared" ca="1" si="106"/>
        <v>0</v>
      </c>
      <c r="AL281" s="93">
        <f t="shared" ca="1" si="106"/>
        <v>0</v>
      </c>
      <c r="AM281" s="93">
        <f t="shared" ca="1" si="106"/>
        <v>0</v>
      </c>
      <c r="AN281" s="93">
        <f t="shared" ca="1" si="106"/>
        <v>0</v>
      </c>
      <c r="AO281" s="93">
        <f t="shared" ca="1" si="106"/>
        <v>0</v>
      </c>
      <c r="AP281" s="93">
        <f t="shared" ca="1" si="106"/>
        <v>0</v>
      </c>
      <c r="AQ281" s="93">
        <f t="shared" ca="1" si="106"/>
        <v>0</v>
      </c>
      <c r="AR281" s="93">
        <f t="shared" ca="1" si="106"/>
        <v>0</v>
      </c>
      <c r="AS281" s="93">
        <f t="shared" ca="1" si="106"/>
        <v>0</v>
      </c>
      <c r="AT281" s="93">
        <f t="shared" ca="1" si="106"/>
        <v>0</v>
      </c>
      <c r="AU281" s="93">
        <f t="shared" ca="1" si="106"/>
        <v>0</v>
      </c>
      <c r="AV281" s="93">
        <f t="shared" ca="1" si="106"/>
        <v>0</v>
      </c>
      <c r="AW281" s="93">
        <f t="shared" ca="1" si="106"/>
        <v>0</v>
      </c>
      <c r="AX281" s="93">
        <f t="shared" ca="1" si="106"/>
        <v>0</v>
      </c>
    </row>
    <row r="282" spans="1:50" s="93" customFormat="1" ht="15" customHeight="1">
      <c r="A282" s="90"/>
      <c r="B282" s="134"/>
      <c r="E282" s="93" t="str">
        <f t="shared" si="103"/>
        <v>State participation cashflows including share of loan: FID forward</v>
      </c>
      <c r="G282" s="93" t="str">
        <f t="shared" si="104"/>
        <v>US$ mn 2021 NPV8</v>
      </c>
      <c r="K282" s="93">
        <f t="shared" ca="1" si="105"/>
        <v>0</v>
      </c>
      <c r="L282" s="93">
        <f t="shared" ca="1" si="106"/>
        <v>0</v>
      </c>
      <c r="M282" s="93">
        <f t="shared" ca="1" si="106"/>
        <v>0</v>
      </c>
      <c r="N282" s="93">
        <f t="shared" ca="1" si="106"/>
        <v>0</v>
      </c>
      <c r="O282" s="93">
        <f t="shared" ca="1" si="106"/>
        <v>0</v>
      </c>
      <c r="P282" s="93">
        <f t="shared" ca="1" si="106"/>
        <v>0</v>
      </c>
      <c r="Q282" s="93">
        <f t="shared" ca="1" si="106"/>
        <v>0</v>
      </c>
      <c r="R282" s="93">
        <f t="shared" ca="1" si="106"/>
        <v>0</v>
      </c>
      <c r="S282" s="93">
        <f t="shared" ca="1" si="106"/>
        <v>0</v>
      </c>
      <c r="T282" s="93">
        <f t="shared" ca="1" si="106"/>
        <v>0</v>
      </c>
      <c r="U282" s="93">
        <f t="shared" ca="1" si="106"/>
        <v>0</v>
      </c>
      <c r="V282" s="93">
        <f t="shared" ca="1" si="106"/>
        <v>0</v>
      </c>
      <c r="W282" s="93">
        <f t="shared" ca="1" si="106"/>
        <v>0</v>
      </c>
      <c r="X282" s="93">
        <f t="shared" ca="1" si="106"/>
        <v>0</v>
      </c>
      <c r="Y282" s="93">
        <f t="shared" ca="1" si="106"/>
        <v>0</v>
      </c>
      <c r="Z282" s="93">
        <f t="shared" ca="1" si="106"/>
        <v>0</v>
      </c>
      <c r="AA282" s="93">
        <f t="shared" ca="1" si="106"/>
        <v>0</v>
      </c>
      <c r="AB282" s="93">
        <f t="shared" ca="1" si="106"/>
        <v>0</v>
      </c>
      <c r="AC282" s="93">
        <f t="shared" ca="1" si="106"/>
        <v>0</v>
      </c>
      <c r="AD282" s="93">
        <f t="shared" ca="1" si="106"/>
        <v>0</v>
      </c>
      <c r="AE282" s="93">
        <f t="shared" ca="1" si="106"/>
        <v>0</v>
      </c>
      <c r="AF282" s="93">
        <f t="shared" ca="1" si="106"/>
        <v>0</v>
      </c>
      <c r="AG282" s="93">
        <f t="shared" ca="1" si="106"/>
        <v>0</v>
      </c>
      <c r="AH282" s="93">
        <f t="shared" ca="1" si="106"/>
        <v>0</v>
      </c>
      <c r="AI282" s="93">
        <f t="shared" ca="1" si="106"/>
        <v>0</v>
      </c>
      <c r="AJ282" s="93">
        <f t="shared" ca="1" si="106"/>
        <v>0</v>
      </c>
      <c r="AK282" s="93">
        <f t="shared" ca="1" si="106"/>
        <v>0</v>
      </c>
      <c r="AL282" s="93">
        <f t="shared" ca="1" si="106"/>
        <v>0</v>
      </c>
      <c r="AM282" s="93">
        <f t="shared" ca="1" si="106"/>
        <v>0</v>
      </c>
      <c r="AN282" s="93">
        <f t="shared" ca="1" si="106"/>
        <v>0</v>
      </c>
      <c r="AO282" s="93">
        <f t="shared" ca="1" si="106"/>
        <v>0</v>
      </c>
      <c r="AP282" s="93">
        <f t="shared" ca="1" si="106"/>
        <v>0</v>
      </c>
      <c r="AQ282" s="93">
        <f t="shared" ca="1" si="106"/>
        <v>0</v>
      </c>
      <c r="AR282" s="93">
        <f t="shared" ca="1" si="106"/>
        <v>0</v>
      </c>
      <c r="AS282" s="93">
        <f t="shared" ca="1" si="106"/>
        <v>0</v>
      </c>
      <c r="AT282" s="93">
        <f t="shared" ca="1" si="106"/>
        <v>0</v>
      </c>
      <c r="AU282" s="93">
        <f t="shared" ca="1" si="106"/>
        <v>0</v>
      </c>
      <c r="AV282" s="93">
        <f t="shared" ca="1" si="106"/>
        <v>0</v>
      </c>
      <c r="AW282" s="93">
        <f t="shared" ca="1" si="106"/>
        <v>0</v>
      </c>
      <c r="AX282" s="93">
        <f t="shared" ca="1" si="106"/>
        <v>0</v>
      </c>
    </row>
    <row r="283" spans="1:50" s="93" customFormat="1" ht="15" customHeight="1">
      <c r="A283" s="90"/>
      <c r="B283" s="134"/>
      <c r="E283" s="93" t="str">
        <f t="shared" si="103"/>
        <v>Government revenues including participation: FID forward</v>
      </c>
      <c r="G283" s="93" t="str">
        <f t="shared" si="104"/>
        <v>US$ mn 2021 NPV8</v>
      </c>
      <c r="K283" s="93">
        <f t="shared" ca="1" si="105"/>
        <v>0</v>
      </c>
      <c r="L283" s="93">
        <f t="shared" ca="1" si="106"/>
        <v>0</v>
      </c>
      <c r="M283" s="93">
        <f t="shared" ca="1" si="106"/>
        <v>0</v>
      </c>
      <c r="N283" s="93">
        <f t="shared" ca="1" si="106"/>
        <v>0</v>
      </c>
      <c r="O283" s="93">
        <f t="shared" ca="1" si="106"/>
        <v>0.68287037037037035</v>
      </c>
      <c r="P283" s="93">
        <f t="shared" ca="1" si="106"/>
        <v>7.6008444787379963</v>
      </c>
      <c r="Q283" s="93">
        <f t="shared" ca="1" si="106"/>
        <v>14.761828361110613</v>
      </c>
      <c r="R283" s="93">
        <f t="shared" ca="1" si="106"/>
        <v>13.753905505048225</v>
      </c>
      <c r="S283" s="93">
        <f t="shared" ca="1" si="106"/>
        <v>17.628363891042476</v>
      </c>
      <c r="T283" s="93">
        <f t="shared" ca="1" si="106"/>
        <v>29.176292462154198</v>
      </c>
      <c r="U283" s="93">
        <f t="shared" ca="1" si="106"/>
        <v>30.391288524688903</v>
      </c>
      <c r="V283" s="93">
        <f t="shared" ca="1" si="106"/>
        <v>31.632756039882135</v>
      </c>
      <c r="W283" s="93">
        <f t="shared" ca="1" si="106"/>
        <v>29.289588925816798</v>
      </c>
      <c r="X283" s="93">
        <f t="shared" ca="1" si="106"/>
        <v>26.674847377996361</v>
      </c>
      <c r="Y283" s="93">
        <f t="shared" ca="1" si="106"/>
        <v>24.707014499744837</v>
      </c>
      <c r="Z283" s="93">
        <f t="shared" ca="1" si="106"/>
        <v>22.884201644953247</v>
      </c>
      <c r="AA283" s="93">
        <f t="shared" ca="1" si="106"/>
        <v>17.439792959161537</v>
      </c>
      <c r="AB283" s="93">
        <f t="shared" ca="1" si="106"/>
        <v>13.085920260195504</v>
      </c>
      <c r="AC283" s="93">
        <f t="shared" ca="1" si="106"/>
        <v>8.9179979122140907</v>
      </c>
      <c r="AD283" s="93">
        <f t="shared" ca="1" si="106"/>
        <v>6.0105042421603798</v>
      </c>
      <c r="AE283" s="93">
        <f t="shared" ca="1" si="106"/>
        <v>4.3041988013610357</v>
      </c>
      <c r="AF283" s="93">
        <f t="shared" ca="1" si="106"/>
        <v>0</v>
      </c>
      <c r="AG283" s="93">
        <f t="shared" ca="1" si="106"/>
        <v>0</v>
      </c>
      <c r="AH283" s="93">
        <f t="shared" ca="1" si="106"/>
        <v>0</v>
      </c>
      <c r="AI283" s="93">
        <f t="shared" ca="1" si="106"/>
        <v>0</v>
      </c>
      <c r="AJ283" s="93">
        <f t="shared" ca="1" si="106"/>
        <v>0</v>
      </c>
      <c r="AK283" s="93">
        <f t="shared" ca="1" si="106"/>
        <v>0</v>
      </c>
      <c r="AL283" s="93">
        <f t="shared" ca="1" si="106"/>
        <v>0</v>
      </c>
      <c r="AM283" s="93">
        <f t="shared" ca="1" si="106"/>
        <v>0</v>
      </c>
      <c r="AN283" s="93">
        <f t="shared" ca="1" si="106"/>
        <v>0</v>
      </c>
      <c r="AO283" s="93">
        <f t="shared" ca="1" si="106"/>
        <v>0</v>
      </c>
      <c r="AP283" s="93">
        <f t="shared" ca="1" si="106"/>
        <v>0</v>
      </c>
      <c r="AQ283" s="93">
        <f t="shared" ca="1" si="106"/>
        <v>0</v>
      </c>
      <c r="AR283" s="93">
        <f t="shared" ca="1" si="106"/>
        <v>0</v>
      </c>
      <c r="AS283" s="93">
        <f t="shared" ca="1" si="106"/>
        <v>0</v>
      </c>
      <c r="AT283" s="93">
        <f t="shared" ca="1" si="106"/>
        <v>0</v>
      </c>
      <c r="AU283" s="93">
        <f t="shared" ca="1" si="106"/>
        <v>0</v>
      </c>
      <c r="AV283" s="93">
        <f t="shared" ca="1" si="106"/>
        <v>0</v>
      </c>
      <c r="AW283" s="93">
        <f t="shared" ca="1" si="106"/>
        <v>0</v>
      </c>
      <c r="AX283" s="93">
        <f t="shared" ca="1" si="106"/>
        <v>0</v>
      </c>
    </row>
    <row r="284" spans="1:50" s="93" customFormat="1" ht="15" customHeight="1">
      <c r="A284" s="90"/>
      <c r="B284" s="134"/>
      <c r="E284" s="93" t="str">
        <f t="shared" si="103"/>
        <v>Net cashflow after fiscal regime: Parent company (excluding loan): FID forward</v>
      </c>
      <c r="G284" s="93" t="str">
        <f t="shared" si="104"/>
        <v>US$ mn 2021 NPV8</v>
      </c>
      <c r="K284" s="93">
        <f t="shared" ca="1" si="105"/>
        <v>0</v>
      </c>
      <c r="L284" s="93">
        <f t="shared" ca="1" si="106"/>
        <v>0</v>
      </c>
      <c r="M284" s="93">
        <f t="shared" ca="1" si="106"/>
        <v>0</v>
      </c>
      <c r="N284" s="93">
        <f t="shared" ca="1" si="106"/>
        <v>-15.000000000000004</v>
      </c>
      <c r="O284" s="93">
        <f t="shared" ca="1" si="106"/>
        <v>-60.63657407407409</v>
      </c>
      <c r="P284" s="93">
        <f t="shared" ca="1" si="106"/>
        <v>25.728202160493815</v>
      </c>
      <c r="Q284" s="93">
        <f t="shared" ca="1" si="106"/>
        <v>38.76611193290254</v>
      </c>
      <c r="R284" s="93">
        <f t="shared" ca="1" si="106"/>
        <v>39.670972345978811</v>
      </c>
      <c r="S284" s="93">
        <f t="shared" ca="1" si="106"/>
        <v>35.295276034548323</v>
      </c>
      <c r="T284" s="93">
        <f t="shared" ca="1" si="106"/>
        <v>22.919432790331104</v>
      </c>
      <c r="U284" s="93">
        <f t="shared" ca="1" si="106"/>
        <v>20.611751708095809</v>
      </c>
      <c r="V284" s="93">
        <f t="shared" ca="1" si="106"/>
        <v>47.111433876280813</v>
      </c>
      <c r="W284" s="93">
        <f t="shared" ca="1" si="106"/>
        <v>43.621698033593368</v>
      </c>
      <c r="X284" s="93">
        <f t="shared" ca="1" si="106"/>
        <v>39.570994509976217</v>
      </c>
      <c r="Y284" s="93">
        <f t="shared" ca="1" si="106"/>
        <v>36.654687484404995</v>
      </c>
      <c r="Z284" s="93">
        <f t="shared" ca="1" si="106"/>
        <v>33.953031033985674</v>
      </c>
      <c r="AA284" s="93">
        <f t="shared" ca="1" si="106"/>
        <v>25.783934726733897</v>
      </c>
      <c r="AB284" s="93">
        <f t="shared" ca="1" si="106"/>
        <v>20.952598720492301</v>
      </c>
      <c r="AC284" s="93">
        <f t="shared" ca="1" si="106"/>
        <v>14.536671338741471</v>
      </c>
      <c r="AD284" s="93">
        <f t="shared" ca="1" si="106"/>
        <v>12.72905761960636</v>
      </c>
      <c r="AE284" s="93">
        <f t="shared" ca="1" si="106"/>
        <v>8.9047097428167596</v>
      </c>
      <c r="AF284" s="93">
        <f t="shared" ca="1" si="106"/>
        <v>0</v>
      </c>
      <c r="AG284" s="93">
        <f t="shared" ca="1" si="106"/>
        <v>0</v>
      </c>
      <c r="AH284" s="93">
        <f t="shared" ca="1" si="106"/>
        <v>0</v>
      </c>
      <c r="AI284" s="93">
        <f t="shared" ca="1" si="106"/>
        <v>0</v>
      </c>
      <c r="AJ284" s="93">
        <f t="shared" ca="1" si="106"/>
        <v>0</v>
      </c>
      <c r="AK284" s="93">
        <f t="shared" ca="1" si="106"/>
        <v>0</v>
      </c>
      <c r="AL284" s="93">
        <f t="shared" ca="1" si="106"/>
        <v>0</v>
      </c>
      <c r="AM284" s="93">
        <f t="shared" ca="1" si="106"/>
        <v>0</v>
      </c>
      <c r="AN284" s="93">
        <f t="shared" ca="1" si="106"/>
        <v>0</v>
      </c>
      <c r="AO284" s="93">
        <f t="shared" ca="1" si="106"/>
        <v>0</v>
      </c>
      <c r="AP284" s="93">
        <f t="shared" ca="1" si="106"/>
        <v>0</v>
      </c>
      <c r="AQ284" s="93">
        <f t="shared" ca="1" si="106"/>
        <v>0</v>
      </c>
      <c r="AR284" s="93">
        <f t="shared" ca="1" si="106"/>
        <v>0</v>
      </c>
      <c r="AS284" s="93">
        <f t="shared" ca="1" si="106"/>
        <v>0</v>
      </c>
      <c r="AT284" s="93">
        <f t="shared" ca="1" si="106"/>
        <v>0</v>
      </c>
      <c r="AU284" s="93">
        <f t="shared" ca="1" si="106"/>
        <v>0</v>
      </c>
      <c r="AV284" s="93">
        <f t="shared" ca="1" si="106"/>
        <v>0</v>
      </c>
      <c r="AW284" s="93">
        <f t="shared" ca="1" si="106"/>
        <v>0</v>
      </c>
      <c r="AX284" s="93">
        <f t="shared" ca="1" si="106"/>
        <v>0</v>
      </c>
    </row>
    <row r="285" spans="1:50" s="93" customFormat="1" ht="15" customHeight="1">
      <c r="A285" s="90"/>
      <c r="B285" s="134"/>
      <c r="E285" s="93" t="str">
        <f t="shared" si="103"/>
        <v>Project loan cashflows net of state participation share, met by parent company: FID forward</v>
      </c>
      <c r="G285" s="93" t="str">
        <f t="shared" si="104"/>
        <v>US$ mn 2021 NPV8</v>
      </c>
      <c r="K285" s="93">
        <f t="shared" ca="1" si="105"/>
        <v>0</v>
      </c>
      <c r="L285" s="93">
        <f t="shared" ca="1" si="106"/>
        <v>0</v>
      </c>
      <c r="M285" s="93">
        <f t="shared" ca="1" si="106"/>
        <v>0</v>
      </c>
      <c r="N285" s="93">
        <f t="shared" ca="1" si="106"/>
        <v>-34.999999999999993</v>
      </c>
      <c r="O285" s="93">
        <f t="shared" ca="1" si="106"/>
        <v>-162.03703703703701</v>
      </c>
      <c r="P285" s="93">
        <f t="shared" ca="1" si="106"/>
        <v>-60.013717421124809</v>
      </c>
      <c r="Q285" s="93">
        <f t="shared" ca="1" si="106"/>
        <v>62.173108834676547</v>
      </c>
      <c r="R285" s="93">
        <f t="shared" ca="1" si="106"/>
        <v>53.705723194055999</v>
      </c>
      <c r="S285" s="93">
        <f t="shared" ca="1" si="106"/>
        <v>46.271361042078702</v>
      </c>
      <c r="T285" s="93">
        <f t="shared" ca="1" si="106"/>
        <v>39.751497865727195</v>
      </c>
      <c r="U285" s="93">
        <f t="shared" ca="1" si="106"/>
        <v>34.040684876671321</v>
      </c>
      <c r="V285" s="93">
        <f t="shared" ca="1" si="106"/>
        <v>0</v>
      </c>
      <c r="W285" s="93">
        <f t="shared" ca="1" si="106"/>
        <v>0</v>
      </c>
      <c r="X285" s="93">
        <f t="shared" ca="1" si="106"/>
        <v>0</v>
      </c>
      <c r="Y285" s="93">
        <f t="shared" ca="1" si="106"/>
        <v>0</v>
      </c>
      <c r="Z285" s="93">
        <f t="shared" ca="1" si="106"/>
        <v>0</v>
      </c>
      <c r="AA285" s="93">
        <f t="shared" ca="1" si="106"/>
        <v>0</v>
      </c>
      <c r="AB285" s="93">
        <f t="shared" ca="1" si="106"/>
        <v>0</v>
      </c>
      <c r="AC285" s="93">
        <f t="shared" ca="1" si="106"/>
        <v>0</v>
      </c>
      <c r="AD285" s="93">
        <f t="shared" ca="1" si="106"/>
        <v>0</v>
      </c>
      <c r="AE285" s="93">
        <f t="shared" ca="1" si="106"/>
        <v>0</v>
      </c>
      <c r="AF285" s="93">
        <f t="shared" ca="1" si="106"/>
        <v>0</v>
      </c>
      <c r="AG285" s="93">
        <f t="shared" ca="1" si="106"/>
        <v>0</v>
      </c>
      <c r="AH285" s="93">
        <f t="shared" ca="1" si="106"/>
        <v>0</v>
      </c>
      <c r="AI285" s="93">
        <f t="shared" ca="1" si="106"/>
        <v>0</v>
      </c>
      <c r="AJ285" s="93">
        <f t="shared" ca="1" si="106"/>
        <v>0</v>
      </c>
      <c r="AK285" s="93">
        <f t="shared" ca="1" si="106"/>
        <v>0</v>
      </c>
      <c r="AL285" s="93">
        <f t="shared" ca="1" si="106"/>
        <v>0</v>
      </c>
      <c r="AM285" s="93">
        <f t="shared" ca="1" si="106"/>
        <v>0</v>
      </c>
      <c r="AN285" s="93">
        <f t="shared" ca="1" si="106"/>
        <v>0</v>
      </c>
      <c r="AO285" s="93">
        <f t="shared" ca="1" si="106"/>
        <v>0</v>
      </c>
      <c r="AP285" s="93">
        <f t="shared" ca="1" si="106"/>
        <v>0</v>
      </c>
      <c r="AQ285" s="93">
        <f t="shared" ca="1" si="106"/>
        <v>0</v>
      </c>
      <c r="AR285" s="93">
        <f t="shared" ca="1" si="106"/>
        <v>0</v>
      </c>
      <c r="AS285" s="93">
        <f t="shared" ca="1" si="106"/>
        <v>0</v>
      </c>
      <c r="AT285" s="93">
        <f t="shared" ca="1" si="106"/>
        <v>0</v>
      </c>
      <c r="AU285" s="93">
        <f t="shared" ca="1" si="106"/>
        <v>0</v>
      </c>
      <c r="AV285" s="93">
        <f t="shared" ref="L285:AX287" ca="1" si="108" xml:space="preserve"> IFERROR( AV230 * AV$276, 0)</f>
        <v>0</v>
      </c>
      <c r="AW285" s="93">
        <f t="shared" ca="1" si="108"/>
        <v>0</v>
      </c>
      <c r="AX285" s="93">
        <f t="shared" ca="1" si="108"/>
        <v>0</v>
      </c>
    </row>
    <row r="286" spans="1:50" s="93" customFormat="1" ht="15" customHeight="1">
      <c r="A286" s="90"/>
      <c r="B286" s="134"/>
      <c r="E286" s="93" t="str">
        <f t="shared" si="103"/>
        <v>Investors (Parent company + lender): FID forward</v>
      </c>
      <c r="G286" s="93" t="str">
        <f t="shared" si="104"/>
        <v>US$ mn 2021 NPV8</v>
      </c>
      <c r="K286" s="93">
        <f t="shared" ca="1" si="105"/>
        <v>0</v>
      </c>
      <c r="L286" s="93">
        <f t="shared" ca="1" si="108"/>
        <v>0</v>
      </c>
      <c r="M286" s="93">
        <f t="shared" ca="1" si="108"/>
        <v>0</v>
      </c>
      <c r="N286" s="93">
        <f t="shared" ca="1" si="108"/>
        <v>-50</v>
      </c>
      <c r="O286" s="93">
        <f t="shared" ca="1" si="108"/>
        <v>-222.67361111111109</v>
      </c>
      <c r="P286" s="93">
        <f t="shared" ca="1" si="108"/>
        <v>-34.285515260631001</v>
      </c>
      <c r="Q286" s="93">
        <f t="shared" ca="1" si="108"/>
        <v>100.9392207675791</v>
      </c>
      <c r="R286" s="93">
        <f t="shared" ca="1" si="108"/>
        <v>93.376695540034802</v>
      </c>
      <c r="S286" s="93">
        <f t="shared" ca="1" si="108"/>
        <v>81.566637076627032</v>
      </c>
      <c r="T286" s="93">
        <f t="shared" ca="1" si="108"/>
        <v>62.670930656058303</v>
      </c>
      <c r="U286" s="93">
        <f t="shared" ca="1" si="108"/>
        <v>54.652436584767123</v>
      </c>
      <c r="V286" s="93">
        <f t="shared" ca="1" si="108"/>
        <v>47.111433876280813</v>
      </c>
      <c r="W286" s="93">
        <f t="shared" ca="1" si="108"/>
        <v>43.621698033593368</v>
      </c>
      <c r="X286" s="93">
        <f t="shared" ca="1" si="108"/>
        <v>39.570994509976217</v>
      </c>
      <c r="Y286" s="93">
        <f t="shared" ca="1" si="108"/>
        <v>36.654687484404995</v>
      </c>
      <c r="Z286" s="93">
        <f t="shared" ca="1" si="108"/>
        <v>33.953031033985674</v>
      </c>
      <c r="AA286" s="93">
        <f t="shared" ca="1" si="108"/>
        <v>25.783934726733897</v>
      </c>
      <c r="AB286" s="93">
        <f t="shared" ca="1" si="108"/>
        <v>20.952598720492301</v>
      </c>
      <c r="AC286" s="93">
        <f t="shared" ca="1" si="108"/>
        <v>14.536671338741471</v>
      </c>
      <c r="AD286" s="93">
        <f t="shared" ca="1" si="108"/>
        <v>12.72905761960636</v>
      </c>
      <c r="AE286" s="93">
        <f t="shared" ca="1" si="108"/>
        <v>8.9047097428167596</v>
      </c>
      <c r="AF286" s="93">
        <f t="shared" ca="1" si="108"/>
        <v>0</v>
      </c>
      <c r="AG286" s="93">
        <f t="shared" ca="1" si="108"/>
        <v>0</v>
      </c>
      <c r="AH286" s="93">
        <f t="shared" ca="1" si="108"/>
        <v>0</v>
      </c>
      <c r="AI286" s="93">
        <f t="shared" ca="1" si="108"/>
        <v>0</v>
      </c>
      <c r="AJ286" s="93">
        <f t="shared" ca="1" si="108"/>
        <v>0</v>
      </c>
      <c r="AK286" s="93">
        <f t="shared" ca="1" si="108"/>
        <v>0</v>
      </c>
      <c r="AL286" s="93">
        <f t="shared" ca="1" si="108"/>
        <v>0</v>
      </c>
      <c r="AM286" s="93">
        <f t="shared" ca="1" si="108"/>
        <v>0</v>
      </c>
      <c r="AN286" s="93">
        <f t="shared" ca="1" si="108"/>
        <v>0</v>
      </c>
      <c r="AO286" s="93">
        <f t="shared" ca="1" si="108"/>
        <v>0</v>
      </c>
      <c r="AP286" s="93">
        <f t="shared" ca="1" si="108"/>
        <v>0</v>
      </c>
      <c r="AQ286" s="93">
        <f t="shared" ca="1" si="108"/>
        <v>0</v>
      </c>
      <c r="AR286" s="93">
        <f t="shared" ca="1" si="108"/>
        <v>0</v>
      </c>
      <c r="AS286" s="93">
        <f t="shared" ca="1" si="108"/>
        <v>0</v>
      </c>
      <c r="AT286" s="93">
        <f t="shared" ca="1" si="108"/>
        <v>0</v>
      </c>
      <c r="AU286" s="93">
        <f t="shared" ca="1" si="108"/>
        <v>0</v>
      </c>
      <c r="AV286" s="93">
        <f t="shared" ca="1" si="108"/>
        <v>0</v>
      </c>
      <c r="AW286" s="93">
        <f t="shared" ca="1" si="108"/>
        <v>0</v>
      </c>
      <c r="AX286" s="93">
        <f t="shared" ca="1" si="108"/>
        <v>0</v>
      </c>
    </row>
    <row r="287" spans="1:50" s="93" customFormat="1" ht="15" customHeight="1">
      <c r="A287" s="90"/>
      <c r="B287" s="134"/>
      <c r="E287" s="93" t="str">
        <f t="shared" si="103"/>
        <v>Project benefits: FID forward</v>
      </c>
      <c r="G287" s="93" t="str">
        <f t="shared" si="104"/>
        <v>US$ mn 2021 NPV8</v>
      </c>
      <c r="K287" s="93">
        <f t="shared" ca="1" si="105"/>
        <v>0</v>
      </c>
      <c r="L287" s="93">
        <f t="shared" ca="1" si="108"/>
        <v>0</v>
      </c>
      <c r="M287" s="93">
        <f t="shared" ca="1" si="108"/>
        <v>0</v>
      </c>
      <c r="N287" s="93">
        <f t="shared" ca="1" si="108"/>
        <v>0</v>
      </c>
      <c r="O287" s="93">
        <f t="shared" ca="1" si="108"/>
        <v>9.4907407407407405</v>
      </c>
      <c r="P287" s="93">
        <f t="shared" ca="1" si="108"/>
        <v>59.049211248285317</v>
      </c>
      <c r="Q287" s="93">
        <f t="shared" ca="1" si="108"/>
        <v>115.70104912868972</v>
      </c>
      <c r="R287" s="93">
        <f t="shared" ca="1" si="108"/>
        <v>107.13060104508304</v>
      </c>
      <c r="S287" s="93">
        <f t="shared" ca="1" si="108"/>
        <v>99.1950009676695</v>
      </c>
      <c r="T287" s="93">
        <f t="shared" ca="1" si="108"/>
        <v>91.847223118212497</v>
      </c>
      <c r="U287" s="93">
        <f t="shared" ca="1" si="108"/>
        <v>85.043725109456005</v>
      </c>
      <c r="V287" s="93">
        <f t="shared" ca="1" si="108"/>
        <v>78.744189916162966</v>
      </c>
      <c r="W287" s="93">
        <f t="shared" ca="1" si="108"/>
        <v>72.911286959410162</v>
      </c>
      <c r="X287" s="93">
        <f t="shared" ca="1" si="108"/>
        <v>67.510450888342731</v>
      </c>
      <c r="Y287" s="93">
        <f t="shared" ca="1" si="108"/>
        <v>62.509676748465502</v>
      </c>
      <c r="Z287" s="93">
        <f t="shared" ca="1" si="108"/>
        <v>57.879330322653225</v>
      </c>
      <c r="AA287" s="93">
        <f t="shared" ca="1" si="108"/>
        <v>44.169713201249728</v>
      </c>
      <c r="AB287" s="93">
        <f t="shared" ca="1" si="108"/>
        <v>34.897256739724021</v>
      </c>
      <c r="AC287" s="93">
        <f t="shared" ca="1" si="108"/>
        <v>24.234206069252789</v>
      </c>
      <c r="AD287" s="93">
        <f t="shared" ca="1" si="108"/>
        <v>19.447202401252234</v>
      </c>
      <c r="AE287" s="93">
        <f t="shared" ca="1" si="108"/>
        <v>13.851283761575669</v>
      </c>
      <c r="AF287" s="93">
        <f t="shared" ca="1" si="108"/>
        <v>-5.0049805823218305</v>
      </c>
      <c r="AG287" s="93">
        <f t="shared" ca="1" si="108"/>
        <v>0</v>
      </c>
      <c r="AH287" s="93">
        <f t="shared" ca="1" si="108"/>
        <v>0</v>
      </c>
      <c r="AI287" s="93">
        <f t="shared" ca="1" si="108"/>
        <v>0</v>
      </c>
      <c r="AJ287" s="93">
        <f t="shared" ca="1" si="108"/>
        <v>0</v>
      </c>
      <c r="AK287" s="93">
        <f t="shared" ca="1" si="108"/>
        <v>0</v>
      </c>
      <c r="AL287" s="93">
        <f t="shared" ca="1" si="108"/>
        <v>0</v>
      </c>
      <c r="AM287" s="93">
        <f t="shared" ca="1" si="108"/>
        <v>0</v>
      </c>
      <c r="AN287" s="93">
        <f t="shared" ca="1" si="108"/>
        <v>0</v>
      </c>
      <c r="AO287" s="93">
        <f t="shared" ca="1" si="108"/>
        <v>0</v>
      </c>
      <c r="AP287" s="93">
        <f t="shared" ca="1" si="108"/>
        <v>0</v>
      </c>
      <c r="AQ287" s="93">
        <f t="shared" ca="1" si="108"/>
        <v>0</v>
      </c>
      <c r="AR287" s="93">
        <f t="shared" ca="1" si="108"/>
        <v>0</v>
      </c>
      <c r="AS287" s="93">
        <f t="shared" ca="1" si="108"/>
        <v>0</v>
      </c>
      <c r="AT287" s="93">
        <f t="shared" ca="1" si="108"/>
        <v>0</v>
      </c>
      <c r="AU287" s="93">
        <f t="shared" ca="1" si="108"/>
        <v>0</v>
      </c>
      <c r="AV287" s="93">
        <f t="shared" ca="1" si="108"/>
        <v>0</v>
      </c>
      <c r="AW287" s="93">
        <f t="shared" ca="1" si="108"/>
        <v>0</v>
      </c>
      <c r="AX287" s="93">
        <f t="shared" ca="1" si="108"/>
        <v>0</v>
      </c>
    </row>
    <row r="288" spans="1:50" s="93" customFormat="1" ht="15" customHeight="1">
      <c r="A288" s="90"/>
      <c r="B288" s="134"/>
    </row>
    <row r="289" spans="1:50" s="93" customFormat="1" ht="15" customHeight="1">
      <c r="A289" s="90"/>
      <c r="B289" s="134"/>
      <c r="E289" s="93" t="str">
        <f xml:space="preserve"> Translate!E$444 &amp;  ": " &amp; B274</f>
        <v>Check: Project participants: FID forward, real, NPV8</v>
      </c>
      <c r="G289" s="93" t="str">
        <f xml:space="preserve"> G279</f>
        <v>US$ mn 2021 NPV8</v>
      </c>
      <c r="I289" s="93">
        <f ca="1" xml:space="preserve"> SUM(K289:AX289)</f>
        <v>0</v>
      </c>
      <c r="K289" s="93">
        <f t="shared" ref="K289:AC289" ca="1" si="109" xml:space="preserve"> K279 + K280 - SUM(K283:K285)</f>
        <v>0</v>
      </c>
      <c r="L289" s="93">
        <f t="shared" ca="1" si="109"/>
        <v>0</v>
      </c>
      <c r="M289" s="93">
        <f t="shared" ca="1" si="109"/>
        <v>0</v>
      </c>
      <c r="N289" s="93">
        <f t="shared" ca="1" si="109"/>
        <v>0</v>
      </c>
      <c r="O289" s="93">
        <f t="shared" ca="1" si="109"/>
        <v>0</v>
      </c>
      <c r="P289" s="93">
        <f t="shared" ca="1" si="109"/>
        <v>0</v>
      </c>
      <c r="Q289" s="93">
        <f t="shared" ca="1" si="109"/>
        <v>0</v>
      </c>
      <c r="R289" s="93">
        <f t="shared" ca="1" si="109"/>
        <v>0</v>
      </c>
      <c r="S289" s="93">
        <f t="shared" ca="1" si="109"/>
        <v>0</v>
      </c>
      <c r="T289" s="93">
        <f t="shared" ca="1" si="109"/>
        <v>0</v>
      </c>
      <c r="U289" s="93">
        <f t="shared" ca="1" si="109"/>
        <v>0</v>
      </c>
      <c r="V289" s="93">
        <f t="shared" ca="1" si="109"/>
        <v>0</v>
      </c>
      <c r="W289" s="93">
        <f t="shared" ca="1" si="109"/>
        <v>0</v>
      </c>
      <c r="X289" s="93">
        <f t="shared" ca="1" si="109"/>
        <v>0</v>
      </c>
      <c r="Y289" s="93">
        <f t="shared" ca="1" si="109"/>
        <v>0</v>
      </c>
      <c r="Z289" s="93">
        <f t="shared" ca="1" si="109"/>
        <v>0</v>
      </c>
      <c r="AA289" s="93">
        <f t="shared" ca="1" si="109"/>
        <v>0</v>
      </c>
      <c r="AB289" s="93">
        <f t="shared" ca="1" si="109"/>
        <v>0</v>
      </c>
      <c r="AC289" s="93">
        <f t="shared" ca="1" si="109"/>
        <v>0</v>
      </c>
      <c r="AD289" s="93">
        <f t="shared" ref="AD289:AX289" ca="1" si="110" xml:space="preserve"> AD279 + AD280 - SUM(AD283:AD285)</f>
        <v>0</v>
      </c>
      <c r="AE289" s="93">
        <f t="shared" ca="1" si="110"/>
        <v>0</v>
      </c>
      <c r="AF289" s="93">
        <f t="shared" ca="1" si="110"/>
        <v>0</v>
      </c>
      <c r="AG289" s="93">
        <f t="shared" ca="1" si="110"/>
        <v>0</v>
      </c>
      <c r="AH289" s="93">
        <f t="shared" ca="1" si="110"/>
        <v>0</v>
      </c>
      <c r="AI289" s="93">
        <f t="shared" ca="1" si="110"/>
        <v>0</v>
      </c>
      <c r="AJ289" s="93">
        <f t="shared" ca="1" si="110"/>
        <v>0</v>
      </c>
      <c r="AK289" s="93">
        <f t="shared" ca="1" si="110"/>
        <v>0</v>
      </c>
      <c r="AL289" s="93">
        <f t="shared" ca="1" si="110"/>
        <v>0</v>
      </c>
      <c r="AM289" s="93">
        <f t="shared" ca="1" si="110"/>
        <v>0</v>
      </c>
      <c r="AN289" s="93">
        <f t="shared" ca="1" si="110"/>
        <v>0</v>
      </c>
      <c r="AO289" s="93">
        <f t="shared" ca="1" si="110"/>
        <v>0</v>
      </c>
      <c r="AP289" s="93">
        <f t="shared" ca="1" si="110"/>
        <v>0</v>
      </c>
      <c r="AQ289" s="93">
        <f t="shared" ca="1" si="110"/>
        <v>0</v>
      </c>
      <c r="AR289" s="93">
        <f t="shared" ca="1" si="110"/>
        <v>0</v>
      </c>
      <c r="AS289" s="93">
        <f t="shared" ca="1" si="110"/>
        <v>0</v>
      </c>
      <c r="AT289" s="93">
        <f t="shared" ca="1" si="110"/>
        <v>0</v>
      </c>
      <c r="AU289" s="93">
        <f t="shared" ca="1" si="110"/>
        <v>0</v>
      </c>
      <c r="AV289" s="93">
        <f t="shared" ca="1" si="110"/>
        <v>0</v>
      </c>
      <c r="AW289" s="93">
        <f t="shared" ca="1" si="110"/>
        <v>0</v>
      </c>
      <c r="AX289" s="93">
        <f t="shared" ca="1" si="110"/>
        <v>0</v>
      </c>
    </row>
    <row r="290" spans="1:50" s="93" customFormat="1" ht="15" customHeight="1">
      <c r="A290" s="90"/>
      <c r="B290" s="134"/>
      <c r="E290" s="93" t="str">
        <f xml:space="preserve"> E289</f>
        <v>Check: Project participants: FID forward, real, NPV8</v>
      </c>
      <c r="F290" s="61">
        <f ca="1" xml:space="preserve"> MIN( 1, SUM(K290:AX290))</f>
        <v>0</v>
      </c>
      <c r="G290" s="1041" t="str">
        <f xml:space="preserve"> Translate!E$444</f>
        <v>Check</v>
      </c>
      <c r="I290" s="93">
        <f ca="1" xml:space="preserve"> SUM(K290:AX290)</f>
        <v>0</v>
      </c>
      <c r="K290" s="61">
        <f t="shared" ref="K290:AX290" ca="1" si="111" xml:space="preserve"> IF( ABS( K289) &gt; CHK_TOL, 1, 0)</f>
        <v>0</v>
      </c>
      <c r="L290" s="61">
        <f t="shared" ca="1" si="111"/>
        <v>0</v>
      </c>
      <c r="M290" s="61">
        <f t="shared" ca="1" si="111"/>
        <v>0</v>
      </c>
      <c r="N290" s="61">
        <f t="shared" ca="1" si="111"/>
        <v>0</v>
      </c>
      <c r="O290" s="61">
        <f t="shared" ca="1" si="111"/>
        <v>0</v>
      </c>
      <c r="P290" s="61">
        <f t="shared" ca="1" si="111"/>
        <v>0</v>
      </c>
      <c r="Q290" s="61">
        <f t="shared" ca="1" si="111"/>
        <v>0</v>
      </c>
      <c r="R290" s="61">
        <f t="shared" ca="1" si="111"/>
        <v>0</v>
      </c>
      <c r="S290" s="61">
        <f t="shared" ca="1" si="111"/>
        <v>0</v>
      </c>
      <c r="T290" s="61">
        <f t="shared" ca="1" si="111"/>
        <v>0</v>
      </c>
      <c r="U290" s="61">
        <f t="shared" ca="1" si="111"/>
        <v>0</v>
      </c>
      <c r="V290" s="61">
        <f t="shared" ca="1" si="111"/>
        <v>0</v>
      </c>
      <c r="W290" s="61">
        <f t="shared" ca="1" si="111"/>
        <v>0</v>
      </c>
      <c r="X290" s="61">
        <f t="shared" ca="1" si="111"/>
        <v>0</v>
      </c>
      <c r="Y290" s="61">
        <f t="shared" ca="1" si="111"/>
        <v>0</v>
      </c>
      <c r="Z290" s="61">
        <f t="shared" ca="1" si="111"/>
        <v>0</v>
      </c>
      <c r="AA290" s="61">
        <f t="shared" ca="1" si="111"/>
        <v>0</v>
      </c>
      <c r="AB290" s="61">
        <f t="shared" ca="1" si="111"/>
        <v>0</v>
      </c>
      <c r="AC290" s="61">
        <f t="shared" ca="1" si="111"/>
        <v>0</v>
      </c>
      <c r="AD290" s="61">
        <f t="shared" ca="1" si="111"/>
        <v>0</v>
      </c>
      <c r="AE290" s="61">
        <f t="shared" ca="1" si="111"/>
        <v>0</v>
      </c>
      <c r="AF290" s="61">
        <f t="shared" ca="1" si="111"/>
        <v>0</v>
      </c>
      <c r="AG290" s="61">
        <f t="shared" ca="1" si="111"/>
        <v>0</v>
      </c>
      <c r="AH290" s="61">
        <f t="shared" ca="1" si="111"/>
        <v>0</v>
      </c>
      <c r="AI290" s="61">
        <f t="shared" ca="1" si="111"/>
        <v>0</v>
      </c>
      <c r="AJ290" s="61">
        <f t="shared" ca="1" si="111"/>
        <v>0</v>
      </c>
      <c r="AK290" s="61">
        <f t="shared" ca="1" si="111"/>
        <v>0</v>
      </c>
      <c r="AL290" s="61">
        <f t="shared" ca="1" si="111"/>
        <v>0</v>
      </c>
      <c r="AM290" s="61">
        <f t="shared" ca="1" si="111"/>
        <v>0</v>
      </c>
      <c r="AN290" s="61">
        <f t="shared" ca="1" si="111"/>
        <v>0</v>
      </c>
      <c r="AO290" s="61">
        <f t="shared" ca="1" si="111"/>
        <v>0</v>
      </c>
      <c r="AP290" s="61">
        <f t="shared" ca="1" si="111"/>
        <v>0</v>
      </c>
      <c r="AQ290" s="61">
        <f t="shared" ca="1" si="111"/>
        <v>0</v>
      </c>
      <c r="AR290" s="61">
        <f t="shared" ca="1" si="111"/>
        <v>0</v>
      </c>
      <c r="AS290" s="61">
        <f t="shared" ca="1" si="111"/>
        <v>0</v>
      </c>
      <c r="AT290" s="61">
        <f t="shared" ca="1" si="111"/>
        <v>0</v>
      </c>
      <c r="AU290" s="61">
        <f t="shared" ca="1" si="111"/>
        <v>0</v>
      </c>
      <c r="AV290" s="61">
        <f t="shared" ca="1" si="111"/>
        <v>0</v>
      </c>
      <c r="AW290" s="61">
        <f t="shared" ca="1" si="111"/>
        <v>0</v>
      </c>
      <c r="AX290" s="61">
        <f t="shared" ca="1" si="111"/>
        <v>0</v>
      </c>
    </row>
    <row r="291" spans="1:50" s="93" customFormat="1" ht="15" customHeight="1">
      <c r="A291" s="90"/>
      <c r="B291" s="134"/>
    </row>
    <row r="292" spans="1:50" s="93" customFormat="1" ht="15" customHeight="1">
      <c r="A292" s="90"/>
      <c r="B292" s="134"/>
      <c r="E292" s="93" t="str">
        <f xml:space="preserve"> Translate!E$19 &amp; ": " &amp; E279</f>
        <v>Total: Project cashflow before decommissioning fund: FID forward</v>
      </c>
      <c r="F292" s="158">
        <f t="shared" ref="F292:F300" ca="1" si="112" xml:space="preserve"> SUM(K279:AX279)</f>
        <v>671.39180427224403</v>
      </c>
      <c r="G292" s="93" t="str">
        <f t="shared" ref="G292:G300" si="113" xml:space="preserve"> G279</f>
        <v>US$ mn 2021 NPV8</v>
      </c>
    </row>
    <row r="293" spans="1:50" s="93" customFormat="1" ht="15" customHeight="1">
      <c r="A293" s="90"/>
      <c r="B293" s="134"/>
      <c r="E293" s="93" t="str">
        <f xml:space="preserve"> Translate!E$19 &amp; ": " &amp; E280</f>
        <v>Total: Net decommissioning cashflows: FID forward</v>
      </c>
      <c r="F293" s="158">
        <f t="shared" ca="1" si="112"/>
        <v>-2.3839766756493965</v>
      </c>
      <c r="G293" s="93" t="str">
        <f t="shared" si="113"/>
        <v>US$ mn 2021 NPV8</v>
      </c>
    </row>
    <row r="294" spans="1:50" s="93" customFormat="1" ht="15" customHeight="1">
      <c r="A294" s="90"/>
      <c r="B294" s="134"/>
      <c r="E294" s="93" t="str">
        <f xml:space="preserve"> Translate!E$19 &amp; ": " &amp; E281</f>
        <v>Total: Government revenues excluding participation: FID forward</v>
      </c>
      <c r="F294" s="158">
        <f t="shared" ca="1" si="112"/>
        <v>298.94221625663874</v>
      </c>
      <c r="G294" s="93" t="str">
        <f t="shared" si="113"/>
        <v>US$ mn 2021 NPV8</v>
      </c>
    </row>
    <row r="295" spans="1:50" s="93" customFormat="1" ht="15" customHeight="1">
      <c r="A295" s="90"/>
      <c r="B295" s="134"/>
      <c r="E295" s="93" t="str">
        <f xml:space="preserve"> Translate!E$19 &amp; ": " &amp; E282</f>
        <v>Total: State participation cashflows including share of loan: FID forward</v>
      </c>
      <c r="F295" s="158">
        <f t="shared" ca="1" si="112"/>
        <v>0</v>
      </c>
      <c r="G295" s="93" t="str">
        <f t="shared" si="113"/>
        <v>US$ mn 2021 NPV8</v>
      </c>
    </row>
    <row r="296" spans="1:50" s="93" customFormat="1" ht="15" customHeight="1">
      <c r="A296" s="90"/>
      <c r="B296" s="134"/>
      <c r="E296" s="93" t="str">
        <f xml:space="preserve"> Translate!E$19 &amp; ": " &amp; E283</f>
        <v>Total: Government revenues including participation: FID forward</v>
      </c>
      <c r="F296" s="158">
        <f t="shared" ca="1" si="112"/>
        <v>298.94221625663874</v>
      </c>
      <c r="G296" s="93" t="str">
        <f t="shared" si="113"/>
        <v>US$ mn 2021 NPV8</v>
      </c>
    </row>
    <row r="297" spans="1:50" s="93" customFormat="1" ht="15" customHeight="1">
      <c r="A297" s="90"/>
      <c r="B297" s="134"/>
      <c r="E297" s="93" t="str">
        <f xml:space="preserve"> Translate!E$19 &amp; ": " &amp; E284</f>
        <v>Total: Net cashflow after fiscal regime: Parent company (excluding loan): FID forward</v>
      </c>
      <c r="F297" s="158">
        <f t="shared" ca="1" si="112"/>
        <v>391.17398998490813</v>
      </c>
      <c r="G297" s="93" t="str">
        <f t="shared" si="113"/>
        <v>US$ mn 2021 NPV8</v>
      </c>
    </row>
    <row r="298" spans="1:50" s="93" customFormat="1" ht="15" customHeight="1">
      <c r="A298" s="90"/>
      <c r="B298" s="134"/>
      <c r="E298" s="93" t="str">
        <f xml:space="preserve"> Translate!E$19 &amp; ": " &amp; E285</f>
        <v>Total: Project loan cashflows net of state participation share, met by parent company: FID forward</v>
      </c>
      <c r="F298" s="158">
        <f t="shared" ca="1" si="112"/>
        <v>-21.108378644952047</v>
      </c>
      <c r="G298" s="93" t="str">
        <f t="shared" si="113"/>
        <v>US$ mn 2021 NPV8</v>
      </c>
    </row>
    <row r="299" spans="1:50" s="93" customFormat="1" ht="15" customHeight="1">
      <c r="A299" s="90"/>
      <c r="B299" s="134"/>
      <c r="E299" s="93" t="str">
        <f xml:space="preserve"> Translate!E$19 &amp; ": " &amp; E286</f>
        <v>Total: Investors (Parent company + lender): FID forward</v>
      </c>
      <c r="F299" s="158">
        <f t="shared" ca="1" si="112"/>
        <v>370.06561133995615</v>
      </c>
      <c r="G299" s="93" t="str">
        <f t="shared" si="113"/>
        <v>US$ mn 2021 NPV8</v>
      </c>
    </row>
    <row r="300" spans="1:50" s="93" customFormat="1" ht="15" customHeight="1">
      <c r="A300" s="90"/>
      <c r="B300" s="134"/>
      <c r="E300" s="93" t="str">
        <f xml:space="preserve"> Translate!E$19 &amp; ": " &amp; E287</f>
        <v>Total: Project benefits: FID forward</v>
      </c>
      <c r="F300" s="93">
        <f t="shared" ca="1" si="112"/>
        <v>1038.6071677839038</v>
      </c>
      <c r="G300" s="93" t="str">
        <f t="shared" si="113"/>
        <v>US$ mn 2021 NPV8</v>
      </c>
    </row>
    <row r="301" spans="1:50" s="93" customFormat="1" ht="15" customHeight="1">
      <c r="A301" s="90"/>
      <c r="B301" s="134"/>
    </row>
    <row r="302" spans="1:50" s="93" customFormat="1" ht="15" customHeight="1">
      <c r="A302" s="90"/>
      <c r="B302" s="134"/>
      <c r="E302" s="93" t="str">
        <f xml:space="preserve"> Translate!E$444 &amp; ": " &amp; Translate!$E$19 &amp;  ": " &amp; B274</f>
        <v>Check: Total: Project participants: FID forward, real, NPV8</v>
      </c>
      <c r="F302" s="61">
        <f ca="1" xml:space="preserve"> IF( ABS(F292 + F293 - SUM(F296:F298)) &gt; CHK_TOL, 1, 0)</f>
        <v>0</v>
      </c>
      <c r="G302" s="1041" t="str">
        <f xml:space="preserve"> Translate!E$444</f>
        <v>Check</v>
      </c>
    </row>
    <row r="304" spans="1:50" s="93" customFormat="1" ht="15" customHeight="1">
      <c r="A304" s="90"/>
      <c r="B304" s="156" t="str">
        <f>Translate!$E$17  &amp; ": " &amp; Inputs!F$84 &amp; ", " &amp; Inputs!F$85 &amp; ", " &amp; Inputs!F$59</f>
        <v>Government share metrics: FID forward, real, NPV8</v>
      </c>
    </row>
    <row r="305" spans="1:13" s="93" customFormat="1" ht="15" customHeight="1">
      <c r="A305" s="90"/>
      <c r="B305" s="134"/>
      <c r="E305" s="305" t="str">
        <f>Translate!$E$435</f>
        <v>Average Effective Tax Rate (excl. participation)</v>
      </c>
      <c r="F305" s="65">
        <f ca="1" xml:space="preserve"> F294 / F292</f>
        <v>0.4452574701603299</v>
      </c>
      <c r="G305" s="93" t="str">
        <f xml:space="preserve"> "% " &amp; Inputs!F$85 &amp;", " &amp;  Inputs!F$84 &amp;", " &amp; $F$277</f>
        <v>% real, FID forward, NPV8</v>
      </c>
      <c r="I305" s="305"/>
    </row>
    <row r="306" spans="1:13" s="93" customFormat="1" ht="15" customHeight="1">
      <c r="A306" s="90"/>
      <c r="B306" s="134"/>
      <c r="E306" s="158" t="str">
        <f>Translate!$E$436</f>
        <v>Average Effective Tax Rate (incl. participation)</v>
      </c>
      <c r="F306" s="251">
        <f ca="1" xml:space="preserve"> F296 / F292</f>
        <v>0.4452574701603299</v>
      </c>
      <c r="G306" s="93" t="str">
        <f xml:space="preserve"> "% " &amp; Inputs!F$85 &amp;", " &amp;  Inputs!F$84 &amp;", " &amp; $F$277</f>
        <v>% real, FID forward, NPV8</v>
      </c>
    </row>
    <row r="307" spans="1:13" s="93" customFormat="1" ht="15" customHeight="1">
      <c r="A307" s="90"/>
      <c r="B307" s="134"/>
      <c r="E307" s="93" t="str">
        <f>Translate!E$510</f>
        <v>Government share of project benefits</v>
      </c>
      <c r="F307" s="251">
        <f ca="1" xml:space="preserve"> F296 / F300</f>
        <v>0.28782991830732069</v>
      </c>
      <c r="G307" s="93" t="str">
        <f xml:space="preserve"> "% " &amp; Inputs!F$85 &amp;", " &amp;  Inputs!F$84 &amp;", " &amp; $F$277</f>
        <v>% real, FID forward, NPV8</v>
      </c>
    </row>
    <row r="310" spans="1:13">
      <c r="A310" s="56" t="e">
        <f ca="1">A1 &amp; ": " &amp; Translate!$E$609</f>
        <v>#VALUE!</v>
      </c>
      <c r="B310" s="56"/>
      <c r="C310" s="56"/>
      <c r="D310" s="56"/>
      <c r="E310" s="56"/>
      <c r="F310" s="56"/>
      <c r="G310" s="56"/>
      <c r="H310" s="56"/>
    </row>
    <row r="311" spans="1:13">
      <c r="A311" s="57"/>
      <c r="B311" s="58"/>
      <c r="C311" s="201"/>
      <c r="D311" s="59"/>
      <c r="E311" s="57"/>
      <c r="F311" s="851" t="str">
        <f xml:space="preserve"> Translate!E$565</f>
        <v>do not delete row</v>
      </c>
      <c r="G311" s="57"/>
      <c r="H311" s="57"/>
    </row>
    <row r="312" spans="1:13">
      <c r="A312" s="46"/>
      <c r="B312" s="46"/>
      <c r="C312" s="89"/>
      <c r="D312" s="89"/>
      <c r="E312" s="60" t="str">
        <f xml:space="preserve"> E$33</f>
        <v>Check: Cashflows: full-cycle, nominal</v>
      </c>
      <c r="F312" s="61">
        <f ca="1" xml:space="preserve"> F$33</f>
        <v>0</v>
      </c>
      <c r="G312" s="63" t="str">
        <f xml:space="preserve"> G$33</f>
        <v>Check</v>
      </c>
      <c r="H312" s="43"/>
    </row>
    <row r="313" spans="1:13">
      <c r="A313" s="46"/>
      <c r="B313" s="46"/>
      <c r="C313" s="89"/>
      <c r="D313" s="89"/>
      <c r="E313" s="60" t="str">
        <f xml:space="preserve"> E$45</f>
        <v>Check: Cashflows: full-cycle, nominal, Total</v>
      </c>
      <c r="F313" s="61">
        <f ca="1" xml:space="preserve"> F$45</f>
        <v>0</v>
      </c>
      <c r="G313" s="63" t="str">
        <f xml:space="preserve"> G$45</f>
        <v>Check</v>
      </c>
      <c r="H313" s="43"/>
    </row>
    <row r="314" spans="1:13">
      <c r="A314" s="46"/>
      <c r="B314" s="46"/>
      <c r="C314" s="89"/>
      <c r="D314" s="89"/>
      <c r="E314" s="60" t="str">
        <f xml:space="preserve"> E$99</f>
        <v>Check: Project cashflows: full-cycle, real, Total</v>
      </c>
      <c r="F314" s="61">
        <f ca="1" xml:space="preserve"> F$99</f>
        <v>0</v>
      </c>
      <c r="G314" s="211" t="str">
        <f xml:space="preserve"> G$99</f>
        <v>Check</v>
      </c>
      <c r="H314" s="43"/>
    </row>
    <row r="315" spans="1:13">
      <c r="A315" s="46"/>
      <c r="B315" s="46"/>
      <c r="C315" s="89"/>
      <c r="D315" s="89"/>
      <c r="E315" s="72" t="str">
        <f xml:space="preserve"> E$120</f>
        <v>Check: Unit analysis: full-cycle, real</v>
      </c>
      <c r="F315" s="61">
        <f ca="1" xml:space="preserve"> F$120</f>
        <v>0</v>
      </c>
      <c r="G315" s="211" t="str">
        <f xml:space="preserve"> G$120</f>
        <v>Check</v>
      </c>
      <c r="H315" s="43"/>
    </row>
    <row r="316" spans="1:13">
      <c r="A316" s="46"/>
      <c r="B316" s="46"/>
      <c r="C316" s="89"/>
      <c r="D316" s="89"/>
      <c r="E316" s="60" t="str">
        <f xml:space="preserve"> E$134</f>
        <v>Check: Cashflows: full-cycle, real</v>
      </c>
      <c r="F316" s="61">
        <f ca="1" xml:space="preserve"> F$134</f>
        <v>0</v>
      </c>
      <c r="G316" s="63" t="str">
        <f xml:space="preserve"> G$134</f>
        <v>Check</v>
      </c>
      <c r="H316" s="43"/>
    </row>
    <row r="317" spans="1:13">
      <c r="A317" s="46"/>
      <c r="B317" s="46"/>
      <c r="C317" s="89"/>
      <c r="D317" s="89"/>
      <c r="E317" s="60" t="str">
        <f xml:space="preserve"> E$146</f>
        <v>Check: Cashflows: full-cycle, real, Total</v>
      </c>
      <c r="F317" s="61">
        <f ca="1" xml:space="preserve"> F$146</f>
        <v>0</v>
      </c>
      <c r="G317" s="63" t="str">
        <f xml:space="preserve"> G$146</f>
        <v>Check</v>
      </c>
      <c r="H317" s="43"/>
    </row>
    <row r="318" spans="1:13">
      <c r="A318" s="46"/>
      <c r="B318" s="46"/>
      <c r="C318" s="89"/>
      <c r="D318" s="89"/>
      <c r="E318" s="60" t="str">
        <f xml:space="preserve"> E$189</f>
        <v>Check: Project participants: full-cycle, real, NPV8</v>
      </c>
      <c r="F318" s="61">
        <f ca="1" xml:space="preserve"> F$189</f>
        <v>0</v>
      </c>
      <c r="G318" s="63" t="str">
        <f xml:space="preserve"> G$189</f>
        <v>Check</v>
      </c>
      <c r="H318" s="43"/>
    </row>
    <row r="319" spans="1:13">
      <c r="A319" s="46"/>
      <c r="B319" s="46"/>
      <c r="C319" s="89"/>
      <c r="D319" s="89"/>
      <c r="E319" s="60" t="str">
        <f xml:space="preserve"> E$201</f>
        <v>Check: Project participants: full-cycle, real, NPV8, Total</v>
      </c>
      <c r="F319" s="61">
        <f ca="1" xml:space="preserve"> F$201</f>
        <v>0</v>
      </c>
      <c r="G319" s="63" t="str">
        <f xml:space="preserve"> G$201</f>
        <v>Check</v>
      </c>
      <c r="H319" s="43"/>
      <c r="M319" s="76"/>
    </row>
    <row r="320" spans="1:13">
      <c r="A320" s="46"/>
      <c r="B320" s="46"/>
      <c r="C320" s="89"/>
      <c r="D320" s="89"/>
      <c r="E320" s="60" t="str">
        <f xml:space="preserve"> E$235</f>
        <v>Check: Cashflows: FID forward, real</v>
      </c>
      <c r="F320" s="61">
        <f ca="1" xml:space="preserve"> F$235</f>
        <v>0</v>
      </c>
      <c r="G320" s="63" t="str">
        <f xml:space="preserve"> G$235</f>
        <v>Check</v>
      </c>
      <c r="H320" s="43"/>
    </row>
    <row r="321" spans="1:8">
      <c r="A321" s="46"/>
      <c r="B321" s="46"/>
      <c r="C321" s="89"/>
      <c r="D321" s="89"/>
      <c r="E321" s="60" t="str">
        <f xml:space="preserve"> E$247</f>
        <v>Check: Cashflows: FID forward, real, Total</v>
      </c>
      <c r="F321" s="61">
        <f ca="1" xml:space="preserve"> F$247</f>
        <v>0</v>
      </c>
      <c r="G321" s="63" t="str">
        <f xml:space="preserve"> G$247</f>
        <v>Check</v>
      </c>
      <c r="H321" s="43"/>
    </row>
    <row r="322" spans="1:8">
      <c r="A322" s="46"/>
      <c r="B322" s="46"/>
      <c r="C322" s="89"/>
      <c r="D322" s="89"/>
      <c r="E322" s="60" t="str">
        <f xml:space="preserve"> E$290</f>
        <v>Check: Project participants: FID forward, real, NPV8</v>
      </c>
      <c r="F322" s="61">
        <f ca="1" xml:space="preserve"> F$290</f>
        <v>0</v>
      </c>
      <c r="G322" s="63" t="str">
        <f xml:space="preserve"> G$290</f>
        <v>Check</v>
      </c>
      <c r="H322" s="43"/>
    </row>
    <row r="323" spans="1:8">
      <c r="A323" s="46"/>
      <c r="B323" s="46"/>
      <c r="C323" s="89"/>
      <c r="D323" s="89"/>
      <c r="E323" s="60" t="str">
        <f xml:space="preserve"> E$302</f>
        <v>Check: Total: Project participants: FID forward, real, NPV8</v>
      </c>
      <c r="F323" s="61">
        <f ca="1" xml:space="preserve"> F$302</f>
        <v>0</v>
      </c>
      <c r="G323" s="63" t="str">
        <f xml:space="preserve"> G$302</f>
        <v>Check</v>
      </c>
      <c r="H323" s="43"/>
    </row>
    <row r="324" spans="1:8">
      <c r="A324" s="57"/>
      <c r="B324" s="58"/>
      <c r="C324" s="201"/>
      <c r="D324" s="59"/>
      <c r="E324" s="57"/>
      <c r="F324" s="851" t="str">
        <f xml:space="preserve"> Translate!E$565</f>
        <v>do not delete row</v>
      </c>
      <c r="G324" s="57"/>
      <c r="H324" s="57"/>
    </row>
    <row r="325" spans="1:8">
      <c r="A325" s="19"/>
      <c r="B325" s="19"/>
      <c r="C325" s="202"/>
      <c r="D325" s="203"/>
      <c r="E325" s="1041" t="e">
        <f ca="1" xml:space="preserve"> Translate!$E$639 &amp; ": " &amp; $A$1</f>
        <v>#VALUE!</v>
      </c>
      <c r="F325" s="62">
        <f ca="1" xml:space="preserve"> SUM(F311:F324)</f>
        <v>0</v>
      </c>
      <c r="G325" s="1041" t="str">
        <f xml:space="preserve"> Translate!E$444</f>
        <v>Check</v>
      </c>
      <c r="H325" s="1041"/>
    </row>
  </sheetData>
  <conditionalFormatting sqref="F33 F312:F323">
    <cfRule type="cellIs" dxfId="107" priority="67" stopIfTrue="1" operator="notEqual">
      <formula>0</formula>
    </cfRule>
    <cfRule type="cellIs" dxfId="106" priority="68" stopIfTrue="1" operator="equal">
      <formula>""</formula>
    </cfRule>
  </conditionalFormatting>
  <conditionalFormatting sqref="F247">
    <cfRule type="cellIs" dxfId="105" priority="51" stopIfTrue="1" operator="notEqual">
      <formula>0</formula>
    </cfRule>
    <cfRule type="cellIs" dxfId="104" priority="52" stopIfTrue="1" operator="equal">
      <formula>""</formula>
    </cfRule>
  </conditionalFormatting>
  <conditionalFormatting sqref="F201">
    <cfRule type="cellIs" dxfId="103" priority="47" stopIfTrue="1" operator="notEqual">
      <formula>0</formula>
    </cfRule>
    <cfRule type="cellIs" dxfId="102" priority="48" stopIfTrue="1" operator="equal">
      <formula>""</formula>
    </cfRule>
  </conditionalFormatting>
  <conditionalFormatting sqref="F45">
    <cfRule type="cellIs" dxfId="101" priority="53" stopIfTrue="1" operator="notEqual">
      <formula>0</formula>
    </cfRule>
    <cfRule type="cellIs" dxfId="100" priority="54" stopIfTrue="1" operator="equal">
      <formula>""</formula>
    </cfRule>
  </conditionalFormatting>
  <conditionalFormatting sqref="F302">
    <cfRule type="cellIs" dxfId="99" priority="45" stopIfTrue="1" operator="notEqual">
      <formula>0</formula>
    </cfRule>
    <cfRule type="cellIs" dxfId="98" priority="46" stopIfTrue="1" operator="equal">
      <formula>""</formula>
    </cfRule>
  </conditionalFormatting>
  <conditionalFormatting sqref="F146">
    <cfRule type="cellIs" dxfId="97" priority="43" stopIfTrue="1" operator="notEqual">
      <formula>0</formula>
    </cfRule>
    <cfRule type="cellIs" dxfId="96" priority="44" stopIfTrue="1" operator="equal">
      <formula>""</formula>
    </cfRule>
  </conditionalFormatting>
  <conditionalFormatting sqref="F99">
    <cfRule type="cellIs" dxfId="95" priority="41" stopIfTrue="1" operator="notEqual">
      <formula>0</formula>
    </cfRule>
    <cfRule type="cellIs" dxfId="94" priority="42" stopIfTrue="1" operator="equal">
      <formula>""</formula>
    </cfRule>
  </conditionalFormatting>
  <conditionalFormatting sqref="F325">
    <cfRule type="cellIs" dxfId="93" priority="37" stopIfTrue="1" operator="notEqual">
      <formula>0</formula>
    </cfRule>
    <cfRule type="cellIs" dxfId="92" priority="38" stopIfTrue="1" operator="equal">
      <formula>""</formula>
    </cfRule>
  </conditionalFormatting>
  <conditionalFormatting sqref="F3">
    <cfRule type="cellIs" dxfId="91" priority="31" stopIfTrue="1" operator="notEqual">
      <formula>0</formula>
    </cfRule>
    <cfRule type="cellIs" dxfId="90" priority="32" stopIfTrue="1" operator="equal">
      <formula>""</formula>
    </cfRule>
  </conditionalFormatting>
  <conditionalFormatting sqref="F3">
    <cfRule type="cellIs" dxfId="89" priority="29" stopIfTrue="1" operator="notEqual">
      <formula>0</formula>
    </cfRule>
    <cfRule type="cellIs" dxfId="88" priority="30" stopIfTrue="1" operator="equal">
      <formula>""</formula>
    </cfRule>
  </conditionalFormatting>
  <conditionalFormatting sqref="F120">
    <cfRule type="cellIs" dxfId="87" priority="27" stopIfTrue="1" operator="notEqual">
      <formula>0</formula>
    </cfRule>
    <cfRule type="cellIs" dxfId="86" priority="28" stopIfTrue="1" operator="equal">
      <formula>""</formula>
    </cfRule>
  </conditionalFormatting>
  <conditionalFormatting sqref="K3">
    <cfRule type="cellIs" dxfId="85" priority="21" stopIfTrue="1" operator="notEqual">
      <formula>0</formula>
    </cfRule>
    <cfRule type="cellIs" dxfId="84" priority="22" stopIfTrue="1" operator="equal">
      <formula>""</formula>
    </cfRule>
  </conditionalFormatting>
  <conditionalFormatting sqref="K33:AX33">
    <cfRule type="cellIs" dxfId="83" priority="19" stopIfTrue="1" operator="notEqual">
      <formula>0</formula>
    </cfRule>
    <cfRule type="cellIs" dxfId="82" priority="20" stopIfTrue="1" operator="equal">
      <formula>""</formula>
    </cfRule>
  </conditionalFormatting>
  <conditionalFormatting sqref="F134">
    <cfRule type="cellIs" dxfId="81" priority="17" stopIfTrue="1" operator="notEqual">
      <formula>0</formula>
    </cfRule>
    <cfRule type="cellIs" dxfId="80" priority="18" stopIfTrue="1" operator="equal">
      <formula>""</formula>
    </cfRule>
  </conditionalFormatting>
  <conditionalFormatting sqref="K134:AX134">
    <cfRule type="cellIs" dxfId="79" priority="15" stopIfTrue="1" operator="notEqual">
      <formula>0</formula>
    </cfRule>
    <cfRule type="cellIs" dxfId="78" priority="16" stopIfTrue="1" operator="equal">
      <formula>""</formula>
    </cfRule>
  </conditionalFormatting>
  <conditionalFormatting sqref="F189">
    <cfRule type="cellIs" dxfId="77" priority="13" stopIfTrue="1" operator="notEqual">
      <formula>0</formula>
    </cfRule>
    <cfRule type="cellIs" dxfId="76" priority="14" stopIfTrue="1" operator="equal">
      <formula>""</formula>
    </cfRule>
  </conditionalFormatting>
  <conditionalFormatting sqref="K189:AX189">
    <cfRule type="cellIs" dxfId="75" priority="11" stopIfTrue="1" operator="notEqual">
      <formula>0</formula>
    </cfRule>
    <cfRule type="cellIs" dxfId="74" priority="12" stopIfTrue="1" operator="equal">
      <formula>""</formula>
    </cfRule>
  </conditionalFormatting>
  <conditionalFormatting sqref="F235">
    <cfRule type="cellIs" dxfId="73" priority="9" stopIfTrue="1" operator="notEqual">
      <formula>0</formula>
    </cfRule>
    <cfRule type="cellIs" dxfId="72" priority="10" stopIfTrue="1" operator="equal">
      <formula>""</formula>
    </cfRule>
  </conditionalFormatting>
  <conditionalFormatting sqref="K235:AX235">
    <cfRule type="cellIs" dxfId="71" priority="7" stopIfTrue="1" operator="notEqual">
      <formula>0</formula>
    </cfRule>
    <cfRule type="cellIs" dxfId="70" priority="8" stopIfTrue="1" operator="equal">
      <formula>""</formula>
    </cfRule>
  </conditionalFormatting>
  <conditionalFormatting sqref="F290">
    <cfRule type="cellIs" dxfId="69" priority="5" stopIfTrue="1" operator="notEqual">
      <formula>0</formula>
    </cfRule>
    <cfRule type="cellIs" dxfId="68" priority="6" stopIfTrue="1" operator="equal">
      <formula>""</formula>
    </cfRule>
  </conditionalFormatting>
  <conditionalFormatting sqref="K290:AX290">
    <cfRule type="cellIs" dxfId="67" priority="3" stopIfTrue="1" operator="notEqual">
      <formula>0</formula>
    </cfRule>
    <cfRule type="cellIs" dxfId="66" priority="4" stopIfTrue="1" operator="equal">
      <formula>""</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tabColor rgb="FF00B0F0"/>
    <pageSetUpPr autoPageBreaks="0"/>
  </sheetPr>
  <dimension ref="A1:AX154"/>
  <sheetViews>
    <sheetView zoomScale="85" zoomScaleNormal="85" workbookViewId="0">
      <pane xSplit="10" ySplit="3" topLeftCell="K4" activePane="bottomRight" state="frozen"/>
      <selection pane="bottomRight" activeCell="A4" sqref="A4"/>
      <selection pane="bottomLeft" activeCell="H1" sqref="H1:H1048576"/>
      <selection pane="topRight" activeCell="H1" sqref="H1:H1048576"/>
    </sheetView>
  </sheetViews>
  <sheetFormatPr defaultColWidth="0" defaultRowHeight="15" outlineLevelCol="1"/>
  <cols>
    <col min="1" max="1" width="1.28515625" style="4" customWidth="1"/>
    <col min="2" max="2" width="1.28515625" style="197" customWidth="1"/>
    <col min="3" max="4" width="1.28515625" style="4" customWidth="1"/>
    <col min="5" max="5" width="50.7109375" style="4" customWidth="1"/>
    <col min="6" max="6" width="12.7109375" style="4" customWidth="1"/>
    <col min="7" max="7" width="20.7109375" style="4" customWidth="1"/>
    <col min="8" max="8" width="40.7109375" style="4" hidden="1" customWidth="1" outlineLevel="1"/>
    <col min="9" max="9" width="12.7109375" style="4" customWidth="1" collapsed="1"/>
    <col min="10" max="10" width="3.7109375" style="4" customWidth="1"/>
    <col min="11" max="50" width="10.7109375" style="4" customWidth="1"/>
    <col min="51" max="16384" width="9.140625" style="4" hidden="1"/>
  </cols>
  <sheetData>
    <row r="1" spans="1:50" s="275" customFormat="1">
      <c r="A1" s="299" t="e">
        <f ca="1" xml:space="preserve"> RIGHT( CELL("filename",$A$1), LEN( CELL("filename",$A$1)) - SEARCH("]", CELL("filename",$A$1)))</f>
        <v>#VALUE!</v>
      </c>
      <c r="B1" s="916"/>
      <c r="C1" s="482"/>
      <c r="D1" s="482"/>
      <c r="E1" s="482"/>
      <c r="F1" s="482"/>
      <c r="G1" s="482"/>
      <c r="H1" s="482"/>
      <c r="I1" s="482"/>
      <c r="J1" s="482"/>
      <c r="K1" s="267">
        <f xml:space="preserve"> ProjectCashflows!K$48</f>
        <v>2021</v>
      </c>
      <c r="L1" s="267">
        <f xml:space="preserve"> ProjectCashflows!L$48</f>
        <v>2022</v>
      </c>
      <c r="M1" s="267">
        <f xml:space="preserve"> ProjectCashflows!M$48</f>
        <v>2023</v>
      </c>
      <c r="N1" s="267">
        <f xml:space="preserve"> ProjectCashflows!N$48</f>
        <v>2024</v>
      </c>
      <c r="O1" s="267">
        <f xml:space="preserve"> ProjectCashflows!O$48</f>
        <v>2025</v>
      </c>
      <c r="P1" s="267">
        <f xml:space="preserve"> ProjectCashflows!P$48</f>
        <v>2026</v>
      </c>
      <c r="Q1" s="267">
        <f xml:space="preserve"> ProjectCashflows!Q$48</f>
        <v>2027</v>
      </c>
      <c r="R1" s="267">
        <f xml:space="preserve"> ProjectCashflows!R$48</f>
        <v>2028</v>
      </c>
      <c r="S1" s="267">
        <f xml:space="preserve"> ProjectCashflows!S$48</f>
        <v>2029</v>
      </c>
      <c r="T1" s="267">
        <f xml:space="preserve"> ProjectCashflows!T$48</f>
        <v>2030</v>
      </c>
      <c r="U1" s="267">
        <f xml:space="preserve"> ProjectCashflows!U$48</f>
        <v>2031</v>
      </c>
      <c r="V1" s="267">
        <f xml:space="preserve"> ProjectCashflows!V$48</f>
        <v>2032</v>
      </c>
      <c r="W1" s="267">
        <f xml:space="preserve"> ProjectCashflows!W$48</f>
        <v>2033</v>
      </c>
      <c r="X1" s="267">
        <f xml:space="preserve"> ProjectCashflows!X$48</f>
        <v>2034</v>
      </c>
      <c r="Y1" s="267">
        <f xml:space="preserve"> ProjectCashflows!Y$48</f>
        <v>2035</v>
      </c>
      <c r="Z1" s="267">
        <f xml:space="preserve"> ProjectCashflows!Z$48</f>
        <v>2036</v>
      </c>
      <c r="AA1" s="267">
        <f xml:space="preserve"> ProjectCashflows!AA$48</f>
        <v>2037</v>
      </c>
      <c r="AB1" s="267">
        <f xml:space="preserve"> ProjectCashflows!AB$48</f>
        <v>2038</v>
      </c>
      <c r="AC1" s="267">
        <f xml:space="preserve"> ProjectCashflows!AC$48</f>
        <v>2039</v>
      </c>
      <c r="AD1" s="267">
        <f xml:space="preserve"> ProjectCashflows!AD$48</f>
        <v>2040</v>
      </c>
      <c r="AE1" s="267">
        <f xml:space="preserve"> ProjectCashflows!AE$48</f>
        <v>2041</v>
      </c>
      <c r="AF1" s="267">
        <f xml:space="preserve"> ProjectCashflows!AF$48</f>
        <v>2042</v>
      </c>
      <c r="AG1" s="267">
        <f xml:space="preserve"> ProjectCashflows!AG$48</f>
        <v>2043</v>
      </c>
      <c r="AH1" s="267">
        <f xml:space="preserve"> ProjectCashflows!AH$48</f>
        <v>2044</v>
      </c>
      <c r="AI1" s="267">
        <f xml:space="preserve"> ProjectCashflows!AI$48</f>
        <v>2045</v>
      </c>
      <c r="AJ1" s="267">
        <f xml:space="preserve"> ProjectCashflows!AJ$48</f>
        <v>2046</v>
      </c>
      <c r="AK1" s="267">
        <f xml:space="preserve"> ProjectCashflows!AK$48</f>
        <v>2047</v>
      </c>
      <c r="AL1" s="267">
        <f xml:space="preserve"> ProjectCashflows!AL$48</f>
        <v>2048</v>
      </c>
      <c r="AM1" s="267">
        <f xml:space="preserve"> ProjectCashflows!AM$48</f>
        <v>2049</v>
      </c>
      <c r="AN1" s="267">
        <f xml:space="preserve"> ProjectCashflows!AN$48</f>
        <v>2050</v>
      </c>
      <c r="AO1" s="267">
        <f xml:space="preserve"> ProjectCashflows!AO$48</f>
        <v>2051</v>
      </c>
      <c r="AP1" s="267">
        <f xml:space="preserve"> ProjectCashflows!AP$48</f>
        <v>2052</v>
      </c>
      <c r="AQ1" s="267">
        <f xml:space="preserve"> ProjectCashflows!AQ$48</f>
        <v>2053</v>
      </c>
      <c r="AR1" s="267">
        <f xml:space="preserve"> ProjectCashflows!AR$48</f>
        <v>2054</v>
      </c>
      <c r="AS1" s="267">
        <f xml:space="preserve"> ProjectCashflows!AS$48</f>
        <v>2055</v>
      </c>
      <c r="AT1" s="267">
        <f xml:space="preserve"> ProjectCashflows!AT$48</f>
        <v>2056</v>
      </c>
      <c r="AU1" s="267">
        <f xml:space="preserve"> ProjectCashflows!AU$48</f>
        <v>2057</v>
      </c>
      <c r="AV1" s="267">
        <f xml:space="preserve"> ProjectCashflows!AV$48</f>
        <v>2058</v>
      </c>
      <c r="AW1" s="267">
        <f xml:space="preserve"> ProjectCashflows!AW$48</f>
        <v>2059</v>
      </c>
      <c r="AX1" s="267">
        <f xml:space="preserve"> ProjectCashflows!AX$48</f>
        <v>2060</v>
      </c>
    </row>
    <row r="2" spans="1:50" ht="15" customHeight="1">
      <c r="A2" s="76"/>
      <c r="B2" s="74"/>
      <c r="C2" s="76"/>
      <c r="D2" s="76"/>
      <c r="E2" s="76" t="str">
        <f>Translate!$E$391</f>
        <v>Row description</v>
      </c>
      <c r="F2" s="866" t="str">
        <f xml:space="preserve"> Translate!E$554</f>
        <v>Constant</v>
      </c>
      <c r="G2" s="857" t="str">
        <f xml:space="preserve"> Translate!E$445</f>
        <v>Units</v>
      </c>
      <c r="H2" s="1052" t="str">
        <f>Translate!$E$280</f>
        <v>Comments</v>
      </c>
      <c r="I2" s="857" t="str">
        <f xml:space="preserve"> Translate!E$19</f>
        <v>Total</v>
      </c>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row>
    <row r="3" spans="1:50" ht="15" customHeight="1">
      <c r="A3" s="76"/>
      <c r="B3" s="74"/>
      <c r="C3" s="76"/>
      <c r="D3" s="76"/>
      <c r="E3" s="76"/>
      <c r="F3" s="128">
        <f ca="1" xml:space="preserve"> ReadMe!$D$7</f>
        <v>0</v>
      </c>
      <c r="G3" s="77" t="str">
        <f xml:space="preserve"> ReadMe!$E$7</f>
        <v>Checks</v>
      </c>
      <c r="H3" s="77"/>
      <c r="I3" s="77"/>
      <c r="J3" s="76"/>
      <c r="K3" s="512">
        <f ca="1" xml:space="preserve"> Track!$F$1</f>
        <v>0</v>
      </c>
      <c r="L3" s="1041" t="str">
        <f xml:space="preserve"> Track!$G$1</f>
        <v>Track changes</v>
      </c>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row>
    <row r="4" spans="1:50" ht="15" customHeight="1">
      <c r="A4" s="86" t="str">
        <f>Translate!E39</f>
        <v>Government revenues</v>
      </c>
      <c r="B4" s="86"/>
      <c r="C4" s="86"/>
      <c r="D4" s="86"/>
      <c r="E4" s="88"/>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row>
    <row r="5" spans="1:50" ht="15" customHeight="1">
      <c r="A5" s="76"/>
      <c r="B5" s="74"/>
      <c r="C5" s="76"/>
      <c r="D5" s="76"/>
      <c r="E5" s="76"/>
      <c r="F5" s="76"/>
      <c r="G5" s="76"/>
      <c r="H5" s="76"/>
      <c r="I5" s="76"/>
      <c r="J5" s="76"/>
      <c r="K5" s="76"/>
      <c r="L5" s="76"/>
      <c r="M5" s="76"/>
      <c r="N5" s="76"/>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row>
    <row r="6" spans="1:50" ht="15" customHeight="1">
      <c r="A6" s="99"/>
      <c r="B6" s="100"/>
      <c r="C6" s="102"/>
      <c r="D6" s="102"/>
      <c r="E6" s="4" t="str">
        <f>Translate!$E$498</f>
        <v>Chart title</v>
      </c>
      <c r="F6" s="212" t="str">
        <f xml:space="preserve"> A4</f>
        <v>Government revenues</v>
      </c>
      <c r="G6" s="103"/>
      <c r="H6" s="103"/>
      <c r="I6" s="103"/>
      <c r="J6" s="103"/>
      <c r="K6" s="110"/>
      <c r="L6" s="102"/>
      <c r="M6" s="111"/>
      <c r="N6" s="111"/>
      <c r="O6" s="111"/>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row>
    <row r="7" spans="1:50" ht="15" customHeight="1">
      <c r="A7" s="41"/>
      <c r="B7" s="112"/>
      <c r="C7" s="41"/>
      <c r="D7" s="41"/>
      <c r="E7" s="4" t="str">
        <f>Translate!$E$500</f>
        <v>Horizontal axis</v>
      </c>
      <c r="F7" s="54" t="str">
        <f xml:space="preserve"> G10</f>
        <v>Years</v>
      </c>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row>
    <row r="8" spans="1:50" ht="15" customHeight="1">
      <c r="A8" s="41"/>
      <c r="B8" s="112"/>
      <c r="C8" s="41"/>
      <c r="D8" s="41"/>
      <c r="E8" s="4" t="str">
        <f>Translate!$E$499 &amp; " 1"</f>
        <v>Vertical axis 1</v>
      </c>
      <c r="F8" s="54" t="str">
        <f xml:space="preserve"> G13</f>
        <v>US$ mn 2021</v>
      </c>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row>
    <row r="9" spans="1:50" ht="15" customHeight="1">
      <c r="A9" s="41"/>
      <c r="B9" s="112"/>
      <c r="C9" s="41"/>
      <c r="D9" s="41"/>
      <c r="E9" s="4" t="str">
        <f>Translate!$E$499 &amp; " 2"</f>
        <v>Vertical axis 2</v>
      </c>
      <c r="F9" s="54"/>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row>
    <row r="10" spans="1:50" ht="15" customHeight="1">
      <c r="A10" s="39"/>
      <c r="B10" s="917"/>
      <c r="C10" s="39"/>
      <c r="D10" s="39"/>
      <c r="E10" s="72" t="str">
        <f xml:space="preserve"> ProjectCashflows!E$48</f>
        <v>Model calendar years</v>
      </c>
      <c r="F10" s="72">
        <f xml:space="preserve"> ProjectCashflows!F$48</f>
        <v>0</v>
      </c>
      <c r="G10" s="72" t="str">
        <f xml:space="preserve"> ProjectCashflows!G$48</f>
        <v>Years</v>
      </c>
      <c r="H10" s="72">
        <f xml:space="preserve"> ProjectCashflows!H$48</f>
        <v>0</v>
      </c>
      <c r="I10" s="72">
        <f xml:space="preserve"> ProjectCashflows!I$48</f>
        <v>0</v>
      </c>
      <c r="J10" s="72">
        <f xml:space="preserve"> ProjectCashflows!J$48</f>
        <v>0</v>
      </c>
      <c r="K10" s="267">
        <f xml:space="preserve"> ProjectCashflows!K$48</f>
        <v>2021</v>
      </c>
      <c r="L10" s="267">
        <f xml:space="preserve"> ProjectCashflows!L$48</f>
        <v>2022</v>
      </c>
      <c r="M10" s="267">
        <f xml:space="preserve"> ProjectCashflows!M$48</f>
        <v>2023</v>
      </c>
      <c r="N10" s="267">
        <f xml:space="preserve"> ProjectCashflows!N$48</f>
        <v>2024</v>
      </c>
      <c r="O10" s="267">
        <f xml:space="preserve"> ProjectCashflows!O$48</f>
        <v>2025</v>
      </c>
      <c r="P10" s="267">
        <f xml:space="preserve"> ProjectCashflows!P$48</f>
        <v>2026</v>
      </c>
      <c r="Q10" s="267">
        <f xml:space="preserve"> ProjectCashflows!Q$48</f>
        <v>2027</v>
      </c>
      <c r="R10" s="267">
        <f xml:space="preserve"> ProjectCashflows!R$48</f>
        <v>2028</v>
      </c>
      <c r="S10" s="267">
        <f xml:space="preserve"> ProjectCashflows!S$48</f>
        <v>2029</v>
      </c>
      <c r="T10" s="267">
        <f xml:space="preserve"> ProjectCashflows!T$48</f>
        <v>2030</v>
      </c>
      <c r="U10" s="267">
        <f xml:space="preserve"> ProjectCashflows!U$48</f>
        <v>2031</v>
      </c>
      <c r="V10" s="267">
        <f xml:space="preserve"> ProjectCashflows!V$48</f>
        <v>2032</v>
      </c>
      <c r="W10" s="267">
        <f xml:space="preserve"> ProjectCashflows!W$48</f>
        <v>2033</v>
      </c>
      <c r="X10" s="267">
        <f xml:space="preserve"> ProjectCashflows!X$48</f>
        <v>2034</v>
      </c>
      <c r="Y10" s="267">
        <f xml:space="preserve"> ProjectCashflows!Y$48</f>
        <v>2035</v>
      </c>
      <c r="Z10" s="267">
        <f xml:space="preserve"> ProjectCashflows!Z$48</f>
        <v>2036</v>
      </c>
      <c r="AA10" s="267">
        <f xml:space="preserve"> ProjectCashflows!AA$48</f>
        <v>2037</v>
      </c>
      <c r="AB10" s="267">
        <f xml:space="preserve"> ProjectCashflows!AB$48</f>
        <v>2038</v>
      </c>
      <c r="AC10" s="267">
        <f xml:space="preserve"> ProjectCashflows!AC$48</f>
        <v>2039</v>
      </c>
      <c r="AD10" s="267">
        <f xml:space="preserve"> ProjectCashflows!AD$48</f>
        <v>2040</v>
      </c>
      <c r="AE10" s="267">
        <f xml:space="preserve"> ProjectCashflows!AE$48</f>
        <v>2041</v>
      </c>
      <c r="AF10" s="267">
        <f xml:space="preserve"> ProjectCashflows!AF$48</f>
        <v>2042</v>
      </c>
      <c r="AG10" s="267">
        <f xml:space="preserve"> ProjectCashflows!AG$48</f>
        <v>2043</v>
      </c>
      <c r="AH10" s="267">
        <f xml:space="preserve"> ProjectCashflows!AH$48</f>
        <v>2044</v>
      </c>
      <c r="AI10" s="267">
        <f xml:space="preserve"> ProjectCashflows!AI$48</f>
        <v>2045</v>
      </c>
      <c r="AJ10" s="267">
        <f xml:space="preserve"> ProjectCashflows!AJ$48</f>
        <v>2046</v>
      </c>
      <c r="AK10" s="267">
        <f xml:space="preserve"> ProjectCashflows!AK$48</f>
        <v>2047</v>
      </c>
      <c r="AL10" s="267">
        <f xml:space="preserve"> ProjectCashflows!AL$48</f>
        <v>2048</v>
      </c>
      <c r="AM10" s="267">
        <f xml:space="preserve"> ProjectCashflows!AM$48</f>
        <v>2049</v>
      </c>
      <c r="AN10" s="267">
        <f xml:space="preserve"> ProjectCashflows!AN$48</f>
        <v>2050</v>
      </c>
      <c r="AO10" s="267">
        <f xml:space="preserve"> ProjectCashflows!AO$48</f>
        <v>2051</v>
      </c>
      <c r="AP10" s="267">
        <f xml:space="preserve"> ProjectCashflows!AP$48</f>
        <v>2052</v>
      </c>
      <c r="AQ10" s="267">
        <f xml:space="preserve"> ProjectCashflows!AQ$48</f>
        <v>2053</v>
      </c>
      <c r="AR10" s="267">
        <f xml:space="preserve"> ProjectCashflows!AR$48</f>
        <v>2054</v>
      </c>
      <c r="AS10" s="267">
        <f xml:space="preserve"> ProjectCashflows!AS$48</f>
        <v>2055</v>
      </c>
      <c r="AT10" s="267">
        <f xml:space="preserve"> ProjectCashflows!AT$48</f>
        <v>2056</v>
      </c>
      <c r="AU10" s="267">
        <f xml:space="preserve"> ProjectCashflows!AU$48</f>
        <v>2057</v>
      </c>
      <c r="AV10" s="267">
        <f xml:space="preserve"> ProjectCashflows!AV$48</f>
        <v>2058</v>
      </c>
      <c r="AW10" s="267">
        <f xml:space="preserve"> ProjectCashflows!AW$48</f>
        <v>2059</v>
      </c>
      <c r="AX10" s="267">
        <f xml:space="preserve"> ProjectCashflows!AX$48</f>
        <v>2060</v>
      </c>
    </row>
    <row r="11" spans="1:50" ht="15" customHeight="1">
      <c r="A11" s="41"/>
      <c r="B11" s="112"/>
      <c r="C11" s="41"/>
      <c r="D11" s="41"/>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c r="AI11" s="106"/>
      <c r="AJ11" s="106"/>
      <c r="AK11" s="106"/>
      <c r="AL11" s="106"/>
      <c r="AM11" s="106"/>
      <c r="AN11" s="106"/>
      <c r="AO11" s="106"/>
      <c r="AP11" s="106"/>
      <c r="AQ11" s="106"/>
      <c r="AR11" s="106"/>
      <c r="AS11" s="106"/>
      <c r="AT11" s="106"/>
      <c r="AU11" s="106"/>
      <c r="AV11" s="106"/>
      <c r="AW11" s="106"/>
      <c r="AX11" s="106"/>
    </row>
    <row r="12" spans="1:50" ht="15" customHeight="1">
      <c r="A12" s="192"/>
      <c r="B12" s="918"/>
      <c r="C12" s="192"/>
      <c r="D12" s="192"/>
      <c r="E12" s="192" t="str">
        <f xml:space="preserve"> FiscalModel!E749</f>
        <v>Signature bonus</v>
      </c>
      <c r="F12" s="192">
        <f xml:space="preserve"> FiscalModel!F749</f>
        <v>0</v>
      </c>
      <c r="G12" s="192" t="str">
        <f xml:space="preserve"> FiscalModel!G749</f>
        <v>US$ mn 2021</v>
      </c>
      <c r="H12" s="192">
        <f xml:space="preserve"> FiscalModel!H749</f>
        <v>0</v>
      </c>
      <c r="I12" s="192">
        <f ca="1" xml:space="preserve"> FiscalModel!I749</f>
        <v>0</v>
      </c>
      <c r="J12" s="192">
        <f xml:space="preserve"> FiscalModel!J749</f>
        <v>0</v>
      </c>
      <c r="K12" s="192">
        <f ca="1" xml:space="preserve"> FiscalModel!K749</f>
        <v>0</v>
      </c>
      <c r="L12" s="192">
        <f ca="1" xml:space="preserve"> FiscalModel!L749</f>
        <v>0</v>
      </c>
      <c r="M12" s="192">
        <f ca="1" xml:space="preserve"> FiscalModel!M749</f>
        <v>0</v>
      </c>
      <c r="N12" s="192">
        <f ca="1" xml:space="preserve"> FiscalModel!N749</f>
        <v>0</v>
      </c>
      <c r="O12" s="192">
        <f ca="1" xml:space="preserve"> FiscalModel!O749</f>
        <v>0</v>
      </c>
      <c r="P12" s="192">
        <f ca="1" xml:space="preserve"> FiscalModel!P749</f>
        <v>0</v>
      </c>
      <c r="Q12" s="192">
        <f ca="1" xml:space="preserve"> FiscalModel!Q749</f>
        <v>0</v>
      </c>
      <c r="R12" s="192">
        <f ca="1" xml:space="preserve"> FiscalModel!R749</f>
        <v>0</v>
      </c>
      <c r="S12" s="192">
        <f ca="1" xml:space="preserve"> FiscalModel!S749</f>
        <v>0</v>
      </c>
      <c r="T12" s="192">
        <f ca="1" xml:space="preserve"> FiscalModel!T749</f>
        <v>0</v>
      </c>
      <c r="U12" s="192">
        <f ca="1" xml:space="preserve"> FiscalModel!U749</f>
        <v>0</v>
      </c>
      <c r="V12" s="192">
        <f ca="1" xml:space="preserve"> FiscalModel!V749</f>
        <v>0</v>
      </c>
      <c r="W12" s="192">
        <f ca="1" xml:space="preserve"> FiscalModel!W749</f>
        <v>0</v>
      </c>
      <c r="X12" s="192">
        <f ca="1" xml:space="preserve"> FiscalModel!X749</f>
        <v>0</v>
      </c>
      <c r="Y12" s="192">
        <f ca="1" xml:space="preserve"> FiscalModel!Y749</f>
        <v>0</v>
      </c>
      <c r="Z12" s="192">
        <f ca="1" xml:space="preserve"> FiscalModel!Z749</f>
        <v>0</v>
      </c>
      <c r="AA12" s="192">
        <f ca="1" xml:space="preserve"> FiscalModel!AA749</f>
        <v>0</v>
      </c>
      <c r="AB12" s="192">
        <f ca="1" xml:space="preserve"> FiscalModel!AB749</f>
        <v>0</v>
      </c>
      <c r="AC12" s="192">
        <f ca="1" xml:space="preserve"> FiscalModel!AC749</f>
        <v>0</v>
      </c>
      <c r="AD12" s="192">
        <f ca="1" xml:space="preserve"> FiscalModel!AD749</f>
        <v>0</v>
      </c>
      <c r="AE12" s="192">
        <f ca="1" xml:space="preserve"> FiscalModel!AE749</f>
        <v>0</v>
      </c>
      <c r="AF12" s="192">
        <f ca="1" xml:space="preserve"> FiscalModel!AF749</f>
        <v>0</v>
      </c>
      <c r="AG12" s="192">
        <f ca="1" xml:space="preserve"> FiscalModel!AG749</f>
        <v>0</v>
      </c>
      <c r="AH12" s="192">
        <f ca="1" xml:space="preserve"> FiscalModel!AH749</f>
        <v>0</v>
      </c>
      <c r="AI12" s="192">
        <f ca="1" xml:space="preserve"> FiscalModel!AI749</f>
        <v>0</v>
      </c>
      <c r="AJ12" s="192">
        <f ca="1" xml:space="preserve"> FiscalModel!AJ749</f>
        <v>0</v>
      </c>
      <c r="AK12" s="192">
        <f ca="1" xml:space="preserve"> FiscalModel!AK749</f>
        <v>0</v>
      </c>
      <c r="AL12" s="192">
        <f ca="1" xml:space="preserve"> FiscalModel!AL749</f>
        <v>0</v>
      </c>
      <c r="AM12" s="192">
        <f ca="1" xml:space="preserve"> FiscalModel!AM749</f>
        <v>0</v>
      </c>
      <c r="AN12" s="192">
        <f ca="1" xml:space="preserve"> FiscalModel!AN749</f>
        <v>0</v>
      </c>
      <c r="AO12" s="192">
        <f ca="1" xml:space="preserve"> FiscalModel!AO749</f>
        <v>0</v>
      </c>
      <c r="AP12" s="192">
        <f ca="1" xml:space="preserve"> FiscalModel!AP749</f>
        <v>0</v>
      </c>
      <c r="AQ12" s="192">
        <f ca="1" xml:space="preserve"> FiscalModel!AQ749</f>
        <v>0</v>
      </c>
      <c r="AR12" s="192">
        <f ca="1" xml:space="preserve"> FiscalModel!AR749</f>
        <v>0</v>
      </c>
      <c r="AS12" s="192">
        <f ca="1" xml:space="preserve"> FiscalModel!AS749</f>
        <v>0</v>
      </c>
      <c r="AT12" s="192">
        <f ca="1" xml:space="preserve"> FiscalModel!AT749</f>
        <v>0</v>
      </c>
      <c r="AU12" s="192">
        <f ca="1" xml:space="preserve"> FiscalModel!AU749</f>
        <v>0</v>
      </c>
      <c r="AV12" s="192">
        <f ca="1" xml:space="preserve"> FiscalModel!AV749</f>
        <v>0</v>
      </c>
      <c r="AW12" s="192">
        <f ca="1" xml:space="preserve"> FiscalModel!AW749</f>
        <v>0</v>
      </c>
      <c r="AX12" s="192">
        <f ca="1" xml:space="preserve"> FiscalModel!AX749</f>
        <v>0</v>
      </c>
    </row>
    <row r="13" spans="1:50" ht="15" customHeight="1">
      <c r="A13" s="192"/>
      <c r="B13" s="918"/>
      <c r="C13" s="192"/>
      <c r="D13" s="192"/>
      <c r="E13" s="192" t="str">
        <f xml:space="preserve"> FiscalModel!E750</f>
        <v>Royalty</v>
      </c>
      <c r="F13" s="192">
        <f xml:space="preserve"> FiscalModel!F750</f>
        <v>0</v>
      </c>
      <c r="G13" s="192" t="str">
        <f xml:space="preserve"> FiscalModel!G750</f>
        <v>US$ mn 2021</v>
      </c>
      <c r="H13" s="192">
        <f xml:space="preserve"> FiscalModel!H750</f>
        <v>0</v>
      </c>
      <c r="I13" s="192">
        <f ca="1" xml:space="preserve"> FiscalModel!I750</f>
        <v>147.5</v>
      </c>
      <c r="J13" s="192">
        <f xml:space="preserve"> FiscalModel!J750</f>
        <v>0</v>
      </c>
      <c r="K13" s="192">
        <f ca="1" xml:space="preserve"> FiscalModel!K750</f>
        <v>0</v>
      </c>
      <c r="L13" s="192">
        <f ca="1" xml:space="preserve"> FiscalModel!L750</f>
        <v>0</v>
      </c>
      <c r="M13" s="192">
        <f ca="1" xml:space="preserve"> FiscalModel!M750</f>
        <v>0</v>
      </c>
      <c r="N13" s="192">
        <f ca="1" xml:space="preserve"> FiscalModel!N750</f>
        <v>0</v>
      </c>
      <c r="O13" s="192">
        <f ca="1" xml:space="preserve"> FiscalModel!O750</f>
        <v>0.73750000000000004</v>
      </c>
      <c r="P13" s="192">
        <f ca="1" xml:space="preserve"> FiscalModel!P750</f>
        <v>5.53125</v>
      </c>
      <c r="Q13" s="192">
        <f ca="1" xml:space="preserve"> FiscalModel!Q750</f>
        <v>11.062500000000002</v>
      </c>
      <c r="R13" s="192">
        <f ca="1" xml:space="preserve"> FiscalModel!R750</f>
        <v>11.0625</v>
      </c>
      <c r="S13" s="192">
        <f ca="1" xml:space="preserve"> FiscalModel!S750</f>
        <v>11.0625</v>
      </c>
      <c r="T13" s="192">
        <f ca="1" xml:space="preserve"> FiscalModel!T750</f>
        <v>11.062500000000002</v>
      </c>
      <c r="U13" s="192">
        <f ca="1" xml:space="preserve"> FiscalModel!U750</f>
        <v>11.0625</v>
      </c>
      <c r="V13" s="192">
        <f ca="1" xml:space="preserve"> FiscalModel!V750</f>
        <v>11.0625</v>
      </c>
      <c r="W13" s="192">
        <f ca="1" xml:space="preserve"> FiscalModel!W750</f>
        <v>11.0625</v>
      </c>
      <c r="X13" s="192">
        <f ca="1" xml:space="preserve"> FiscalModel!X750</f>
        <v>11.0625</v>
      </c>
      <c r="Y13" s="192">
        <f ca="1" xml:space="preserve"> FiscalModel!Y750</f>
        <v>11.062500000000002</v>
      </c>
      <c r="Z13" s="192">
        <f ca="1" xml:space="preserve"> FiscalModel!Z750</f>
        <v>11.0625</v>
      </c>
      <c r="AA13" s="192">
        <f ca="1" xml:space="preserve"> FiscalModel!AA750</f>
        <v>9.2187500000000018</v>
      </c>
      <c r="AB13" s="192">
        <f ca="1" xml:space="preserve"> FiscalModel!AB750</f>
        <v>7.3750000000000009</v>
      </c>
      <c r="AC13" s="192">
        <f ca="1" xml:space="preserve"> FiscalModel!AC750</f>
        <v>5.53125</v>
      </c>
      <c r="AD13" s="192">
        <f ca="1" xml:space="preserve"> FiscalModel!AD750</f>
        <v>4.7937500000000002</v>
      </c>
      <c r="AE13" s="192">
        <f ca="1" xml:space="preserve"> FiscalModel!AE750</f>
        <v>3.6875</v>
      </c>
      <c r="AF13" s="192">
        <f ca="1" xml:space="preserve"> FiscalModel!AF750</f>
        <v>0</v>
      </c>
      <c r="AG13" s="192">
        <f ca="1" xml:space="preserve"> FiscalModel!AG750</f>
        <v>0</v>
      </c>
      <c r="AH13" s="192">
        <f ca="1" xml:space="preserve"> FiscalModel!AH750</f>
        <v>0</v>
      </c>
      <c r="AI13" s="192">
        <f ca="1" xml:space="preserve"> FiscalModel!AI750</f>
        <v>0</v>
      </c>
      <c r="AJ13" s="192">
        <f ca="1" xml:space="preserve"> FiscalModel!AJ750</f>
        <v>0</v>
      </c>
      <c r="AK13" s="192">
        <f ca="1" xml:space="preserve"> FiscalModel!AK750</f>
        <v>0</v>
      </c>
      <c r="AL13" s="192">
        <f ca="1" xml:space="preserve"> FiscalModel!AL750</f>
        <v>0</v>
      </c>
      <c r="AM13" s="192">
        <f ca="1" xml:space="preserve"> FiscalModel!AM750</f>
        <v>0</v>
      </c>
      <c r="AN13" s="192">
        <f ca="1" xml:space="preserve"> FiscalModel!AN750</f>
        <v>0</v>
      </c>
      <c r="AO13" s="192">
        <f ca="1" xml:space="preserve"> FiscalModel!AO750</f>
        <v>0</v>
      </c>
      <c r="AP13" s="192">
        <f ca="1" xml:space="preserve"> FiscalModel!AP750</f>
        <v>0</v>
      </c>
      <c r="AQ13" s="192">
        <f ca="1" xml:space="preserve"> FiscalModel!AQ750</f>
        <v>0</v>
      </c>
      <c r="AR13" s="192">
        <f ca="1" xml:space="preserve"> FiscalModel!AR750</f>
        <v>0</v>
      </c>
      <c r="AS13" s="192">
        <f ca="1" xml:space="preserve"> FiscalModel!AS750</f>
        <v>0</v>
      </c>
      <c r="AT13" s="192">
        <f ca="1" xml:space="preserve"> FiscalModel!AT750</f>
        <v>0</v>
      </c>
      <c r="AU13" s="192">
        <f ca="1" xml:space="preserve"> FiscalModel!AU750</f>
        <v>0</v>
      </c>
      <c r="AV13" s="192">
        <f ca="1" xml:space="preserve"> FiscalModel!AV750</f>
        <v>0</v>
      </c>
      <c r="AW13" s="192">
        <f ca="1" xml:space="preserve"> FiscalModel!AW750</f>
        <v>0</v>
      </c>
      <c r="AX13" s="192">
        <f ca="1" xml:space="preserve"> FiscalModel!AX750</f>
        <v>0</v>
      </c>
    </row>
    <row r="14" spans="1:50" ht="15" customHeight="1">
      <c r="A14" s="192"/>
      <c r="B14" s="918"/>
      <c r="C14" s="192"/>
      <c r="D14" s="192"/>
      <c r="E14" s="192" t="str">
        <f xml:space="preserve"> FiscalModel!E751</f>
        <v>Carbon tax</v>
      </c>
      <c r="F14" s="192">
        <f xml:space="preserve"> FiscalModel!F751</f>
        <v>0</v>
      </c>
      <c r="G14" s="192" t="str">
        <f xml:space="preserve"> FiscalModel!G751</f>
        <v>US$ mn 2021</v>
      </c>
      <c r="H14" s="192">
        <f xml:space="preserve"> FiscalModel!H751</f>
        <v>0</v>
      </c>
      <c r="I14" s="192">
        <f ca="1" xml:space="preserve"> FiscalModel!I751</f>
        <v>0</v>
      </c>
      <c r="J14" s="192">
        <f xml:space="preserve"> FiscalModel!J751</f>
        <v>0</v>
      </c>
      <c r="K14" s="192">
        <f ca="1" xml:space="preserve"> FiscalModel!K751</f>
        <v>0</v>
      </c>
      <c r="L14" s="192">
        <f ca="1" xml:space="preserve"> FiscalModel!L751</f>
        <v>0</v>
      </c>
      <c r="M14" s="192">
        <f ca="1" xml:space="preserve"> FiscalModel!M751</f>
        <v>0</v>
      </c>
      <c r="N14" s="192">
        <f ca="1" xml:space="preserve"> FiscalModel!N751</f>
        <v>0</v>
      </c>
      <c r="O14" s="192">
        <f ca="1" xml:space="preserve"> FiscalModel!O751</f>
        <v>0</v>
      </c>
      <c r="P14" s="192">
        <f ca="1" xml:space="preserve"> FiscalModel!P751</f>
        <v>0</v>
      </c>
      <c r="Q14" s="192">
        <f ca="1" xml:space="preserve"> FiscalModel!Q751</f>
        <v>0</v>
      </c>
      <c r="R14" s="192">
        <f ca="1" xml:space="preserve"> FiscalModel!R751</f>
        <v>0</v>
      </c>
      <c r="S14" s="192">
        <f ca="1" xml:space="preserve"> FiscalModel!S751</f>
        <v>0</v>
      </c>
      <c r="T14" s="192">
        <f ca="1" xml:space="preserve"> FiscalModel!T751</f>
        <v>0</v>
      </c>
      <c r="U14" s="192">
        <f ca="1" xml:space="preserve"> FiscalModel!U751</f>
        <v>0</v>
      </c>
      <c r="V14" s="192">
        <f ca="1" xml:space="preserve"> FiscalModel!V751</f>
        <v>0</v>
      </c>
      <c r="W14" s="192">
        <f ca="1" xml:space="preserve"> FiscalModel!W751</f>
        <v>0</v>
      </c>
      <c r="X14" s="192">
        <f ca="1" xml:space="preserve"> FiscalModel!X751</f>
        <v>0</v>
      </c>
      <c r="Y14" s="192">
        <f ca="1" xml:space="preserve"> FiscalModel!Y751</f>
        <v>0</v>
      </c>
      <c r="Z14" s="192">
        <f ca="1" xml:space="preserve"> FiscalModel!Z751</f>
        <v>0</v>
      </c>
      <c r="AA14" s="192">
        <f ca="1" xml:space="preserve"> FiscalModel!AA751</f>
        <v>0</v>
      </c>
      <c r="AB14" s="192">
        <f ca="1" xml:space="preserve"> FiscalModel!AB751</f>
        <v>0</v>
      </c>
      <c r="AC14" s="192">
        <f ca="1" xml:space="preserve"> FiscalModel!AC751</f>
        <v>0</v>
      </c>
      <c r="AD14" s="192">
        <f ca="1" xml:space="preserve"> FiscalModel!AD751</f>
        <v>0</v>
      </c>
      <c r="AE14" s="192">
        <f ca="1" xml:space="preserve"> FiscalModel!AE751</f>
        <v>0</v>
      </c>
      <c r="AF14" s="192">
        <f ca="1" xml:space="preserve"> FiscalModel!AF751</f>
        <v>0</v>
      </c>
      <c r="AG14" s="192">
        <f ca="1" xml:space="preserve"> FiscalModel!AG751</f>
        <v>0</v>
      </c>
      <c r="AH14" s="192">
        <f ca="1" xml:space="preserve"> FiscalModel!AH751</f>
        <v>0</v>
      </c>
      <c r="AI14" s="192">
        <f ca="1" xml:space="preserve"> FiscalModel!AI751</f>
        <v>0</v>
      </c>
      <c r="AJ14" s="192">
        <f ca="1" xml:space="preserve"> FiscalModel!AJ751</f>
        <v>0</v>
      </c>
      <c r="AK14" s="192">
        <f ca="1" xml:space="preserve"> FiscalModel!AK751</f>
        <v>0</v>
      </c>
      <c r="AL14" s="192">
        <f ca="1" xml:space="preserve"> FiscalModel!AL751</f>
        <v>0</v>
      </c>
      <c r="AM14" s="192">
        <f ca="1" xml:space="preserve"> FiscalModel!AM751</f>
        <v>0</v>
      </c>
      <c r="AN14" s="192">
        <f ca="1" xml:space="preserve"> FiscalModel!AN751</f>
        <v>0</v>
      </c>
      <c r="AO14" s="192">
        <f ca="1" xml:space="preserve"> FiscalModel!AO751</f>
        <v>0</v>
      </c>
      <c r="AP14" s="192">
        <f ca="1" xml:space="preserve"> FiscalModel!AP751</f>
        <v>0</v>
      </c>
      <c r="AQ14" s="192">
        <f ca="1" xml:space="preserve"> FiscalModel!AQ751</f>
        <v>0</v>
      </c>
      <c r="AR14" s="192">
        <f ca="1" xml:space="preserve"> FiscalModel!AR751</f>
        <v>0</v>
      </c>
      <c r="AS14" s="192">
        <f ca="1" xml:space="preserve"> FiscalModel!AS751</f>
        <v>0</v>
      </c>
      <c r="AT14" s="192">
        <f ca="1" xml:space="preserve"> FiscalModel!AT751</f>
        <v>0</v>
      </c>
      <c r="AU14" s="192">
        <f ca="1" xml:space="preserve"> FiscalModel!AU751</f>
        <v>0</v>
      </c>
      <c r="AV14" s="192">
        <f ca="1" xml:space="preserve"> FiscalModel!AV751</f>
        <v>0</v>
      </c>
      <c r="AW14" s="192">
        <f ca="1" xml:space="preserve"> FiscalModel!AW751</f>
        <v>0</v>
      </c>
      <c r="AX14" s="192">
        <f ca="1" xml:space="preserve"> FiscalModel!AX751</f>
        <v>0</v>
      </c>
    </row>
    <row r="15" spans="1:50" ht="15" customHeight="1">
      <c r="A15" s="109"/>
      <c r="B15" s="919"/>
      <c r="C15" s="213"/>
      <c r="D15" s="213"/>
      <c r="E15" s="192" t="str">
        <f xml:space="preserve"> FiscalModel!E752</f>
        <v>CIT: Mining company</v>
      </c>
      <c r="F15" s="192">
        <f xml:space="preserve"> FiscalModel!F752</f>
        <v>0</v>
      </c>
      <c r="G15" s="192" t="str">
        <f xml:space="preserve"> FiscalModel!G752</f>
        <v>US$ mn 2021</v>
      </c>
      <c r="H15" s="192">
        <f xml:space="preserve"> FiscalModel!H752</f>
        <v>0</v>
      </c>
      <c r="I15" s="192">
        <f ca="1" xml:space="preserve"> FiscalModel!I752</f>
        <v>362.41177277536571</v>
      </c>
      <c r="J15" s="192">
        <f xml:space="preserve"> FiscalModel!J752</f>
        <v>0</v>
      </c>
      <c r="K15" s="192">
        <f ca="1" xml:space="preserve"> FiscalModel!K752</f>
        <v>0</v>
      </c>
      <c r="L15" s="192">
        <f ca="1" xml:space="preserve"> FiscalModel!L752</f>
        <v>0</v>
      </c>
      <c r="M15" s="192">
        <f ca="1" xml:space="preserve"> FiscalModel!M752</f>
        <v>0</v>
      </c>
      <c r="N15" s="192">
        <f ca="1" xml:space="preserve"> FiscalModel!N752</f>
        <v>0</v>
      </c>
      <c r="O15" s="192">
        <f ca="1" xml:space="preserve"> FiscalModel!O752</f>
        <v>0</v>
      </c>
      <c r="P15" s="192">
        <f ca="1" xml:space="preserve"> FiscalModel!P752</f>
        <v>0</v>
      </c>
      <c r="Q15" s="192">
        <f ca="1" xml:space="preserve"> FiscalModel!Q752</f>
        <v>0</v>
      </c>
      <c r="R15" s="192">
        <f ca="1" xml:space="preserve"> FiscalModel!R752</f>
        <v>0</v>
      </c>
      <c r="S15" s="192">
        <f ca="1" xml:space="preserve"> FiscalModel!S752</f>
        <v>7.8619013256185006</v>
      </c>
      <c r="T15" s="192">
        <f ca="1" xml:space="preserve"> FiscalModel!T752</f>
        <v>30.401228446335146</v>
      </c>
      <c r="U15" s="192">
        <f ca="1" xml:space="preserve"> FiscalModel!U752</f>
        <v>36.708502880782994</v>
      </c>
      <c r="V15" s="192">
        <f ca="1" xml:space="preserve"> FiscalModel!V752</f>
        <v>37.798637542993923</v>
      </c>
      <c r="W15" s="192">
        <f ca="1" xml:space="preserve"> FiscalModel!W752</f>
        <v>37.798637542993923</v>
      </c>
      <c r="X15" s="192">
        <f ca="1" xml:space="preserve"> FiscalModel!X752</f>
        <v>37.034182667844838</v>
      </c>
      <c r="Y15" s="192">
        <f ca="1" xml:space="preserve"> FiscalModel!Y752</f>
        <v>37.049171979122292</v>
      </c>
      <c r="Z15" s="192">
        <f ca="1" xml:space="preserve"> FiscalModel!Z752</f>
        <v>37.063867382335445</v>
      </c>
      <c r="AA15" s="192">
        <f ca="1" xml:space="preserve"> FiscalModel!AA752</f>
        <v>30.419524640387579</v>
      </c>
      <c r="AB15" s="192">
        <f ca="1" xml:space="preserve"> FiscalModel!AB752</f>
        <v>24.222899403183778</v>
      </c>
      <c r="AC15" s="192">
        <f ca="1" xml:space="preserve"> FiscalModel!AC752</f>
        <v>18.017212896121233</v>
      </c>
      <c r="AD15" s="192">
        <f ca="1" xml:space="preserve"> FiscalModel!AD752</f>
        <v>15.797892791157951</v>
      </c>
      <c r="AE15" s="192">
        <f ca="1" xml:space="preserve"> FiscalModel!AE752</f>
        <v>12.238113276488066</v>
      </c>
      <c r="AF15" s="192">
        <f ca="1" xml:space="preserve"> FiscalModel!AF752</f>
        <v>0</v>
      </c>
      <c r="AG15" s="192">
        <f ca="1" xml:space="preserve"> FiscalModel!AG752</f>
        <v>0</v>
      </c>
      <c r="AH15" s="192">
        <f ca="1" xml:space="preserve"> FiscalModel!AH752</f>
        <v>0</v>
      </c>
      <c r="AI15" s="192">
        <f ca="1" xml:space="preserve"> FiscalModel!AI752</f>
        <v>0</v>
      </c>
      <c r="AJ15" s="192">
        <f ca="1" xml:space="preserve"> FiscalModel!AJ752</f>
        <v>0</v>
      </c>
      <c r="AK15" s="192">
        <f ca="1" xml:space="preserve"> FiscalModel!AK752</f>
        <v>0</v>
      </c>
      <c r="AL15" s="192">
        <f ca="1" xml:space="preserve"> FiscalModel!AL752</f>
        <v>0</v>
      </c>
      <c r="AM15" s="192">
        <f ca="1" xml:space="preserve"> FiscalModel!AM752</f>
        <v>0</v>
      </c>
      <c r="AN15" s="192">
        <f ca="1" xml:space="preserve"> FiscalModel!AN752</f>
        <v>0</v>
      </c>
      <c r="AO15" s="192">
        <f ca="1" xml:space="preserve"> FiscalModel!AO752</f>
        <v>0</v>
      </c>
      <c r="AP15" s="192">
        <f ca="1" xml:space="preserve"> FiscalModel!AP752</f>
        <v>0</v>
      </c>
      <c r="AQ15" s="192">
        <f ca="1" xml:space="preserve"> FiscalModel!AQ752</f>
        <v>0</v>
      </c>
      <c r="AR15" s="192">
        <f ca="1" xml:space="preserve"> FiscalModel!AR752</f>
        <v>0</v>
      </c>
      <c r="AS15" s="192">
        <f ca="1" xml:space="preserve"> FiscalModel!AS752</f>
        <v>0</v>
      </c>
      <c r="AT15" s="192">
        <f ca="1" xml:space="preserve"> FiscalModel!AT752</f>
        <v>0</v>
      </c>
      <c r="AU15" s="192">
        <f ca="1" xml:space="preserve"> FiscalModel!AU752</f>
        <v>0</v>
      </c>
      <c r="AV15" s="192">
        <f ca="1" xml:space="preserve"> FiscalModel!AV752</f>
        <v>0</v>
      </c>
      <c r="AW15" s="192">
        <f ca="1" xml:space="preserve"> FiscalModel!AW752</f>
        <v>0</v>
      </c>
      <c r="AX15" s="192">
        <f ca="1" xml:space="preserve"> FiscalModel!AX752</f>
        <v>0</v>
      </c>
    </row>
    <row r="16" spans="1:50" ht="15" customHeight="1">
      <c r="A16" s="109"/>
      <c r="B16" s="919"/>
      <c r="C16" s="213"/>
      <c r="D16" s="213"/>
      <c r="E16" s="192" t="str">
        <f xml:space="preserve"> FiscalModel!E753</f>
        <v>RRT: Mining company</v>
      </c>
      <c r="F16" s="192">
        <f xml:space="preserve"> FiscalModel!F753</f>
        <v>0</v>
      </c>
      <c r="G16" s="192" t="str">
        <f xml:space="preserve"> FiscalModel!G753</f>
        <v>US$ mn 2021</v>
      </c>
      <c r="H16" s="192">
        <f xml:space="preserve"> FiscalModel!H753</f>
        <v>0</v>
      </c>
      <c r="I16" s="192">
        <f ca="1" xml:space="preserve"> FiscalModel!I753</f>
        <v>0</v>
      </c>
      <c r="J16" s="192">
        <f xml:space="preserve"> FiscalModel!J753</f>
        <v>0</v>
      </c>
      <c r="K16" s="192">
        <f ca="1" xml:space="preserve"> FiscalModel!K753</f>
        <v>0</v>
      </c>
      <c r="L16" s="192">
        <f ca="1" xml:space="preserve"> FiscalModel!L753</f>
        <v>0</v>
      </c>
      <c r="M16" s="192">
        <f ca="1" xml:space="preserve"> FiscalModel!M753</f>
        <v>0</v>
      </c>
      <c r="N16" s="192">
        <f ca="1" xml:space="preserve"> FiscalModel!N753</f>
        <v>0</v>
      </c>
      <c r="O16" s="192">
        <f ca="1" xml:space="preserve"> FiscalModel!O753</f>
        <v>0</v>
      </c>
      <c r="P16" s="192">
        <f ca="1" xml:space="preserve"> FiscalModel!P753</f>
        <v>0</v>
      </c>
      <c r="Q16" s="192">
        <f ca="1" xml:space="preserve"> FiscalModel!Q753</f>
        <v>0</v>
      </c>
      <c r="R16" s="192">
        <f ca="1" xml:space="preserve"> FiscalModel!R753</f>
        <v>0</v>
      </c>
      <c r="S16" s="192">
        <f ca="1" xml:space="preserve"> FiscalModel!S753</f>
        <v>0</v>
      </c>
      <c r="T16" s="192">
        <f ca="1" xml:space="preserve"> FiscalModel!T753</f>
        <v>0</v>
      </c>
      <c r="U16" s="192">
        <f ca="1" xml:space="preserve"> FiscalModel!U753</f>
        <v>0</v>
      </c>
      <c r="V16" s="192">
        <f ca="1" xml:space="preserve"> FiscalModel!V753</f>
        <v>0</v>
      </c>
      <c r="W16" s="192">
        <f ca="1" xml:space="preserve"> FiscalModel!W753</f>
        <v>0</v>
      </c>
      <c r="X16" s="192">
        <f ca="1" xml:space="preserve"> FiscalModel!X753</f>
        <v>0</v>
      </c>
      <c r="Y16" s="192">
        <f ca="1" xml:space="preserve"> FiscalModel!Y753</f>
        <v>0</v>
      </c>
      <c r="Z16" s="192">
        <f ca="1" xml:space="preserve"> FiscalModel!Z753</f>
        <v>0</v>
      </c>
      <c r="AA16" s="192">
        <f ca="1" xml:space="preserve"> FiscalModel!AA753</f>
        <v>0</v>
      </c>
      <c r="AB16" s="192">
        <f ca="1" xml:space="preserve"> FiscalModel!AB753</f>
        <v>0</v>
      </c>
      <c r="AC16" s="192">
        <f ca="1" xml:space="preserve"> FiscalModel!AC753</f>
        <v>0</v>
      </c>
      <c r="AD16" s="192">
        <f ca="1" xml:space="preserve"> FiscalModel!AD753</f>
        <v>0</v>
      </c>
      <c r="AE16" s="192">
        <f ca="1" xml:space="preserve"> FiscalModel!AE753</f>
        <v>0</v>
      </c>
      <c r="AF16" s="192">
        <f ca="1" xml:space="preserve"> FiscalModel!AF753</f>
        <v>0</v>
      </c>
      <c r="AG16" s="192">
        <f ca="1" xml:space="preserve"> FiscalModel!AG753</f>
        <v>0</v>
      </c>
      <c r="AH16" s="192">
        <f ca="1" xml:space="preserve"> FiscalModel!AH753</f>
        <v>0</v>
      </c>
      <c r="AI16" s="192">
        <f ca="1" xml:space="preserve"> FiscalModel!AI753</f>
        <v>0</v>
      </c>
      <c r="AJ16" s="192">
        <f ca="1" xml:space="preserve"> FiscalModel!AJ753</f>
        <v>0</v>
      </c>
      <c r="AK16" s="192">
        <f ca="1" xml:space="preserve"> FiscalModel!AK753</f>
        <v>0</v>
      </c>
      <c r="AL16" s="192">
        <f ca="1" xml:space="preserve"> FiscalModel!AL753</f>
        <v>0</v>
      </c>
      <c r="AM16" s="192">
        <f ca="1" xml:space="preserve"> FiscalModel!AM753</f>
        <v>0</v>
      </c>
      <c r="AN16" s="192">
        <f ca="1" xml:space="preserve"> FiscalModel!AN753</f>
        <v>0</v>
      </c>
      <c r="AO16" s="192">
        <f ca="1" xml:space="preserve"> FiscalModel!AO753</f>
        <v>0</v>
      </c>
      <c r="AP16" s="192">
        <f ca="1" xml:space="preserve"> FiscalModel!AP753</f>
        <v>0</v>
      </c>
      <c r="AQ16" s="192">
        <f ca="1" xml:space="preserve"> FiscalModel!AQ753</f>
        <v>0</v>
      </c>
      <c r="AR16" s="192">
        <f ca="1" xml:space="preserve"> FiscalModel!AR753</f>
        <v>0</v>
      </c>
      <c r="AS16" s="192">
        <f ca="1" xml:space="preserve"> FiscalModel!AS753</f>
        <v>0</v>
      </c>
      <c r="AT16" s="192">
        <f ca="1" xml:space="preserve"> FiscalModel!AT753</f>
        <v>0</v>
      </c>
      <c r="AU16" s="192">
        <f ca="1" xml:space="preserve"> FiscalModel!AU753</f>
        <v>0</v>
      </c>
      <c r="AV16" s="192">
        <f ca="1" xml:space="preserve"> FiscalModel!AV753</f>
        <v>0</v>
      </c>
      <c r="AW16" s="192">
        <f ca="1" xml:space="preserve"> FiscalModel!AW753</f>
        <v>0</v>
      </c>
      <c r="AX16" s="192">
        <f ca="1" xml:space="preserve"> FiscalModel!AX753</f>
        <v>0</v>
      </c>
    </row>
    <row r="17" spans="1:50" ht="15" customHeight="1">
      <c r="A17" s="109"/>
      <c r="B17" s="919"/>
      <c r="C17" s="213"/>
      <c r="D17" s="213"/>
      <c r="E17" s="192" t="str">
        <f xml:space="preserve"> FiscalModel!E754</f>
        <v>Dividend withholding tax</v>
      </c>
      <c r="F17" s="192">
        <f xml:space="preserve"> FiscalModel!F754</f>
        <v>0</v>
      </c>
      <c r="G17" s="192" t="str">
        <f xml:space="preserve"> FiscalModel!G754</f>
        <v>US$ mn 2021</v>
      </c>
      <c r="H17" s="192">
        <f xml:space="preserve"> FiscalModel!H754</f>
        <v>0</v>
      </c>
      <c r="I17" s="192">
        <f ca="1" xml:space="preserve"> FiscalModel!I754</f>
        <v>95.722174595619009</v>
      </c>
      <c r="J17" s="192">
        <f xml:space="preserve"> FiscalModel!J754</f>
        <v>0</v>
      </c>
      <c r="K17" s="192">
        <f ca="1" xml:space="preserve"> FiscalModel!K754</f>
        <v>0</v>
      </c>
      <c r="L17" s="192">
        <f ca="1" xml:space="preserve"> FiscalModel!L754</f>
        <v>0</v>
      </c>
      <c r="M17" s="192">
        <f ca="1" xml:space="preserve"> FiscalModel!M754</f>
        <v>0</v>
      </c>
      <c r="N17" s="192">
        <f ca="1" xml:space="preserve"> FiscalModel!N754</f>
        <v>0</v>
      </c>
      <c r="O17" s="192">
        <f ca="1" xml:space="preserve"> FiscalModel!O754</f>
        <v>0</v>
      </c>
      <c r="P17" s="192">
        <f ca="1" xml:space="preserve"> FiscalModel!P754</f>
        <v>3.3343749999999988</v>
      </c>
      <c r="Q17" s="192">
        <f ca="1" xml:space="preserve"> FiscalModel!Q754</f>
        <v>5.4260151550245039</v>
      </c>
      <c r="R17" s="192">
        <f ca="1" xml:space="preserve"> FiscalModel!R754</f>
        <v>5.9968799899077201</v>
      </c>
      <c r="S17" s="192">
        <f ca="1" xml:space="preserve"> FiscalModel!S754</f>
        <v>5.7622600062186704</v>
      </c>
      <c r="T17" s="192">
        <f ca="1" xml:space="preserve"> FiscalModel!T754</f>
        <v>4.0411399323796893</v>
      </c>
      <c r="U17" s="192">
        <f ca="1" xml:space="preserve"> FiscalModel!U754</f>
        <v>3.9249911443769259</v>
      </c>
      <c r="V17" s="192">
        <f ca="1" xml:space="preserve"> FiscalModel!V754</f>
        <v>9.6888862457006049</v>
      </c>
      <c r="W17" s="192">
        <f ca="1" xml:space="preserve"> FiscalModel!W754</f>
        <v>9.6888862457006102</v>
      </c>
      <c r="X17" s="192">
        <f ca="1" xml:space="preserve"> FiscalModel!X754</f>
        <v>9.4923121349479906</v>
      </c>
      <c r="Y17" s="192">
        <f ca="1" xml:space="preserve"> FiscalModel!Y754</f>
        <v>9.4961665292764739</v>
      </c>
      <c r="Z17" s="192">
        <f ca="1" xml:space="preserve"> FiscalModel!Z754</f>
        <v>9.4999453472455748</v>
      </c>
      <c r="AA17" s="192">
        <f ca="1" xml:space="preserve"> FiscalModel!AA754</f>
        <v>7.7914000707446958</v>
      </c>
      <c r="AB17" s="192">
        <f ca="1" xml:space="preserve"> FiscalModel!AB754</f>
        <v>6.8379821526065729</v>
      </c>
      <c r="AC17" s="192">
        <f ca="1" xml:space="preserve"> FiscalModel!AC754</f>
        <v>4.7409346414889759</v>
      </c>
      <c r="AD17" s="192">
        <f ca="1" xml:space="preserve"> FiscalModel!AD754</f>
        <v>0</v>
      </c>
      <c r="AE17" s="192">
        <f ca="1" xml:space="preserve"> FiscalModel!AE754</f>
        <v>0</v>
      </c>
      <c r="AF17" s="192">
        <f ca="1" xml:space="preserve"> FiscalModel!AF754</f>
        <v>0</v>
      </c>
      <c r="AG17" s="192">
        <f ca="1" xml:space="preserve"> FiscalModel!AG754</f>
        <v>0</v>
      </c>
      <c r="AH17" s="192">
        <f ca="1" xml:space="preserve"> FiscalModel!AH754</f>
        <v>0</v>
      </c>
      <c r="AI17" s="192">
        <f ca="1" xml:space="preserve"> FiscalModel!AI754</f>
        <v>0</v>
      </c>
      <c r="AJ17" s="192">
        <f ca="1" xml:space="preserve"> FiscalModel!AJ754</f>
        <v>0</v>
      </c>
      <c r="AK17" s="192">
        <f ca="1" xml:space="preserve"> FiscalModel!AK754</f>
        <v>0</v>
      </c>
      <c r="AL17" s="192">
        <f ca="1" xml:space="preserve"> FiscalModel!AL754</f>
        <v>0</v>
      </c>
      <c r="AM17" s="192">
        <f ca="1" xml:space="preserve"> FiscalModel!AM754</f>
        <v>0</v>
      </c>
      <c r="AN17" s="192">
        <f ca="1" xml:space="preserve"> FiscalModel!AN754</f>
        <v>0</v>
      </c>
      <c r="AO17" s="192">
        <f ca="1" xml:space="preserve"> FiscalModel!AO754</f>
        <v>0</v>
      </c>
      <c r="AP17" s="192">
        <f ca="1" xml:space="preserve"> FiscalModel!AP754</f>
        <v>0</v>
      </c>
      <c r="AQ17" s="192">
        <f ca="1" xml:space="preserve"> FiscalModel!AQ754</f>
        <v>0</v>
      </c>
      <c r="AR17" s="192">
        <f ca="1" xml:space="preserve"> FiscalModel!AR754</f>
        <v>0</v>
      </c>
      <c r="AS17" s="192">
        <f ca="1" xml:space="preserve"> FiscalModel!AS754</f>
        <v>0</v>
      </c>
      <c r="AT17" s="192">
        <f ca="1" xml:space="preserve"> FiscalModel!AT754</f>
        <v>0</v>
      </c>
      <c r="AU17" s="192">
        <f ca="1" xml:space="preserve"> FiscalModel!AU754</f>
        <v>0</v>
      </c>
      <c r="AV17" s="192">
        <f ca="1" xml:space="preserve"> FiscalModel!AV754</f>
        <v>0</v>
      </c>
      <c r="AW17" s="192">
        <f ca="1" xml:space="preserve"> FiscalModel!AW754</f>
        <v>0</v>
      </c>
      <c r="AX17" s="192">
        <f ca="1" xml:space="preserve"> FiscalModel!AX754</f>
        <v>0</v>
      </c>
    </row>
    <row r="18" spans="1:50" ht="15" customHeight="1">
      <c r="A18" s="109"/>
      <c r="B18" s="919"/>
      <c r="C18" s="213"/>
      <c r="D18" s="213"/>
      <c r="E18" s="192" t="str">
        <f xml:space="preserve"> FiscalModel!E755</f>
        <v>Interest withholding tax</v>
      </c>
      <c r="F18" s="192">
        <f xml:space="preserve"> FiscalModel!F755</f>
        <v>0</v>
      </c>
      <c r="G18" s="192" t="str">
        <f xml:space="preserve"> FiscalModel!G755</f>
        <v>US$ mn 2021</v>
      </c>
      <c r="H18" s="192">
        <f xml:space="preserve"> FiscalModel!H755</f>
        <v>0</v>
      </c>
      <c r="I18" s="192">
        <f ca="1" xml:space="preserve"> FiscalModel!I755</f>
        <v>6.158557237434052</v>
      </c>
      <c r="J18" s="192">
        <f xml:space="preserve"> FiscalModel!J755</f>
        <v>0</v>
      </c>
      <c r="K18" s="192">
        <f ca="1" xml:space="preserve"> FiscalModel!K755</f>
        <v>0</v>
      </c>
      <c r="L18" s="192">
        <f ca="1" xml:space="preserve"> FiscalModel!L755</f>
        <v>0</v>
      </c>
      <c r="M18" s="192">
        <f ca="1" xml:space="preserve"> FiscalModel!M755</f>
        <v>0</v>
      </c>
      <c r="N18" s="192">
        <f ca="1" xml:space="preserve"> FiscalModel!N755</f>
        <v>0</v>
      </c>
      <c r="O18" s="192">
        <f ca="1" xml:space="preserve"> FiscalModel!O755</f>
        <v>0</v>
      </c>
      <c r="P18" s="192">
        <f ca="1" xml:space="preserve"> FiscalModel!P755</f>
        <v>0</v>
      </c>
      <c r="Q18" s="192">
        <f ca="1" xml:space="preserve"> FiscalModel!Q755</f>
        <v>2.1071371734068678</v>
      </c>
      <c r="R18" s="192">
        <f ca="1" xml:space="preserve"> FiscalModel!R755</f>
        <v>1.6526566065936219</v>
      </c>
      <c r="S18" s="192">
        <f ca="1" xml:space="preserve"> FiscalModel!S755</f>
        <v>1.2151886813188395</v>
      </c>
      <c r="T18" s="192">
        <f ca="1" xml:space="preserve"> FiscalModel!T755</f>
        <v>0.7942409681822481</v>
      </c>
      <c r="U18" s="192">
        <f ca="1" xml:space="preserve"> FiscalModel!U755</f>
        <v>0.38933380793247452</v>
      </c>
      <c r="V18" s="192">
        <f ca="1" xml:space="preserve"> FiscalModel!V755</f>
        <v>0</v>
      </c>
      <c r="W18" s="192">
        <f ca="1" xml:space="preserve"> FiscalModel!W755</f>
        <v>0</v>
      </c>
      <c r="X18" s="192">
        <f ca="1" xml:space="preserve"> FiscalModel!X755</f>
        <v>0</v>
      </c>
      <c r="Y18" s="192">
        <f ca="1" xml:space="preserve"> FiscalModel!Y755</f>
        <v>0</v>
      </c>
      <c r="Z18" s="192">
        <f ca="1" xml:space="preserve"> FiscalModel!Z755</f>
        <v>0</v>
      </c>
      <c r="AA18" s="192">
        <f ca="1" xml:space="preserve"> FiscalModel!AA755</f>
        <v>0</v>
      </c>
      <c r="AB18" s="192">
        <f ca="1" xml:space="preserve"> FiscalModel!AB755</f>
        <v>0</v>
      </c>
      <c r="AC18" s="192">
        <f ca="1" xml:space="preserve"> FiscalModel!AC755</f>
        <v>0</v>
      </c>
      <c r="AD18" s="192">
        <f ca="1" xml:space="preserve"> FiscalModel!AD755</f>
        <v>0</v>
      </c>
      <c r="AE18" s="192">
        <f ca="1" xml:space="preserve"> FiscalModel!AE755</f>
        <v>0</v>
      </c>
      <c r="AF18" s="192">
        <f ca="1" xml:space="preserve"> FiscalModel!AF755</f>
        <v>0</v>
      </c>
      <c r="AG18" s="192">
        <f ca="1" xml:space="preserve"> FiscalModel!AG755</f>
        <v>0</v>
      </c>
      <c r="AH18" s="192">
        <f ca="1" xml:space="preserve"> FiscalModel!AH755</f>
        <v>0</v>
      </c>
      <c r="AI18" s="192">
        <f ca="1" xml:space="preserve"> FiscalModel!AI755</f>
        <v>0</v>
      </c>
      <c r="AJ18" s="192">
        <f ca="1" xml:space="preserve"> FiscalModel!AJ755</f>
        <v>0</v>
      </c>
      <c r="AK18" s="192">
        <f ca="1" xml:space="preserve"> FiscalModel!AK755</f>
        <v>0</v>
      </c>
      <c r="AL18" s="192">
        <f ca="1" xml:space="preserve"> FiscalModel!AL755</f>
        <v>0</v>
      </c>
      <c r="AM18" s="192">
        <f ca="1" xml:space="preserve"> FiscalModel!AM755</f>
        <v>0</v>
      </c>
      <c r="AN18" s="192">
        <f ca="1" xml:space="preserve"> FiscalModel!AN755</f>
        <v>0</v>
      </c>
      <c r="AO18" s="192">
        <f ca="1" xml:space="preserve"> FiscalModel!AO755</f>
        <v>0</v>
      </c>
      <c r="AP18" s="192">
        <f ca="1" xml:space="preserve"> FiscalModel!AP755</f>
        <v>0</v>
      </c>
      <c r="AQ18" s="192">
        <f ca="1" xml:space="preserve"> FiscalModel!AQ755</f>
        <v>0</v>
      </c>
      <c r="AR18" s="192">
        <f ca="1" xml:space="preserve"> FiscalModel!AR755</f>
        <v>0</v>
      </c>
      <c r="AS18" s="192">
        <f ca="1" xml:space="preserve"> FiscalModel!AS755</f>
        <v>0</v>
      </c>
      <c r="AT18" s="192">
        <f ca="1" xml:space="preserve"> FiscalModel!AT755</f>
        <v>0</v>
      </c>
      <c r="AU18" s="192">
        <f ca="1" xml:space="preserve"> FiscalModel!AU755</f>
        <v>0</v>
      </c>
      <c r="AV18" s="192">
        <f ca="1" xml:space="preserve"> FiscalModel!AV755</f>
        <v>0</v>
      </c>
      <c r="AW18" s="192">
        <f ca="1" xml:space="preserve"> FiscalModel!AW755</f>
        <v>0</v>
      </c>
      <c r="AX18" s="192">
        <f ca="1" xml:space="preserve"> FiscalModel!AX755</f>
        <v>0</v>
      </c>
    </row>
    <row r="19" spans="1:50" ht="15" customHeight="1">
      <c r="A19" s="109"/>
      <c r="B19" s="919"/>
      <c r="C19" s="213"/>
      <c r="D19" s="213"/>
      <c r="E19" s="192" t="str">
        <f xml:space="preserve"> FiscalModel!E756</f>
        <v>VAT cashflow: government</v>
      </c>
      <c r="F19" s="192">
        <f xml:space="preserve"> FiscalModel!F756</f>
        <v>0</v>
      </c>
      <c r="G19" s="192" t="str">
        <f xml:space="preserve"> FiscalModel!G756</f>
        <v>US$ mn 2021</v>
      </c>
      <c r="H19" s="192">
        <f xml:space="preserve"> FiscalModel!H756</f>
        <v>0</v>
      </c>
      <c r="I19" s="192">
        <f ca="1" xml:space="preserve"> FiscalModel!I756</f>
        <v>0</v>
      </c>
      <c r="J19" s="192">
        <f xml:space="preserve"> FiscalModel!J756</f>
        <v>0</v>
      </c>
      <c r="K19" s="192">
        <f ca="1" xml:space="preserve"> FiscalModel!K756</f>
        <v>0</v>
      </c>
      <c r="L19" s="192">
        <f ca="1" xml:space="preserve"> FiscalModel!L756</f>
        <v>0</v>
      </c>
      <c r="M19" s="192">
        <f ca="1" xml:space="preserve"> FiscalModel!M756</f>
        <v>0</v>
      </c>
      <c r="N19" s="192">
        <f ca="1" xml:space="preserve"> FiscalModel!N756</f>
        <v>0</v>
      </c>
      <c r="O19" s="192">
        <f ca="1" xml:space="preserve"> FiscalModel!O756</f>
        <v>0</v>
      </c>
      <c r="P19" s="192">
        <f ca="1" xml:space="preserve"> FiscalModel!P756</f>
        <v>0</v>
      </c>
      <c r="Q19" s="192">
        <f ca="1" xml:space="preserve"> FiscalModel!Q756</f>
        <v>0</v>
      </c>
      <c r="R19" s="192">
        <f ca="1" xml:space="preserve"> FiscalModel!R756</f>
        <v>0</v>
      </c>
      <c r="S19" s="192">
        <f ca="1" xml:space="preserve"> FiscalModel!S756</f>
        <v>0</v>
      </c>
      <c r="T19" s="192">
        <f ca="1" xml:space="preserve"> FiscalModel!T756</f>
        <v>0</v>
      </c>
      <c r="U19" s="192">
        <f ca="1" xml:space="preserve"> FiscalModel!U756</f>
        <v>0</v>
      </c>
      <c r="V19" s="192">
        <f ca="1" xml:space="preserve"> FiscalModel!V756</f>
        <v>0</v>
      </c>
      <c r="W19" s="192">
        <f ca="1" xml:space="preserve"> FiscalModel!W756</f>
        <v>0</v>
      </c>
      <c r="X19" s="192">
        <f ca="1" xml:space="preserve"> FiscalModel!X756</f>
        <v>0</v>
      </c>
      <c r="Y19" s="192">
        <f ca="1" xml:space="preserve"> FiscalModel!Y756</f>
        <v>0</v>
      </c>
      <c r="Z19" s="192">
        <f ca="1" xml:space="preserve"> FiscalModel!Z756</f>
        <v>0</v>
      </c>
      <c r="AA19" s="192">
        <f ca="1" xml:space="preserve"> FiscalModel!AA756</f>
        <v>0</v>
      </c>
      <c r="AB19" s="192">
        <f ca="1" xml:space="preserve"> FiscalModel!AB756</f>
        <v>0</v>
      </c>
      <c r="AC19" s="192">
        <f ca="1" xml:space="preserve"> FiscalModel!AC756</f>
        <v>0</v>
      </c>
      <c r="AD19" s="192">
        <f ca="1" xml:space="preserve"> FiscalModel!AD756</f>
        <v>0</v>
      </c>
      <c r="AE19" s="192">
        <f ca="1" xml:space="preserve"> FiscalModel!AE756</f>
        <v>0</v>
      </c>
      <c r="AF19" s="192">
        <f ca="1" xml:space="preserve"> FiscalModel!AF756</f>
        <v>0</v>
      </c>
      <c r="AG19" s="192">
        <f ca="1" xml:space="preserve"> FiscalModel!AG756</f>
        <v>0</v>
      </c>
      <c r="AH19" s="192">
        <f ca="1" xml:space="preserve"> FiscalModel!AH756</f>
        <v>0</v>
      </c>
      <c r="AI19" s="192">
        <f ca="1" xml:space="preserve"> FiscalModel!AI756</f>
        <v>0</v>
      </c>
      <c r="AJ19" s="192">
        <f ca="1" xml:space="preserve"> FiscalModel!AJ756</f>
        <v>0</v>
      </c>
      <c r="AK19" s="192">
        <f ca="1" xml:space="preserve"> FiscalModel!AK756</f>
        <v>0</v>
      </c>
      <c r="AL19" s="192">
        <f ca="1" xml:space="preserve"> FiscalModel!AL756</f>
        <v>0</v>
      </c>
      <c r="AM19" s="192">
        <f ca="1" xml:space="preserve"> FiscalModel!AM756</f>
        <v>0</v>
      </c>
      <c r="AN19" s="192">
        <f ca="1" xml:space="preserve"> FiscalModel!AN756</f>
        <v>0</v>
      </c>
      <c r="AO19" s="192">
        <f ca="1" xml:space="preserve"> FiscalModel!AO756</f>
        <v>0</v>
      </c>
      <c r="AP19" s="192">
        <f ca="1" xml:space="preserve"> FiscalModel!AP756</f>
        <v>0</v>
      </c>
      <c r="AQ19" s="192">
        <f ca="1" xml:space="preserve"> FiscalModel!AQ756</f>
        <v>0</v>
      </c>
      <c r="AR19" s="192">
        <f ca="1" xml:space="preserve"> FiscalModel!AR756</f>
        <v>0</v>
      </c>
      <c r="AS19" s="192">
        <f ca="1" xml:space="preserve"> FiscalModel!AS756</f>
        <v>0</v>
      </c>
      <c r="AT19" s="192">
        <f ca="1" xml:space="preserve"> FiscalModel!AT756</f>
        <v>0</v>
      </c>
      <c r="AU19" s="192">
        <f ca="1" xml:space="preserve"> FiscalModel!AU756</f>
        <v>0</v>
      </c>
      <c r="AV19" s="192">
        <f ca="1" xml:space="preserve"> FiscalModel!AV756</f>
        <v>0</v>
      </c>
      <c r="AW19" s="192">
        <f ca="1" xml:space="preserve"> FiscalModel!AW756</f>
        <v>0</v>
      </c>
      <c r="AX19" s="192">
        <f ca="1" xml:space="preserve"> FiscalModel!AX756</f>
        <v>0</v>
      </c>
    </row>
    <row r="20" spans="1:50" ht="15" customHeight="1">
      <c r="A20" s="109"/>
      <c r="B20" s="919"/>
      <c r="C20" s="213"/>
      <c r="D20" s="213"/>
      <c r="E20" s="192" t="str">
        <f xml:space="preserve"> FiscalModel!E757</f>
        <v>Government revenues excluding participation</v>
      </c>
      <c r="F20" s="192">
        <f xml:space="preserve"> FiscalModel!F757</f>
        <v>0</v>
      </c>
      <c r="G20" s="192" t="str">
        <f xml:space="preserve"> FiscalModel!G757</f>
        <v>US$ mn 2021</v>
      </c>
      <c r="H20" s="192">
        <f xml:space="preserve"> FiscalModel!H757</f>
        <v>0</v>
      </c>
      <c r="I20" s="192">
        <f ca="1" xml:space="preserve"> FiscalModel!I757</f>
        <v>611.79250460841877</v>
      </c>
      <c r="J20" s="192">
        <f xml:space="preserve"> FiscalModel!J757</f>
        <v>0</v>
      </c>
      <c r="K20" s="192">
        <f ca="1" xml:space="preserve"> FiscalModel!K757</f>
        <v>0</v>
      </c>
      <c r="L20" s="192">
        <f ca="1" xml:space="preserve"> FiscalModel!L757</f>
        <v>0</v>
      </c>
      <c r="M20" s="192">
        <f ca="1" xml:space="preserve"> FiscalModel!M757</f>
        <v>0</v>
      </c>
      <c r="N20" s="192">
        <f ca="1" xml:space="preserve"> FiscalModel!N757</f>
        <v>0</v>
      </c>
      <c r="O20" s="192">
        <f ca="1" xml:space="preserve"> FiscalModel!O757</f>
        <v>0.73750000000000004</v>
      </c>
      <c r="P20" s="192">
        <f ca="1" xml:space="preserve"> FiscalModel!P757</f>
        <v>8.8656249999999979</v>
      </c>
      <c r="Q20" s="192">
        <f ca="1" xml:space="preserve"> FiscalModel!Q757</f>
        <v>18.595652328431374</v>
      </c>
      <c r="R20" s="192">
        <f ca="1" xml:space="preserve"> FiscalModel!R757</f>
        <v>18.712036596501342</v>
      </c>
      <c r="S20" s="192">
        <f ca="1" xml:space="preserve"> FiscalModel!S757</f>
        <v>25.901850013156011</v>
      </c>
      <c r="T20" s="192">
        <f ca="1" xml:space="preserve"> FiscalModel!T757</f>
        <v>46.299109346897083</v>
      </c>
      <c r="U20" s="192">
        <f ca="1" xml:space="preserve"> FiscalModel!U757</f>
        <v>52.085327833092393</v>
      </c>
      <c r="V20" s="192">
        <f ca="1" xml:space="preserve"> FiscalModel!V757</f>
        <v>58.550023788694531</v>
      </c>
      <c r="W20" s="192">
        <f ca="1" xml:space="preserve"> FiscalModel!W757</f>
        <v>58.550023788694531</v>
      </c>
      <c r="X20" s="192">
        <f ca="1" xml:space="preserve"> FiscalModel!X757</f>
        <v>57.588994802792826</v>
      </c>
      <c r="Y20" s="192">
        <f ca="1" xml:space="preserve"> FiscalModel!Y757</f>
        <v>57.607838508398764</v>
      </c>
      <c r="Z20" s="192">
        <f ca="1" xml:space="preserve"> FiscalModel!Z757</f>
        <v>57.626312729581016</v>
      </c>
      <c r="AA20" s="192">
        <f ca="1" xml:space="preserve"> FiscalModel!AA757</f>
        <v>47.429674711132272</v>
      </c>
      <c r="AB20" s="192">
        <f ca="1" xml:space="preserve"> FiscalModel!AB757</f>
        <v>38.435881555790353</v>
      </c>
      <c r="AC20" s="192">
        <f ca="1" xml:space="preserve"> FiscalModel!AC757</f>
        <v>28.28939753761021</v>
      </c>
      <c r="AD20" s="192">
        <f ca="1" xml:space="preserve"> FiscalModel!AD757</f>
        <v>20.591642791157952</v>
      </c>
      <c r="AE20" s="192">
        <f ca="1" xml:space="preserve"> FiscalModel!AE757</f>
        <v>15.925613276488066</v>
      </c>
      <c r="AF20" s="192">
        <f ca="1" xml:space="preserve"> FiscalModel!AF757</f>
        <v>0</v>
      </c>
      <c r="AG20" s="192">
        <f ca="1" xml:space="preserve"> FiscalModel!AG757</f>
        <v>0</v>
      </c>
      <c r="AH20" s="192">
        <f ca="1" xml:space="preserve"> FiscalModel!AH757</f>
        <v>0</v>
      </c>
      <c r="AI20" s="192">
        <f ca="1" xml:space="preserve"> FiscalModel!AI757</f>
        <v>0</v>
      </c>
      <c r="AJ20" s="192">
        <f ca="1" xml:space="preserve"> FiscalModel!AJ757</f>
        <v>0</v>
      </c>
      <c r="AK20" s="192">
        <f ca="1" xml:space="preserve"> FiscalModel!AK757</f>
        <v>0</v>
      </c>
      <c r="AL20" s="192">
        <f ca="1" xml:space="preserve"> FiscalModel!AL757</f>
        <v>0</v>
      </c>
      <c r="AM20" s="192">
        <f ca="1" xml:space="preserve"> FiscalModel!AM757</f>
        <v>0</v>
      </c>
      <c r="AN20" s="192">
        <f ca="1" xml:space="preserve"> FiscalModel!AN757</f>
        <v>0</v>
      </c>
      <c r="AO20" s="192">
        <f ca="1" xml:space="preserve"> FiscalModel!AO757</f>
        <v>0</v>
      </c>
      <c r="AP20" s="192">
        <f ca="1" xml:space="preserve"> FiscalModel!AP757</f>
        <v>0</v>
      </c>
      <c r="AQ20" s="192">
        <f ca="1" xml:space="preserve"> FiscalModel!AQ757</f>
        <v>0</v>
      </c>
      <c r="AR20" s="192">
        <f ca="1" xml:space="preserve"> FiscalModel!AR757</f>
        <v>0</v>
      </c>
      <c r="AS20" s="192">
        <f ca="1" xml:space="preserve"> FiscalModel!AS757</f>
        <v>0</v>
      </c>
      <c r="AT20" s="192">
        <f ca="1" xml:space="preserve"> FiscalModel!AT757</f>
        <v>0</v>
      </c>
      <c r="AU20" s="192">
        <f ca="1" xml:space="preserve"> FiscalModel!AU757</f>
        <v>0</v>
      </c>
      <c r="AV20" s="192">
        <f ca="1" xml:space="preserve"> FiscalModel!AV757</f>
        <v>0</v>
      </c>
      <c r="AW20" s="192">
        <f ca="1" xml:space="preserve"> FiscalModel!AW757</f>
        <v>0</v>
      </c>
      <c r="AX20" s="192">
        <f ca="1" xml:space="preserve"> FiscalModel!AX757</f>
        <v>0</v>
      </c>
    </row>
    <row r="21" spans="1:50" ht="15" customHeight="1">
      <c r="A21" s="109"/>
      <c r="B21" s="919"/>
      <c r="C21" s="213"/>
      <c r="D21" s="213"/>
      <c r="E21" s="192" t="str">
        <f xml:space="preserve"> FiscalModel!E758</f>
        <v>State participation cashflows including share of loan</v>
      </c>
      <c r="F21" s="192">
        <f xml:space="preserve"> FiscalModel!F758</f>
        <v>0</v>
      </c>
      <c r="G21" s="192" t="str">
        <f xml:space="preserve"> FiscalModel!G758</f>
        <v>US$ mn 2021</v>
      </c>
      <c r="H21" s="192">
        <f xml:space="preserve"> FiscalModel!H758</f>
        <v>0</v>
      </c>
      <c r="I21" s="192">
        <f ca="1" xml:space="preserve"> FiscalModel!I758</f>
        <v>0</v>
      </c>
      <c r="J21" s="192">
        <f xml:space="preserve"> FiscalModel!J758</f>
        <v>0</v>
      </c>
      <c r="K21" s="192">
        <f ca="1" xml:space="preserve"> FiscalModel!K758</f>
        <v>0</v>
      </c>
      <c r="L21" s="192">
        <f ca="1" xml:space="preserve"> FiscalModel!L758</f>
        <v>0</v>
      </c>
      <c r="M21" s="192">
        <f ca="1" xml:space="preserve"> FiscalModel!M758</f>
        <v>0</v>
      </c>
      <c r="N21" s="192">
        <f ca="1" xml:space="preserve"> FiscalModel!N758</f>
        <v>0</v>
      </c>
      <c r="O21" s="192">
        <f ca="1" xml:space="preserve"> FiscalModel!O758</f>
        <v>0</v>
      </c>
      <c r="P21" s="192">
        <f ca="1" xml:space="preserve"> FiscalModel!P758</f>
        <v>0</v>
      </c>
      <c r="Q21" s="192">
        <f ca="1" xml:space="preserve"> FiscalModel!Q758</f>
        <v>0</v>
      </c>
      <c r="R21" s="192">
        <f ca="1" xml:space="preserve"> FiscalModel!R758</f>
        <v>0</v>
      </c>
      <c r="S21" s="192">
        <f ca="1" xml:space="preserve"> FiscalModel!S758</f>
        <v>0</v>
      </c>
      <c r="T21" s="192">
        <f ca="1" xml:space="preserve"> FiscalModel!T758</f>
        <v>0</v>
      </c>
      <c r="U21" s="192">
        <f ca="1" xml:space="preserve"> FiscalModel!U758</f>
        <v>0</v>
      </c>
      <c r="V21" s="192">
        <f ca="1" xml:space="preserve"> FiscalModel!V758</f>
        <v>0</v>
      </c>
      <c r="W21" s="192">
        <f ca="1" xml:space="preserve"> FiscalModel!W758</f>
        <v>0</v>
      </c>
      <c r="X21" s="192">
        <f ca="1" xml:space="preserve"> FiscalModel!X758</f>
        <v>0</v>
      </c>
      <c r="Y21" s="192">
        <f ca="1" xml:space="preserve"> FiscalModel!Y758</f>
        <v>0</v>
      </c>
      <c r="Z21" s="192">
        <f ca="1" xml:space="preserve"> FiscalModel!Z758</f>
        <v>0</v>
      </c>
      <c r="AA21" s="192">
        <f ca="1" xml:space="preserve"> FiscalModel!AA758</f>
        <v>0</v>
      </c>
      <c r="AB21" s="192">
        <f ca="1" xml:space="preserve"> FiscalModel!AB758</f>
        <v>0</v>
      </c>
      <c r="AC21" s="192">
        <f ca="1" xml:space="preserve"> FiscalModel!AC758</f>
        <v>0</v>
      </c>
      <c r="AD21" s="192">
        <f ca="1" xml:space="preserve"> FiscalModel!AD758</f>
        <v>0</v>
      </c>
      <c r="AE21" s="192">
        <f ca="1" xml:space="preserve"> FiscalModel!AE758</f>
        <v>0</v>
      </c>
      <c r="AF21" s="192">
        <f ca="1" xml:space="preserve"> FiscalModel!AF758</f>
        <v>0</v>
      </c>
      <c r="AG21" s="192">
        <f ca="1" xml:space="preserve"> FiscalModel!AG758</f>
        <v>0</v>
      </c>
      <c r="AH21" s="192">
        <f ca="1" xml:space="preserve"> FiscalModel!AH758</f>
        <v>0</v>
      </c>
      <c r="AI21" s="192">
        <f ca="1" xml:space="preserve"> FiscalModel!AI758</f>
        <v>0</v>
      </c>
      <c r="AJ21" s="192">
        <f ca="1" xml:space="preserve"> FiscalModel!AJ758</f>
        <v>0</v>
      </c>
      <c r="AK21" s="192">
        <f ca="1" xml:space="preserve"> FiscalModel!AK758</f>
        <v>0</v>
      </c>
      <c r="AL21" s="192">
        <f ca="1" xml:space="preserve"> FiscalModel!AL758</f>
        <v>0</v>
      </c>
      <c r="AM21" s="192">
        <f ca="1" xml:space="preserve"> FiscalModel!AM758</f>
        <v>0</v>
      </c>
      <c r="AN21" s="192">
        <f ca="1" xml:space="preserve"> FiscalModel!AN758</f>
        <v>0</v>
      </c>
      <c r="AO21" s="192">
        <f ca="1" xml:space="preserve"> FiscalModel!AO758</f>
        <v>0</v>
      </c>
      <c r="AP21" s="192">
        <f ca="1" xml:space="preserve"> FiscalModel!AP758</f>
        <v>0</v>
      </c>
      <c r="AQ21" s="192">
        <f ca="1" xml:space="preserve"> FiscalModel!AQ758</f>
        <v>0</v>
      </c>
      <c r="AR21" s="192">
        <f ca="1" xml:space="preserve"> FiscalModel!AR758</f>
        <v>0</v>
      </c>
      <c r="AS21" s="192">
        <f ca="1" xml:space="preserve"> FiscalModel!AS758</f>
        <v>0</v>
      </c>
      <c r="AT21" s="192">
        <f ca="1" xml:space="preserve"> FiscalModel!AT758</f>
        <v>0</v>
      </c>
      <c r="AU21" s="192">
        <f ca="1" xml:space="preserve"> FiscalModel!AU758</f>
        <v>0</v>
      </c>
      <c r="AV21" s="192">
        <f ca="1" xml:space="preserve"> FiscalModel!AV758</f>
        <v>0</v>
      </c>
      <c r="AW21" s="192">
        <f ca="1" xml:space="preserve"> FiscalModel!AW758</f>
        <v>0</v>
      </c>
      <c r="AX21" s="192">
        <f ca="1" xml:space="preserve"> FiscalModel!AX758</f>
        <v>0</v>
      </c>
    </row>
    <row r="22" spans="1:50" ht="15" customHeight="1">
      <c r="A22" s="109"/>
      <c r="B22" s="919"/>
      <c r="C22" s="213"/>
      <c r="D22" s="213"/>
      <c r="E22" s="192" t="str">
        <f xml:space="preserve"> FiscalModel!E759</f>
        <v>Government revenues including participation</v>
      </c>
      <c r="F22" s="192">
        <f xml:space="preserve"> FiscalModel!F759</f>
        <v>0</v>
      </c>
      <c r="G22" s="192" t="str">
        <f xml:space="preserve"> FiscalModel!G759</f>
        <v>US$ mn 2021</v>
      </c>
      <c r="H22" s="192">
        <f xml:space="preserve"> FiscalModel!H759</f>
        <v>0</v>
      </c>
      <c r="I22" s="192">
        <f ca="1" xml:space="preserve"> FiscalModel!I759</f>
        <v>611.79250460841877</v>
      </c>
      <c r="J22" s="192">
        <f xml:space="preserve"> FiscalModel!J759</f>
        <v>0</v>
      </c>
      <c r="K22" s="192">
        <f ca="1" xml:space="preserve"> FiscalModel!K759</f>
        <v>0</v>
      </c>
      <c r="L22" s="192">
        <f ca="1" xml:space="preserve"> FiscalModel!L759</f>
        <v>0</v>
      </c>
      <c r="M22" s="192">
        <f ca="1" xml:space="preserve"> FiscalModel!M759</f>
        <v>0</v>
      </c>
      <c r="N22" s="192">
        <f ca="1" xml:space="preserve"> FiscalModel!N759</f>
        <v>0</v>
      </c>
      <c r="O22" s="192">
        <f ca="1" xml:space="preserve"> FiscalModel!O759</f>
        <v>0.73750000000000004</v>
      </c>
      <c r="P22" s="192">
        <f ca="1" xml:space="preserve"> FiscalModel!P759</f>
        <v>8.8656249999999979</v>
      </c>
      <c r="Q22" s="192">
        <f ca="1" xml:space="preserve"> FiscalModel!Q759</f>
        <v>18.595652328431374</v>
      </c>
      <c r="R22" s="192">
        <f ca="1" xml:space="preserve"> FiscalModel!R759</f>
        <v>18.712036596501342</v>
      </c>
      <c r="S22" s="192">
        <f ca="1" xml:space="preserve"> FiscalModel!S759</f>
        <v>25.901850013156011</v>
      </c>
      <c r="T22" s="192">
        <f ca="1" xml:space="preserve"> FiscalModel!T759</f>
        <v>46.299109346897083</v>
      </c>
      <c r="U22" s="192">
        <f ca="1" xml:space="preserve"> FiscalModel!U759</f>
        <v>52.085327833092393</v>
      </c>
      <c r="V22" s="192">
        <f ca="1" xml:space="preserve"> FiscalModel!V759</f>
        <v>58.550023788694531</v>
      </c>
      <c r="W22" s="192">
        <f ca="1" xml:space="preserve"> FiscalModel!W759</f>
        <v>58.550023788694531</v>
      </c>
      <c r="X22" s="192">
        <f ca="1" xml:space="preserve"> FiscalModel!X759</f>
        <v>57.588994802792826</v>
      </c>
      <c r="Y22" s="192">
        <f ca="1" xml:space="preserve"> FiscalModel!Y759</f>
        <v>57.607838508398764</v>
      </c>
      <c r="Z22" s="192">
        <f ca="1" xml:space="preserve"> FiscalModel!Z759</f>
        <v>57.626312729581016</v>
      </c>
      <c r="AA22" s="192">
        <f ca="1" xml:space="preserve"> FiscalModel!AA759</f>
        <v>47.429674711132272</v>
      </c>
      <c r="AB22" s="192">
        <f ca="1" xml:space="preserve"> FiscalModel!AB759</f>
        <v>38.435881555790353</v>
      </c>
      <c r="AC22" s="192">
        <f ca="1" xml:space="preserve"> FiscalModel!AC759</f>
        <v>28.28939753761021</v>
      </c>
      <c r="AD22" s="192">
        <f ca="1" xml:space="preserve"> FiscalModel!AD759</f>
        <v>20.591642791157952</v>
      </c>
      <c r="AE22" s="192">
        <f ca="1" xml:space="preserve"> FiscalModel!AE759</f>
        <v>15.925613276488066</v>
      </c>
      <c r="AF22" s="192">
        <f ca="1" xml:space="preserve"> FiscalModel!AF759</f>
        <v>0</v>
      </c>
      <c r="AG22" s="192">
        <f ca="1" xml:space="preserve"> FiscalModel!AG759</f>
        <v>0</v>
      </c>
      <c r="AH22" s="192">
        <f ca="1" xml:space="preserve"> FiscalModel!AH759</f>
        <v>0</v>
      </c>
      <c r="AI22" s="192">
        <f ca="1" xml:space="preserve"> FiscalModel!AI759</f>
        <v>0</v>
      </c>
      <c r="AJ22" s="192">
        <f ca="1" xml:space="preserve"> FiscalModel!AJ759</f>
        <v>0</v>
      </c>
      <c r="AK22" s="192">
        <f ca="1" xml:space="preserve"> FiscalModel!AK759</f>
        <v>0</v>
      </c>
      <c r="AL22" s="192">
        <f ca="1" xml:space="preserve"> FiscalModel!AL759</f>
        <v>0</v>
      </c>
      <c r="AM22" s="192">
        <f ca="1" xml:space="preserve"> FiscalModel!AM759</f>
        <v>0</v>
      </c>
      <c r="AN22" s="192">
        <f ca="1" xml:space="preserve"> FiscalModel!AN759</f>
        <v>0</v>
      </c>
      <c r="AO22" s="192">
        <f ca="1" xml:space="preserve"> FiscalModel!AO759</f>
        <v>0</v>
      </c>
      <c r="AP22" s="192">
        <f ca="1" xml:space="preserve"> FiscalModel!AP759</f>
        <v>0</v>
      </c>
      <c r="AQ22" s="192">
        <f ca="1" xml:space="preserve"> FiscalModel!AQ759</f>
        <v>0</v>
      </c>
      <c r="AR22" s="192">
        <f ca="1" xml:space="preserve"> FiscalModel!AR759</f>
        <v>0</v>
      </c>
      <c r="AS22" s="192">
        <f ca="1" xml:space="preserve"> FiscalModel!AS759</f>
        <v>0</v>
      </c>
      <c r="AT22" s="192">
        <f ca="1" xml:space="preserve"> FiscalModel!AT759</f>
        <v>0</v>
      </c>
      <c r="AU22" s="192">
        <f ca="1" xml:space="preserve"> FiscalModel!AU759</f>
        <v>0</v>
      </c>
      <c r="AV22" s="192">
        <f ca="1" xml:space="preserve"> FiscalModel!AV759</f>
        <v>0</v>
      </c>
      <c r="AW22" s="192">
        <f ca="1" xml:space="preserve"> FiscalModel!AW759</f>
        <v>0</v>
      </c>
      <c r="AX22" s="192">
        <f ca="1" xml:space="preserve"> FiscalModel!AX759</f>
        <v>0</v>
      </c>
    </row>
    <row r="23" spans="1:50" ht="15" customHeight="1">
      <c r="A23" s="46"/>
      <c r="B23" s="116"/>
      <c r="C23" s="89"/>
      <c r="D23" s="89"/>
      <c r="E23" s="46"/>
      <c r="F23" s="46"/>
      <c r="G23" s="43"/>
      <c r="H23" s="43"/>
      <c r="I23" s="43"/>
      <c r="J23" s="43"/>
      <c r="K23" s="46"/>
      <c r="L23" s="46"/>
      <c r="M23" s="46"/>
      <c r="N23" s="46"/>
      <c r="O23" s="46"/>
      <c r="P23" s="46"/>
      <c r="Q23" s="46"/>
      <c r="R23" s="46"/>
      <c r="S23" s="46"/>
      <c r="T23" s="46"/>
      <c r="U23" s="46"/>
      <c r="V23" s="46"/>
      <c r="W23" s="46"/>
      <c r="X23" s="46"/>
      <c r="Y23" s="46"/>
      <c r="Z23" s="46"/>
      <c r="AA23" s="46"/>
      <c r="AB23" s="46"/>
      <c r="AC23" s="46"/>
      <c r="AD23" s="46"/>
      <c r="AE23" s="46"/>
      <c r="AF23" s="46"/>
      <c r="AG23" s="46"/>
      <c r="AH23" s="46"/>
      <c r="AI23" s="46"/>
      <c r="AJ23" s="46"/>
      <c r="AK23" s="46"/>
      <c r="AL23" s="46"/>
      <c r="AM23" s="46"/>
      <c r="AN23" s="46"/>
      <c r="AO23" s="46"/>
      <c r="AP23" s="46"/>
      <c r="AQ23" s="46"/>
      <c r="AR23" s="46"/>
      <c r="AS23" s="46"/>
      <c r="AT23" s="46"/>
      <c r="AU23" s="46"/>
      <c r="AV23" s="46"/>
      <c r="AW23" s="46"/>
      <c r="AX23" s="46"/>
    </row>
    <row r="24" spans="1:50" ht="15" customHeight="1">
      <c r="A24" s="46"/>
      <c r="B24" s="920" t="str">
        <f xml:space="preserve"> Translate!E$626</f>
        <v>For chart</v>
      </c>
      <c r="C24" s="89"/>
      <c r="D24" s="89"/>
      <c r="E24" s="46"/>
      <c r="F24" s="46"/>
      <c r="G24" s="43"/>
      <c r="H24" s="43"/>
      <c r="I24" s="43"/>
      <c r="J24" s="43"/>
      <c r="K24" s="46"/>
      <c r="L24" s="46"/>
      <c r="M24" s="46"/>
      <c r="N24" s="46"/>
      <c r="O24" s="46"/>
      <c r="P24" s="46"/>
      <c r="Q24" s="46"/>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46"/>
      <c r="AQ24" s="46"/>
      <c r="AR24" s="46"/>
      <c r="AS24" s="46"/>
      <c r="AT24" s="46"/>
      <c r="AU24" s="46"/>
      <c r="AV24" s="46"/>
      <c r="AW24" s="46"/>
      <c r="AX24" s="46"/>
    </row>
    <row r="25" spans="1:50" ht="15" customHeight="1">
      <c r="A25" s="46"/>
      <c r="B25" s="116"/>
      <c r="C25" s="89"/>
      <c r="D25" s="89"/>
      <c r="E25" s="46" t="str">
        <f t="shared" ref="E25:AX25" si="0" xml:space="preserve"> E12</f>
        <v>Signature bonus</v>
      </c>
      <c r="F25" s="46">
        <f t="shared" si="0"/>
        <v>0</v>
      </c>
      <c r="G25" s="46" t="str">
        <f t="shared" si="0"/>
        <v>US$ mn 2021</v>
      </c>
      <c r="H25" s="46">
        <f t="shared" si="0"/>
        <v>0</v>
      </c>
      <c r="I25" s="46">
        <f t="shared" ca="1" si="0"/>
        <v>0</v>
      </c>
      <c r="J25" s="46">
        <f t="shared" si="0"/>
        <v>0</v>
      </c>
      <c r="K25" s="46">
        <f t="shared" ca="1" si="0"/>
        <v>0</v>
      </c>
      <c r="L25" s="46">
        <f t="shared" ca="1" si="0"/>
        <v>0</v>
      </c>
      <c r="M25" s="46">
        <f t="shared" ca="1" si="0"/>
        <v>0</v>
      </c>
      <c r="N25" s="46">
        <f t="shared" ca="1" si="0"/>
        <v>0</v>
      </c>
      <c r="O25" s="46">
        <f t="shared" ca="1" si="0"/>
        <v>0</v>
      </c>
      <c r="P25" s="46">
        <f t="shared" ca="1" si="0"/>
        <v>0</v>
      </c>
      <c r="Q25" s="46">
        <f t="shared" ca="1" si="0"/>
        <v>0</v>
      </c>
      <c r="R25" s="46">
        <f t="shared" ca="1" si="0"/>
        <v>0</v>
      </c>
      <c r="S25" s="46">
        <f t="shared" ca="1" si="0"/>
        <v>0</v>
      </c>
      <c r="T25" s="46">
        <f t="shared" ca="1" si="0"/>
        <v>0</v>
      </c>
      <c r="U25" s="46">
        <f t="shared" ca="1" si="0"/>
        <v>0</v>
      </c>
      <c r="V25" s="46">
        <f t="shared" ca="1" si="0"/>
        <v>0</v>
      </c>
      <c r="W25" s="46">
        <f t="shared" ca="1" si="0"/>
        <v>0</v>
      </c>
      <c r="X25" s="46">
        <f t="shared" ca="1" si="0"/>
        <v>0</v>
      </c>
      <c r="Y25" s="46">
        <f t="shared" ca="1" si="0"/>
        <v>0</v>
      </c>
      <c r="Z25" s="46">
        <f t="shared" ca="1" si="0"/>
        <v>0</v>
      </c>
      <c r="AA25" s="46">
        <f t="shared" ca="1" si="0"/>
        <v>0</v>
      </c>
      <c r="AB25" s="46">
        <f t="shared" ca="1" si="0"/>
        <v>0</v>
      </c>
      <c r="AC25" s="46">
        <f t="shared" ca="1" si="0"/>
        <v>0</v>
      </c>
      <c r="AD25" s="46">
        <f t="shared" ca="1" si="0"/>
        <v>0</v>
      </c>
      <c r="AE25" s="46">
        <f t="shared" ca="1" si="0"/>
        <v>0</v>
      </c>
      <c r="AF25" s="46">
        <f t="shared" ca="1" si="0"/>
        <v>0</v>
      </c>
      <c r="AG25" s="46">
        <f t="shared" ca="1" si="0"/>
        <v>0</v>
      </c>
      <c r="AH25" s="46">
        <f t="shared" ca="1" si="0"/>
        <v>0</v>
      </c>
      <c r="AI25" s="46">
        <f t="shared" ca="1" si="0"/>
        <v>0</v>
      </c>
      <c r="AJ25" s="46">
        <f t="shared" ca="1" si="0"/>
        <v>0</v>
      </c>
      <c r="AK25" s="46">
        <f t="shared" ca="1" si="0"/>
        <v>0</v>
      </c>
      <c r="AL25" s="46">
        <f t="shared" ca="1" si="0"/>
        <v>0</v>
      </c>
      <c r="AM25" s="46">
        <f t="shared" ca="1" si="0"/>
        <v>0</v>
      </c>
      <c r="AN25" s="46">
        <f t="shared" ca="1" si="0"/>
        <v>0</v>
      </c>
      <c r="AO25" s="46">
        <f t="shared" ca="1" si="0"/>
        <v>0</v>
      </c>
      <c r="AP25" s="46">
        <f t="shared" ca="1" si="0"/>
        <v>0</v>
      </c>
      <c r="AQ25" s="46">
        <f t="shared" ca="1" si="0"/>
        <v>0</v>
      </c>
      <c r="AR25" s="46">
        <f t="shared" ca="1" si="0"/>
        <v>0</v>
      </c>
      <c r="AS25" s="46">
        <f t="shared" ca="1" si="0"/>
        <v>0</v>
      </c>
      <c r="AT25" s="46">
        <f t="shared" ca="1" si="0"/>
        <v>0</v>
      </c>
      <c r="AU25" s="46">
        <f t="shared" ca="1" si="0"/>
        <v>0</v>
      </c>
      <c r="AV25" s="46">
        <f t="shared" ca="1" si="0"/>
        <v>0</v>
      </c>
      <c r="AW25" s="46">
        <f t="shared" ca="1" si="0"/>
        <v>0</v>
      </c>
      <c r="AX25" s="46">
        <f t="shared" ca="1" si="0"/>
        <v>0</v>
      </c>
    </row>
    <row r="26" spans="1:50" ht="15" customHeight="1">
      <c r="A26" s="46"/>
      <c r="B26" s="116"/>
      <c r="C26" s="89"/>
      <c r="D26" s="89"/>
      <c r="E26" s="46" t="str">
        <f t="shared" ref="E26:AX26" si="1" xml:space="preserve"> E13</f>
        <v>Royalty</v>
      </c>
      <c r="F26" s="46">
        <f t="shared" si="1"/>
        <v>0</v>
      </c>
      <c r="G26" s="46" t="str">
        <f t="shared" si="1"/>
        <v>US$ mn 2021</v>
      </c>
      <c r="H26" s="46">
        <f t="shared" si="1"/>
        <v>0</v>
      </c>
      <c r="I26" s="46">
        <f t="shared" ca="1" si="1"/>
        <v>147.5</v>
      </c>
      <c r="J26" s="46">
        <f t="shared" si="1"/>
        <v>0</v>
      </c>
      <c r="K26" s="46">
        <f t="shared" ca="1" si="1"/>
        <v>0</v>
      </c>
      <c r="L26" s="46">
        <f t="shared" ca="1" si="1"/>
        <v>0</v>
      </c>
      <c r="M26" s="46">
        <f t="shared" ca="1" si="1"/>
        <v>0</v>
      </c>
      <c r="N26" s="46">
        <f t="shared" ca="1" si="1"/>
        <v>0</v>
      </c>
      <c r="O26" s="46">
        <f t="shared" ca="1" si="1"/>
        <v>0.73750000000000004</v>
      </c>
      <c r="P26" s="46">
        <f t="shared" ca="1" si="1"/>
        <v>5.53125</v>
      </c>
      <c r="Q26" s="46">
        <f t="shared" ca="1" si="1"/>
        <v>11.062500000000002</v>
      </c>
      <c r="R26" s="46">
        <f t="shared" ca="1" si="1"/>
        <v>11.0625</v>
      </c>
      <c r="S26" s="46">
        <f t="shared" ca="1" si="1"/>
        <v>11.0625</v>
      </c>
      <c r="T26" s="46">
        <f t="shared" ca="1" si="1"/>
        <v>11.062500000000002</v>
      </c>
      <c r="U26" s="46">
        <f t="shared" ca="1" si="1"/>
        <v>11.0625</v>
      </c>
      <c r="V26" s="46">
        <f t="shared" ca="1" si="1"/>
        <v>11.0625</v>
      </c>
      <c r="W26" s="46">
        <f t="shared" ca="1" si="1"/>
        <v>11.0625</v>
      </c>
      <c r="X26" s="46">
        <f t="shared" ca="1" si="1"/>
        <v>11.0625</v>
      </c>
      <c r="Y26" s="46">
        <f t="shared" ca="1" si="1"/>
        <v>11.062500000000002</v>
      </c>
      <c r="Z26" s="46">
        <f t="shared" ca="1" si="1"/>
        <v>11.0625</v>
      </c>
      <c r="AA26" s="46">
        <f t="shared" ca="1" si="1"/>
        <v>9.2187500000000018</v>
      </c>
      <c r="AB26" s="46">
        <f t="shared" ca="1" si="1"/>
        <v>7.3750000000000009</v>
      </c>
      <c r="AC26" s="46">
        <f t="shared" ca="1" si="1"/>
        <v>5.53125</v>
      </c>
      <c r="AD26" s="46">
        <f t="shared" ca="1" si="1"/>
        <v>4.7937500000000002</v>
      </c>
      <c r="AE26" s="46">
        <f t="shared" ca="1" si="1"/>
        <v>3.6875</v>
      </c>
      <c r="AF26" s="46">
        <f t="shared" ca="1" si="1"/>
        <v>0</v>
      </c>
      <c r="AG26" s="46">
        <f t="shared" ca="1" si="1"/>
        <v>0</v>
      </c>
      <c r="AH26" s="46">
        <f t="shared" ca="1" si="1"/>
        <v>0</v>
      </c>
      <c r="AI26" s="46">
        <f t="shared" ca="1" si="1"/>
        <v>0</v>
      </c>
      <c r="AJ26" s="46">
        <f t="shared" ca="1" si="1"/>
        <v>0</v>
      </c>
      <c r="AK26" s="46">
        <f t="shared" ca="1" si="1"/>
        <v>0</v>
      </c>
      <c r="AL26" s="46">
        <f t="shared" ca="1" si="1"/>
        <v>0</v>
      </c>
      <c r="AM26" s="46">
        <f t="shared" ca="1" si="1"/>
        <v>0</v>
      </c>
      <c r="AN26" s="46">
        <f t="shared" ca="1" si="1"/>
        <v>0</v>
      </c>
      <c r="AO26" s="46">
        <f t="shared" ca="1" si="1"/>
        <v>0</v>
      </c>
      <c r="AP26" s="46">
        <f t="shared" ca="1" si="1"/>
        <v>0</v>
      </c>
      <c r="AQ26" s="46">
        <f t="shared" ca="1" si="1"/>
        <v>0</v>
      </c>
      <c r="AR26" s="46">
        <f t="shared" ca="1" si="1"/>
        <v>0</v>
      </c>
      <c r="AS26" s="46">
        <f t="shared" ca="1" si="1"/>
        <v>0</v>
      </c>
      <c r="AT26" s="46">
        <f t="shared" ca="1" si="1"/>
        <v>0</v>
      </c>
      <c r="AU26" s="46">
        <f t="shared" ca="1" si="1"/>
        <v>0</v>
      </c>
      <c r="AV26" s="46">
        <f t="shared" ca="1" si="1"/>
        <v>0</v>
      </c>
      <c r="AW26" s="46">
        <f t="shared" ca="1" si="1"/>
        <v>0</v>
      </c>
      <c r="AX26" s="46">
        <f t="shared" ca="1" si="1"/>
        <v>0</v>
      </c>
    </row>
    <row r="27" spans="1:50" ht="15" customHeight="1">
      <c r="A27" s="46"/>
      <c r="B27" s="116"/>
      <c r="C27" s="89"/>
      <c r="D27" s="89"/>
      <c r="E27" s="46" t="str">
        <f t="shared" ref="E27:AX27" si="2" xml:space="preserve"> E14</f>
        <v>Carbon tax</v>
      </c>
      <c r="F27" s="46">
        <f t="shared" si="2"/>
        <v>0</v>
      </c>
      <c r="G27" s="46" t="str">
        <f t="shared" si="2"/>
        <v>US$ mn 2021</v>
      </c>
      <c r="H27" s="46">
        <f t="shared" si="2"/>
        <v>0</v>
      </c>
      <c r="I27" s="46">
        <f t="shared" ca="1" si="2"/>
        <v>0</v>
      </c>
      <c r="J27" s="46">
        <f t="shared" si="2"/>
        <v>0</v>
      </c>
      <c r="K27" s="46">
        <f t="shared" ca="1" si="2"/>
        <v>0</v>
      </c>
      <c r="L27" s="46">
        <f t="shared" ca="1" si="2"/>
        <v>0</v>
      </c>
      <c r="M27" s="46">
        <f t="shared" ca="1" si="2"/>
        <v>0</v>
      </c>
      <c r="N27" s="46">
        <f t="shared" ca="1" si="2"/>
        <v>0</v>
      </c>
      <c r="O27" s="46">
        <f t="shared" ca="1" si="2"/>
        <v>0</v>
      </c>
      <c r="P27" s="46">
        <f t="shared" ca="1" si="2"/>
        <v>0</v>
      </c>
      <c r="Q27" s="46">
        <f t="shared" ca="1" si="2"/>
        <v>0</v>
      </c>
      <c r="R27" s="46">
        <f t="shared" ca="1" si="2"/>
        <v>0</v>
      </c>
      <c r="S27" s="46">
        <f t="shared" ca="1" si="2"/>
        <v>0</v>
      </c>
      <c r="T27" s="46">
        <f t="shared" ca="1" si="2"/>
        <v>0</v>
      </c>
      <c r="U27" s="46">
        <f t="shared" ca="1" si="2"/>
        <v>0</v>
      </c>
      <c r="V27" s="46">
        <f t="shared" ca="1" si="2"/>
        <v>0</v>
      </c>
      <c r="W27" s="46">
        <f t="shared" ca="1" si="2"/>
        <v>0</v>
      </c>
      <c r="X27" s="46">
        <f t="shared" ca="1" si="2"/>
        <v>0</v>
      </c>
      <c r="Y27" s="46">
        <f t="shared" ca="1" si="2"/>
        <v>0</v>
      </c>
      <c r="Z27" s="46">
        <f t="shared" ca="1" si="2"/>
        <v>0</v>
      </c>
      <c r="AA27" s="46">
        <f t="shared" ca="1" si="2"/>
        <v>0</v>
      </c>
      <c r="AB27" s="46">
        <f t="shared" ca="1" si="2"/>
        <v>0</v>
      </c>
      <c r="AC27" s="46">
        <f t="shared" ca="1" si="2"/>
        <v>0</v>
      </c>
      <c r="AD27" s="46">
        <f t="shared" ca="1" si="2"/>
        <v>0</v>
      </c>
      <c r="AE27" s="46">
        <f t="shared" ca="1" si="2"/>
        <v>0</v>
      </c>
      <c r="AF27" s="46">
        <f t="shared" ca="1" si="2"/>
        <v>0</v>
      </c>
      <c r="AG27" s="46">
        <f t="shared" ca="1" si="2"/>
        <v>0</v>
      </c>
      <c r="AH27" s="46">
        <f t="shared" ca="1" si="2"/>
        <v>0</v>
      </c>
      <c r="AI27" s="46">
        <f t="shared" ca="1" si="2"/>
        <v>0</v>
      </c>
      <c r="AJ27" s="46">
        <f t="shared" ca="1" si="2"/>
        <v>0</v>
      </c>
      <c r="AK27" s="46">
        <f t="shared" ca="1" si="2"/>
        <v>0</v>
      </c>
      <c r="AL27" s="46">
        <f t="shared" ca="1" si="2"/>
        <v>0</v>
      </c>
      <c r="AM27" s="46">
        <f t="shared" ca="1" si="2"/>
        <v>0</v>
      </c>
      <c r="AN27" s="46">
        <f t="shared" ca="1" si="2"/>
        <v>0</v>
      </c>
      <c r="AO27" s="46">
        <f t="shared" ca="1" si="2"/>
        <v>0</v>
      </c>
      <c r="AP27" s="46">
        <f t="shared" ca="1" si="2"/>
        <v>0</v>
      </c>
      <c r="AQ27" s="46">
        <f t="shared" ca="1" si="2"/>
        <v>0</v>
      </c>
      <c r="AR27" s="46">
        <f t="shared" ca="1" si="2"/>
        <v>0</v>
      </c>
      <c r="AS27" s="46">
        <f t="shared" ca="1" si="2"/>
        <v>0</v>
      </c>
      <c r="AT27" s="46">
        <f t="shared" ca="1" si="2"/>
        <v>0</v>
      </c>
      <c r="AU27" s="46">
        <f t="shared" ca="1" si="2"/>
        <v>0</v>
      </c>
      <c r="AV27" s="46">
        <f t="shared" ca="1" si="2"/>
        <v>0</v>
      </c>
      <c r="AW27" s="46">
        <f t="shared" ca="1" si="2"/>
        <v>0</v>
      </c>
      <c r="AX27" s="46">
        <f t="shared" ca="1" si="2"/>
        <v>0</v>
      </c>
    </row>
    <row r="28" spans="1:50" ht="15" customHeight="1">
      <c r="A28" s="46"/>
      <c r="B28" s="116"/>
      <c r="C28" s="89"/>
      <c r="D28" s="89"/>
      <c r="E28" s="46" t="str">
        <f t="shared" ref="E28:AX28" si="3" xml:space="preserve"> E15</f>
        <v>CIT: Mining company</v>
      </c>
      <c r="F28" s="46">
        <f t="shared" si="3"/>
        <v>0</v>
      </c>
      <c r="G28" s="46" t="str">
        <f t="shared" si="3"/>
        <v>US$ mn 2021</v>
      </c>
      <c r="H28" s="46">
        <f t="shared" si="3"/>
        <v>0</v>
      </c>
      <c r="I28" s="46">
        <f t="shared" ca="1" si="3"/>
        <v>362.41177277536571</v>
      </c>
      <c r="J28" s="46">
        <f t="shared" si="3"/>
        <v>0</v>
      </c>
      <c r="K28" s="46">
        <f t="shared" ca="1" si="3"/>
        <v>0</v>
      </c>
      <c r="L28" s="46">
        <f t="shared" ca="1" si="3"/>
        <v>0</v>
      </c>
      <c r="M28" s="46">
        <f t="shared" ca="1" si="3"/>
        <v>0</v>
      </c>
      <c r="N28" s="46">
        <f t="shared" ca="1" si="3"/>
        <v>0</v>
      </c>
      <c r="O28" s="46">
        <f t="shared" ca="1" si="3"/>
        <v>0</v>
      </c>
      <c r="P28" s="46">
        <f t="shared" ca="1" si="3"/>
        <v>0</v>
      </c>
      <c r="Q28" s="46">
        <f t="shared" ca="1" si="3"/>
        <v>0</v>
      </c>
      <c r="R28" s="46">
        <f t="shared" ca="1" si="3"/>
        <v>0</v>
      </c>
      <c r="S28" s="46">
        <f t="shared" ca="1" si="3"/>
        <v>7.8619013256185006</v>
      </c>
      <c r="T28" s="46">
        <f t="shared" ca="1" si="3"/>
        <v>30.401228446335146</v>
      </c>
      <c r="U28" s="46">
        <f t="shared" ca="1" si="3"/>
        <v>36.708502880782994</v>
      </c>
      <c r="V28" s="46">
        <f t="shared" ca="1" si="3"/>
        <v>37.798637542993923</v>
      </c>
      <c r="W28" s="46">
        <f t="shared" ca="1" si="3"/>
        <v>37.798637542993923</v>
      </c>
      <c r="X28" s="46">
        <f t="shared" ca="1" si="3"/>
        <v>37.034182667844838</v>
      </c>
      <c r="Y28" s="46">
        <f t="shared" ca="1" si="3"/>
        <v>37.049171979122292</v>
      </c>
      <c r="Z28" s="46">
        <f t="shared" ca="1" si="3"/>
        <v>37.063867382335445</v>
      </c>
      <c r="AA28" s="46">
        <f t="shared" ca="1" si="3"/>
        <v>30.419524640387579</v>
      </c>
      <c r="AB28" s="46">
        <f t="shared" ca="1" si="3"/>
        <v>24.222899403183778</v>
      </c>
      <c r="AC28" s="46">
        <f t="shared" ca="1" si="3"/>
        <v>18.017212896121233</v>
      </c>
      <c r="AD28" s="46">
        <f t="shared" ca="1" si="3"/>
        <v>15.797892791157951</v>
      </c>
      <c r="AE28" s="46">
        <f t="shared" ca="1" si="3"/>
        <v>12.238113276488066</v>
      </c>
      <c r="AF28" s="46">
        <f t="shared" ca="1" si="3"/>
        <v>0</v>
      </c>
      <c r="AG28" s="46">
        <f t="shared" ca="1" si="3"/>
        <v>0</v>
      </c>
      <c r="AH28" s="46">
        <f t="shared" ca="1" si="3"/>
        <v>0</v>
      </c>
      <c r="AI28" s="46">
        <f t="shared" ca="1" si="3"/>
        <v>0</v>
      </c>
      <c r="AJ28" s="46">
        <f t="shared" ca="1" si="3"/>
        <v>0</v>
      </c>
      <c r="AK28" s="46">
        <f t="shared" ca="1" si="3"/>
        <v>0</v>
      </c>
      <c r="AL28" s="46">
        <f t="shared" ca="1" si="3"/>
        <v>0</v>
      </c>
      <c r="AM28" s="46">
        <f t="shared" ca="1" si="3"/>
        <v>0</v>
      </c>
      <c r="AN28" s="46">
        <f t="shared" ca="1" si="3"/>
        <v>0</v>
      </c>
      <c r="AO28" s="46">
        <f t="shared" ca="1" si="3"/>
        <v>0</v>
      </c>
      <c r="AP28" s="46">
        <f t="shared" ca="1" si="3"/>
        <v>0</v>
      </c>
      <c r="AQ28" s="46">
        <f t="shared" ca="1" si="3"/>
        <v>0</v>
      </c>
      <c r="AR28" s="46">
        <f t="shared" ca="1" si="3"/>
        <v>0</v>
      </c>
      <c r="AS28" s="46">
        <f t="shared" ca="1" si="3"/>
        <v>0</v>
      </c>
      <c r="AT28" s="46">
        <f t="shared" ca="1" si="3"/>
        <v>0</v>
      </c>
      <c r="AU28" s="46">
        <f t="shared" ca="1" si="3"/>
        <v>0</v>
      </c>
      <c r="AV28" s="46">
        <f t="shared" ca="1" si="3"/>
        <v>0</v>
      </c>
      <c r="AW28" s="46">
        <f t="shared" ca="1" si="3"/>
        <v>0</v>
      </c>
      <c r="AX28" s="46">
        <f t="shared" ca="1" si="3"/>
        <v>0</v>
      </c>
    </row>
    <row r="29" spans="1:50" ht="15" customHeight="1">
      <c r="A29" s="46"/>
      <c r="B29" s="116"/>
      <c r="C29" s="89"/>
      <c r="D29" s="89"/>
      <c r="E29" s="46" t="str">
        <f t="shared" ref="E29:AX29" si="4" xml:space="preserve"> E16</f>
        <v>RRT: Mining company</v>
      </c>
      <c r="F29" s="46">
        <f t="shared" si="4"/>
        <v>0</v>
      </c>
      <c r="G29" s="46" t="str">
        <f t="shared" si="4"/>
        <v>US$ mn 2021</v>
      </c>
      <c r="H29" s="46">
        <f t="shared" si="4"/>
        <v>0</v>
      </c>
      <c r="I29" s="46">
        <f t="shared" ca="1" si="4"/>
        <v>0</v>
      </c>
      <c r="J29" s="46">
        <f t="shared" si="4"/>
        <v>0</v>
      </c>
      <c r="K29" s="46">
        <f t="shared" ca="1" si="4"/>
        <v>0</v>
      </c>
      <c r="L29" s="46">
        <f t="shared" ca="1" si="4"/>
        <v>0</v>
      </c>
      <c r="M29" s="46">
        <f t="shared" ca="1" si="4"/>
        <v>0</v>
      </c>
      <c r="N29" s="46">
        <f t="shared" ca="1" si="4"/>
        <v>0</v>
      </c>
      <c r="O29" s="46">
        <f t="shared" ca="1" si="4"/>
        <v>0</v>
      </c>
      <c r="P29" s="46">
        <f t="shared" ca="1" si="4"/>
        <v>0</v>
      </c>
      <c r="Q29" s="46">
        <f t="shared" ca="1" si="4"/>
        <v>0</v>
      </c>
      <c r="R29" s="46">
        <f t="shared" ca="1" si="4"/>
        <v>0</v>
      </c>
      <c r="S29" s="46">
        <f t="shared" ca="1" si="4"/>
        <v>0</v>
      </c>
      <c r="T29" s="46">
        <f t="shared" ca="1" si="4"/>
        <v>0</v>
      </c>
      <c r="U29" s="46">
        <f t="shared" ca="1" si="4"/>
        <v>0</v>
      </c>
      <c r="V29" s="46">
        <f t="shared" ca="1" si="4"/>
        <v>0</v>
      </c>
      <c r="W29" s="46">
        <f t="shared" ca="1" si="4"/>
        <v>0</v>
      </c>
      <c r="X29" s="46">
        <f t="shared" ca="1" si="4"/>
        <v>0</v>
      </c>
      <c r="Y29" s="46">
        <f t="shared" ca="1" si="4"/>
        <v>0</v>
      </c>
      <c r="Z29" s="46">
        <f t="shared" ca="1" si="4"/>
        <v>0</v>
      </c>
      <c r="AA29" s="46">
        <f t="shared" ca="1" si="4"/>
        <v>0</v>
      </c>
      <c r="AB29" s="46">
        <f t="shared" ca="1" si="4"/>
        <v>0</v>
      </c>
      <c r="AC29" s="46">
        <f t="shared" ca="1" si="4"/>
        <v>0</v>
      </c>
      <c r="AD29" s="46">
        <f t="shared" ca="1" si="4"/>
        <v>0</v>
      </c>
      <c r="AE29" s="46">
        <f t="shared" ca="1" si="4"/>
        <v>0</v>
      </c>
      <c r="AF29" s="46">
        <f t="shared" ca="1" si="4"/>
        <v>0</v>
      </c>
      <c r="AG29" s="46">
        <f t="shared" ca="1" si="4"/>
        <v>0</v>
      </c>
      <c r="AH29" s="46">
        <f t="shared" ca="1" si="4"/>
        <v>0</v>
      </c>
      <c r="AI29" s="46">
        <f t="shared" ca="1" si="4"/>
        <v>0</v>
      </c>
      <c r="AJ29" s="46">
        <f t="shared" ca="1" si="4"/>
        <v>0</v>
      </c>
      <c r="AK29" s="46">
        <f t="shared" ca="1" si="4"/>
        <v>0</v>
      </c>
      <c r="AL29" s="46">
        <f t="shared" ca="1" si="4"/>
        <v>0</v>
      </c>
      <c r="AM29" s="46">
        <f t="shared" ca="1" si="4"/>
        <v>0</v>
      </c>
      <c r="AN29" s="46">
        <f t="shared" ca="1" si="4"/>
        <v>0</v>
      </c>
      <c r="AO29" s="46">
        <f t="shared" ca="1" si="4"/>
        <v>0</v>
      </c>
      <c r="AP29" s="46">
        <f t="shared" ca="1" si="4"/>
        <v>0</v>
      </c>
      <c r="AQ29" s="46">
        <f t="shared" ca="1" si="4"/>
        <v>0</v>
      </c>
      <c r="AR29" s="46">
        <f t="shared" ca="1" si="4"/>
        <v>0</v>
      </c>
      <c r="AS29" s="46">
        <f t="shared" ca="1" si="4"/>
        <v>0</v>
      </c>
      <c r="AT29" s="46">
        <f t="shared" ca="1" si="4"/>
        <v>0</v>
      </c>
      <c r="AU29" s="46">
        <f t="shared" ca="1" si="4"/>
        <v>0</v>
      </c>
      <c r="AV29" s="46">
        <f t="shared" ca="1" si="4"/>
        <v>0</v>
      </c>
      <c r="AW29" s="46">
        <f t="shared" ca="1" si="4"/>
        <v>0</v>
      </c>
      <c r="AX29" s="46">
        <f t="shared" ca="1" si="4"/>
        <v>0</v>
      </c>
    </row>
    <row r="30" spans="1:50" ht="15" customHeight="1">
      <c r="A30" s="46"/>
      <c r="B30" s="116"/>
      <c r="C30" s="89"/>
      <c r="D30" s="89"/>
      <c r="E30" s="46" t="str">
        <f t="shared" ref="E30:AX30" si="5" xml:space="preserve"> E17</f>
        <v>Dividend withholding tax</v>
      </c>
      <c r="F30" s="46">
        <f t="shared" si="5"/>
        <v>0</v>
      </c>
      <c r="G30" s="46" t="str">
        <f t="shared" si="5"/>
        <v>US$ mn 2021</v>
      </c>
      <c r="H30" s="46">
        <f t="shared" si="5"/>
        <v>0</v>
      </c>
      <c r="I30" s="46">
        <f t="shared" ca="1" si="5"/>
        <v>95.722174595619009</v>
      </c>
      <c r="J30" s="46">
        <f t="shared" si="5"/>
        <v>0</v>
      </c>
      <c r="K30" s="46">
        <f t="shared" ca="1" si="5"/>
        <v>0</v>
      </c>
      <c r="L30" s="46">
        <f t="shared" ca="1" si="5"/>
        <v>0</v>
      </c>
      <c r="M30" s="46">
        <f t="shared" ca="1" si="5"/>
        <v>0</v>
      </c>
      <c r="N30" s="46">
        <f t="shared" ca="1" si="5"/>
        <v>0</v>
      </c>
      <c r="O30" s="46">
        <f t="shared" ca="1" si="5"/>
        <v>0</v>
      </c>
      <c r="P30" s="46">
        <f t="shared" ca="1" si="5"/>
        <v>3.3343749999999988</v>
      </c>
      <c r="Q30" s="46">
        <f t="shared" ca="1" si="5"/>
        <v>5.4260151550245039</v>
      </c>
      <c r="R30" s="46">
        <f t="shared" ca="1" si="5"/>
        <v>5.9968799899077201</v>
      </c>
      <c r="S30" s="46">
        <f t="shared" ca="1" si="5"/>
        <v>5.7622600062186704</v>
      </c>
      <c r="T30" s="46">
        <f t="shared" ca="1" si="5"/>
        <v>4.0411399323796893</v>
      </c>
      <c r="U30" s="46">
        <f t="shared" ca="1" si="5"/>
        <v>3.9249911443769259</v>
      </c>
      <c r="V30" s="46">
        <f t="shared" ca="1" si="5"/>
        <v>9.6888862457006049</v>
      </c>
      <c r="W30" s="46">
        <f t="shared" ca="1" si="5"/>
        <v>9.6888862457006102</v>
      </c>
      <c r="X30" s="46">
        <f t="shared" ca="1" si="5"/>
        <v>9.4923121349479906</v>
      </c>
      <c r="Y30" s="46">
        <f t="shared" ca="1" si="5"/>
        <v>9.4961665292764739</v>
      </c>
      <c r="Z30" s="46">
        <f t="shared" ca="1" si="5"/>
        <v>9.4999453472455748</v>
      </c>
      <c r="AA30" s="46">
        <f t="shared" ca="1" si="5"/>
        <v>7.7914000707446958</v>
      </c>
      <c r="AB30" s="46">
        <f t="shared" ca="1" si="5"/>
        <v>6.8379821526065729</v>
      </c>
      <c r="AC30" s="46">
        <f t="shared" ca="1" si="5"/>
        <v>4.7409346414889759</v>
      </c>
      <c r="AD30" s="46">
        <f t="shared" ca="1" si="5"/>
        <v>0</v>
      </c>
      <c r="AE30" s="46">
        <f t="shared" ca="1" si="5"/>
        <v>0</v>
      </c>
      <c r="AF30" s="46">
        <f t="shared" ca="1" si="5"/>
        <v>0</v>
      </c>
      <c r="AG30" s="46">
        <f t="shared" ca="1" si="5"/>
        <v>0</v>
      </c>
      <c r="AH30" s="46">
        <f t="shared" ca="1" si="5"/>
        <v>0</v>
      </c>
      <c r="AI30" s="46">
        <f t="shared" ca="1" si="5"/>
        <v>0</v>
      </c>
      <c r="AJ30" s="46">
        <f t="shared" ca="1" si="5"/>
        <v>0</v>
      </c>
      <c r="AK30" s="46">
        <f t="shared" ca="1" si="5"/>
        <v>0</v>
      </c>
      <c r="AL30" s="46">
        <f t="shared" ca="1" si="5"/>
        <v>0</v>
      </c>
      <c r="AM30" s="46">
        <f t="shared" ca="1" si="5"/>
        <v>0</v>
      </c>
      <c r="AN30" s="46">
        <f t="shared" ca="1" si="5"/>
        <v>0</v>
      </c>
      <c r="AO30" s="46">
        <f t="shared" ca="1" si="5"/>
        <v>0</v>
      </c>
      <c r="AP30" s="46">
        <f t="shared" ca="1" si="5"/>
        <v>0</v>
      </c>
      <c r="AQ30" s="46">
        <f t="shared" ca="1" si="5"/>
        <v>0</v>
      </c>
      <c r="AR30" s="46">
        <f t="shared" ca="1" si="5"/>
        <v>0</v>
      </c>
      <c r="AS30" s="46">
        <f t="shared" ca="1" si="5"/>
        <v>0</v>
      </c>
      <c r="AT30" s="46">
        <f t="shared" ca="1" si="5"/>
        <v>0</v>
      </c>
      <c r="AU30" s="46">
        <f t="shared" ca="1" si="5"/>
        <v>0</v>
      </c>
      <c r="AV30" s="46">
        <f t="shared" ca="1" si="5"/>
        <v>0</v>
      </c>
      <c r="AW30" s="46">
        <f t="shared" ca="1" si="5"/>
        <v>0</v>
      </c>
      <c r="AX30" s="46">
        <f t="shared" ca="1" si="5"/>
        <v>0</v>
      </c>
    </row>
    <row r="31" spans="1:50" ht="15" customHeight="1">
      <c r="A31" s="46"/>
      <c r="B31" s="116"/>
      <c r="C31" s="89"/>
      <c r="D31" s="89"/>
      <c r="E31" s="46" t="str">
        <f t="shared" ref="E31:AX31" si="6" xml:space="preserve"> E18</f>
        <v>Interest withholding tax</v>
      </c>
      <c r="F31" s="46">
        <f t="shared" si="6"/>
        <v>0</v>
      </c>
      <c r="G31" s="46" t="str">
        <f t="shared" si="6"/>
        <v>US$ mn 2021</v>
      </c>
      <c r="H31" s="46">
        <f t="shared" si="6"/>
        <v>0</v>
      </c>
      <c r="I31" s="46">
        <f t="shared" ca="1" si="6"/>
        <v>6.158557237434052</v>
      </c>
      <c r="J31" s="46">
        <f t="shared" si="6"/>
        <v>0</v>
      </c>
      <c r="K31" s="46">
        <f t="shared" ca="1" si="6"/>
        <v>0</v>
      </c>
      <c r="L31" s="46">
        <f t="shared" ca="1" si="6"/>
        <v>0</v>
      </c>
      <c r="M31" s="46">
        <f t="shared" ca="1" si="6"/>
        <v>0</v>
      </c>
      <c r="N31" s="46">
        <f t="shared" ca="1" si="6"/>
        <v>0</v>
      </c>
      <c r="O31" s="46">
        <f t="shared" ca="1" si="6"/>
        <v>0</v>
      </c>
      <c r="P31" s="46">
        <f t="shared" ca="1" si="6"/>
        <v>0</v>
      </c>
      <c r="Q31" s="46">
        <f t="shared" ca="1" si="6"/>
        <v>2.1071371734068678</v>
      </c>
      <c r="R31" s="46">
        <f t="shared" ca="1" si="6"/>
        <v>1.6526566065936219</v>
      </c>
      <c r="S31" s="46">
        <f t="shared" ca="1" si="6"/>
        <v>1.2151886813188395</v>
      </c>
      <c r="T31" s="46">
        <f t="shared" ca="1" si="6"/>
        <v>0.7942409681822481</v>
      </c>
      <c r="U31" s="46">
        <f t="shared" ca="1" si="6"/>
        <v>0.38933380793247452</v>
      </c>
      <c r="V31" s="46">
        <f t="shared" ca="1" si="6"/>
        <v>0</v>
      </c>
      <c r="W31" s="46">
        <f t="shared" ca="1" si="6"/>
        <v>0</v>
      </c>
      <c r="X31" s="46">
        <f t="shared" ca="1" si="6"/>
        <v>0</v>
      </c>
      <c r="Y31" s="46">
        <f t="shared" ca="1" si="6"/>
        <v>0</v>
      </c>
      <c r="Z31" s="46">
        <f t="shared" ca="1" si="6"/>
        <v>0</v>
      </c>
      <c r="AA31" s="46">
        <f t="shared" ca="1" si="6"/>
        <v>0</v>
      </c>
      <c r="AB31" s="46">
        <f t="shared" ca="1" si="6"/>
        <v>0</v>
      </c>
      <c r="AC31" s="46">
        <f t="shared" ca="1" si="6"/>
        <v>0</v>
      </c>
      <c r="AD31" s="46">
        <f t="shared" ca="1" si="6"/>
        <v>0</v>
      </c>
      <c r="AE31" s="46">
        <f t="shared" ca="1" si="6"/>
        <v>0</v>
      </c>
      <c r="AF31" s="46">
        <f t="shared" ca="1" si="6"/>
        <v>0</v>
      </c>
      <c r="AG31" s="46">
        <f t="shared" ca="1" si="6"/>
        <v>0</v>
      </c>
      <c r="AH31" s="46">
        <f t="shared" ca="1" si="6"/>
        <v>0</v>
      </c>
      <c r="AI31" s="46">
        <f t="shared" ca="1" si="6"/>
        <v>0</v>
      </c>
      <c r="AJ31" s="46">
        <f t="shared" ca="1" si="6"/>
        <v>0</v>
      </c>
      <c r="AK31" s="46">
        <f t="shared" ca="1" si="6"/>
        <v>0</v>
      </c>
      <c r="AL31" s="46">
        <f t="shared" ca="1" si="6"/>
        <v>0</v>
      </c>
      <c r="AM31" s="46">
        <f t="shared" ca="1" si="6"/>
        <v>0</v>
      </c>
      <c r="AN31" s="46">
        <f t="shared" ca="1" si="6"/>
        <v>0</v>
      </c>
      <c r="AO31" s="46">
        <f t="shared" ca="1" si="6"/>
        <v>0</v>
      </c>
      <c r="AP31" s="46">
        <f t="shared" ca="1" si="6"/>
        <v>0</v>
      </c>
      <c r="AQ31" s="46">
        <f t="shared" ca="1" si="6"/>
        <v>0</v>
      </c>
      <c r="AR31" s="46">
        <f t="shared" ca="1" si="6"/>
        <v>0</v>
      </c>
      <c r="AS31" s="46">
        <f t="shared" ca="1" si="6"/>
        <v>0</v>
      </c>
      <c r="AT31" s="46">
        <f t="shared" ca="1" si="6"/>
        <v>0</v>
      </c>
      <c r="AU31" s="46">
        <f t="shared" ca="1" si="6"/>
        <v>0</v>
      </c>
      <c r="AV31" s="46">
        <f t="shared" ca="1" si="6"/>
        <v>0</v>
      </c>
      <c r="AW31" s="46">
        <f t="shared" ca="1" si="6"/>
        <v>0</v>
      </c>
      <c r="AX31" s="46">
        <f t="shared" ca="1" si="6"/>
        <v>0</v>
      </c>
    </row>
    <row r="32" spans="1:50" ht="15" customHeight="1">
      <c r="A32" s="46"/>
      <c r="B32" s="116"/>
      <c r="C32" s="89"/>
      <c r="D32" s="89"/>
      <c r="E32" s="46" t="str">
        <f t="shared" ref="E32:AX32" si="7" xml:space="preserve"> E19</f>
        <v>VAT cashflow: government</v>
      </c>
      <c r="F32" s="46">
        <f t="shared" si="7"/>
        <v>0</v>
      </c>
      <c r="G32" s="46" t="str">
        <f t="shared" si="7"/>
        <v>US$ mn 2021</v>
      </c>
      <c r="H32" s="46">
        <f t="shared" si="7"/>
        <v>0</v>
      </c>
      <c r="I32" s="46">
        <f t="shared" ca="1" si="7"/>
        <v>0</v>
      </c>
      <c r="J32" s="46">
        <f t="shared" si="7"/>
        <v>0</v>
      </c>
      <c r="K32" s="46">
        <f t="shared" ca="1" si="7"/>
        <v>0</v>
      </c>
      <c r="L32" s="46">
        <f t="shared" ca="1" si="7"/>
        <v>0</v>
      </c>
      <c r="M32" s="46">
        <f t="shared" ca="1" si="7"/>
        <v>0</v>
      </c>
      <c r="N32" s="46">
        <f t="shared" ca="1" si="7"/>
        <v>0</v>
      </c>
      <c r="O32" s="46">
        <f t="shared" ca="1" si="7"/>
        <v>0</v>
      </c>
      <c r="P32" s="46">
        <f t="shared" ca="1" si="7"/>
        <v>0</v>
      </c>
      <c r="Q32" s="46">
        <f t="shared" ca="1" si="7"/>
        <v>0</v>
      </c>
      <c r="R32" s="46">
        <f t="shared" ca="1" si="7"/>
        <v>0</v>
      </c>
      <c r="S32" s="46">
        <f t="shared" ca="1" si="7"/>
        <v>0</v>
      </c>
      <c r="T32" s="46">
        <f t="shared" ca="1" si="7"/>
        <v>0</v>
      </c>
      <c r="U32" s="46">
        <f t="shared" ca="1" si="7"/>
        <v>0</v>
      </c>
      <c r="V32" s="46">
        <f t="shared" ca="1" si="7"/>
        <v>0</v>
      </c>
      <c r="W32" s="46">
        <f t="shared" ca="1" si="7"/>
        <v>0</v>
      </c>
      <c r="X32" s="46">
        <f t="shared" ca="1" si="7"/>
        <v>0</v>
      </c>
      <c r="Y32" s="46">
        <f t="shared" ca="1" si="7"/>
        <v>0</v>
      </c>
      <c r="Z32" s="46">
        <f t="shared" ca="1" si="7"/>
        <v>0</v>
      </c>
      <c r="AA32" s="46">
        <f t="shared" ca="1" si="7"/>
        <v>0</v>
      </c>
      <c r="AB32" s="46">
        <f t="shared" ca="1" si="7"/>
        <v>0</v>
      </c>
      <c r="AC32" s="46">
        <f t="shared" ca="1" si="7"/>
        <v>0</v>
      </c>
      <c r="AD32" s="46">
        <f t="shared" ca="1" si="7"/>
        <v>0</v>
      </c>
      <c r="AE32" s="46">
        <f t="shared" ca="1" si="7"/>
        <v>0</v>
      </c>
      <c r="AF32" s="46">
        <f t="shared" ca="1" si="7"/>
        <v>0</v>
      </c>
      <c r="AG32" s="46">
        <f t="shared" ca="1" si="7"/>
        <v>0</v>
      </c>
      <c r="AH32" s="46">
        <f t="shared" ca="1" si="7"/>
        <v>0</v>
      </c>
      <c r="AI32" s="46">
        <f t="shared" ca="1" si="7"/>
        <v>0</v>
      </c>
      <c r="AJ32" s="46">
        <f t="shared" ca="1" si="7"/>
        <v>0</v>
      </c>
      <c r="AK32" s="46">
        <f t="shared" ca="1" si="7"/>
        <v>0</v>
      </c>
      <c r="AL32" s="46">
        <f t="shared" ca="1" si="7"/>
        <v>0</v>
      </c>
      <c r="AM32" s="46">
        <f t="shared" ca="1" si="7"/>
        <v>0</v>
      </c>
      <c r="AN32" s="46">
        <f t="shared" ca="1" si="7"/>
        <v>0</v>
      </c>
      <c r="AO32" s="46">
        <f t="shared" ca="1" si="7"/>
        <v>0</v>
      </c>
      <c r="AP32" s="46">
        <f t="shared" ca="1" si="7"/>
        <v>0</v>
      </c>
      <c r="AQ32" s="46">
        <f t="shared" ca="1" si="7"/>
        <v>0</v>
      </c>
      <c r="AR32" s="46">
        <f t="shared" ca="1" si="7"/>
        <v>0</v>
      </c>
      <c r="AS32" s="46">
        <f t="shared" ca="1" si="7"/>
        <v>0</v>
      </c>
      <c r="AT32" s="46">
        <f t="shared" ca="1" si="7"/>
        <v>0</v>
      </c>
      <c r="AU32" s="46">
        <f t="shared" ca="1" si="7"/>
        <v>0</v>
      </c>
      <c r="AV32" s="46">
        <f t="shared" ca="1" si="7"/>
        <v>0</v>
      </c>
      <c r="AW32" s="46">
        <f t="shared" ca="1" si="7"/>
        <v>0</v>
      </c>
      <c r="AX32" s="46">
        <f t="shared" ca="1" si="7"/>
        <v>0</v>
      </c>
    </row>
    <row r="33" spans="1:50" ht="15" customHeight="1">
      <c r="A33" s="46"/>
      <c r="B33" s="116"/>
      <c r="C33" s="89"/>
      <c r="D33" s="89"/>
      <c r="E33" s="46" t="str">
        <f t="shared" ref="E33:AX33" si="8" xml:space="preserve"> E21</f>
        <v>State participation cashflows including share of loan</v>
      </c>
      <c r="F33" s="46">
        <f t="shared" si="8"/>
        <v>0</v>
      </c>
      <c r="G33" s="46" t="str">
        <f t="shared" si="8"/>
        <v>US$ mn 2021</v>
      </c>
      <c r="H33" s="46">
        <f t="shared" si="8"/>
        <v>0</v>
      </c>
      <c r="I33" s="46">
        <f t="shared" ca="1" si="8"/>
        <v>0</v>
      </c>
      <c r="J33" s="46">
        <f t="shared" si="8"/>
        <v>0</v>
      </c>
      <c r="K33" s="46">
        <f t="shared" ca="1" si="8"/>
        <v>0</v>
      </c>
      <c r="L33" s="46">
        <f t="shared" ca="1" si="8"/>
        <v>0</v>
      </c>
      <c r="M33" s="46">
        <f t="shared" ca="1" si="8"/>
        <v>0</v>
      </c>
      <c r="N33" s="46">
        <f t="shared" ca="1" si="8"/>
        <v>0</v>
      </c>
      <c r="O33" s="46">
        <f t="shared" ca="1" si="8"/>
        <v>0</v>
      </c>
      <c r="P33" s="46">
        <f t="shared" ca="1" si="8"/>
        <v>0</v>
      </c>
      <c r="Q33" s="46">
        <f t="shared" ca="1" si="8"/>
        <v>0</v>
      </c>
      <c r="R33" s="46">
        <f t="shared" ca="1" si="8"/>
        <v>0</v>
      </c>
      <c r="S33" s="46">
        <f t="shared" ca="1" si="8"/>
        <v>0</v>
      </c>
      <c r="T33" s="46">
        <f t="shared" ca="1" si="8"/>
        <v>0</v>
      </c>
      <c r="U33" s="46">
        <f t="shared" ca="1" si="8"/>
        <v>0</v>
      </c>
      <c r="V33" s="46">
        <f t="shared" ca="1" si="8"/>
        <v>0</v>
      </c>
      <c r="W33" s="46">
        <f t="shared" ca="1" si="8"/>
        <v>0</v>
      </c>
      <c r="X33" s="46">
        <f t="shared" ca="1" si="8"/>
        <v>0</v>
      </c>
      <c r="Y33" s="46">
        <f t="shared" ca="1" si="8"/>
        <v>0</v>
      </c>
      <c r="Z33" s="46">
        <f t="shared" ca="1" si="8"/>
        <v>0</v>
      </c>
      <c r="AA33" s="46">
        <f t="shared" ca="1" si="8"/>
        <v>0</v>
      </c>
      <c r="AB33" s="46">
        <f t="shared" ca="1" si="8"/>
        <v>0</v>
      </c>
      <c r="AC33" s="46">
        <f t="shared" ca="1" si="8"/>
        <v>0</v>
      </c>
      <c r="AD33" s="46">
        <f t="shared" ca="1" si="8"/>
        <v>0</v>
      </c>
      <c r="AE33" s="46">
        <f t="shared" ca="1" si="8"/>
        <v>0</v>
      </c>
      <c r="AF33" s="46">
        <f t="shared" ca="1" si="8"/>
        <v>0</v>
      </c>
      <c r="AG33" s="46">
        <f t="shared" ca="1" si="8"/>
        <v>0</v>
      </c>
      <c r="AH33" s="46">
        <f t="shared" ca="1" si="8"/>
        <v>0</v>
      </c>
      <c r="AI33" s="46">
        <f t="shared" ca="1" si="8"/>
        <v>0</v>
      </c>
      <c r="AJ33" s="46">
        <f t="shared" ca="1" si="8"/>
        <v>0</v>
      </c>
      <c r="AK33" s="46">
        <f t="shared" ca="1" si="8"/>
        <v>0</v>
      </c>
      <c r="AL33" s="46">
        <f t="shared" ca="1" si="8"/>
        <v>0</v>
      </c>
      <c r="AM33" s="46">
        <f t="shared" ca="1" si="8"/>
        <v>0</v>
      </c>
      <c r="AN33" s="46">
        <f t="shared" ca="1" si="8"/>
        <v>0</v>
      </c>
      <c r="AO33" s="46">
        <f t="shared" ca="1" si="8"/>
        <v>0</v>
      </c>
      <c r="AP33" s="46">
        <f t="shared" ca="1" si="8"/>
        <v>0</v>
      </c>
      <c r="AQ33" s="46">
        <f t="shared" ca="1" si="8"/>
        <v>0</v>
      </c>
      <c r="AR33" s="46">
        <f t="shared" ca="1" si="8"/>
        <v>0</v>
      </c>
      <c r="AS33" s="46">
        <f t="shared" ca="1" si="8"/>
        <v>0</v>
      </c>
      <c r="AT33" s="46">
        <f t="shared" ca="1" si="8"/>
        <v>0</v>
      </c>
      <c r="AU33" s="46">
        <f t="shared" ca="1" si="8"/>
        <v>0</v>
      </c>
      <c r="AV33" s="46">
        <f t="shared" ca="1" si="8"/>
        <v>0</v>
      </c>
      <c r="AW33" s="46">
        <f t="shared" ca="1" si="8"/>
        <v>0</v>
      </c>
      <c r="AX33" s="46">
        <f t="shared" ca="1" si="8"/>
        <v>0</v>
      </c>
    </row>
    <row r="34" spans="1:50" ht="15" customHeight="1">
      <c r="A34" s="46"/>
      <c r="B34" s="116"/>
      <c r="C34" s="89"/>
      <c r="D34" s="89"/>
      <c r="E34" s="46"/>
      <c r="F34" s="46"/>
      <c r="G34" s="43"/>
      <c r="H34" s="43"/>
      <c r="I34" s="43"/>
      <c r="J34" s="43"/>
      <c r="K34" s="46"/>
      <c r="L34" s="46"/>
      <c r="M34" s="46"/>
      <c r="N34" s="46"/>
      <c r="O34" s="46"/>
      <c r="P34" s="46"/>
      <c r="Q34" s="46"/>
      <c r="R34" s="46"/>
      <c r="S34" s="46"/>
      <c r="T34" s="46"/>
      <c r="U34" s="46"/>
      <c r="V34" s="46"/>
      <c r="W34" s="46"/>
      <c r="X34" s="46"/>
      <c r="Y34" s="46"/>
      <c r="Z34" s="46"/>
      <c r="AA34" s="46"/>
      <c r="AB34" s="46"/>
      <c r="AC34" s="46"/>
      <c r="AD34" s="46"/>
      <c r="AE34" s="46"/>
      <c r="AF34" s="46"/>
      <c r="AG34" s="46"/>
      <c r="AH34" s="46"/>
      <c r="AI34" s="46"/>
      <c r="AJ34" s="46"/>
      <c r="AK34" s="46"/>
      <c r="AL34" s="46"/>
      <c r="AM34" s="46"/>
      <c r="AN34" s="46"/>
      <c r="AO34" s="46"/>
      <c r="AP34" s="46"/>
      <c r="AQ34" s="46"/>
      <c r="AR34" s="46"/>
      <c r="AS34" s="46"/>
      <c r="AT34" s="46"/>
      <c r="AU34" s="46"/>
      <c r="AV34" s="46"/>
      <c r="AW34" s="46"/>
      <c r="AX34" s="46"/>
    </row>
    <row r="35" spans="1:50" ht="15" customHeight="1">
      <c r="A35" s="46"/>
      <c r="B35" s="116"/>
      <c r="C35" s="89"/>
      <c r="D35" s="89"/>
      <c r="E35" s="46"/>
      <c r="F35" s="46"/>
      <c r="G35" s="43"/>
      <c r="H35" s="43"/>
      <c r="I35" s="43"/>
      <c r="J35" s="43"/>
      <c r="K35" s="46"/>
      <c r="L35" s="46"/>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row>
    <row r="36" spans="1:50" ht="15" customHeight="1">
      <c r="A36" s="46"/>
      <c r="B36" s="116"/>
      <c r="C36" s="89"/>
      <c r="D36" s="89"/>
      <c r="E36" s="46"/>
      <c r="F36" s="46"/>
      <c r="G36" s="43"/>
      <c r="H36" s="43"/>
      <c r="I36" s="43"/>
      <c r="J36" s="43"/>
      <c r="K36" s="46"/>
      <c r="L36" s="46"/>
      <c r="M36" s="46"/>
      <c r="N36" s="46"/>
      <c r="O36" s="46"/>
      <c r="P36" s="46"/>
      <c r="Q36" s="46"/>
      <c r="R36" s="46"/>
      <c r="S36" s="46"/>
      <c r="T36" s="46"/>
      <c r="U36" s="46"/>
      <c r="V36" s="46"/>
      <c r="W36" s="46"/>
      <c r="X36" s="46"/>
      <c r="Y36" s="46"/>
      <c r="Z36" s="46"/>
      <c r="AA36" s="46"/>
      <c r="AB36" s="46"/>
      <c r="AC36" s="46"/>
      <c r="AD36" s="46"/>
      <c r="AE36" s="46"/>
      <c r="AF36" s="46"/>
      <c r="AG36" s="46"/>
      <c r="AH36" s="46"/>
      <c r="AI36" s="46"/>
      <c r="AJ36" s="46"/>
      <c r="AK36" s="46"/>
      <c r="AL36" s="46"/>
      <c r="AM36" s="46"/>
      <c r="AN36" s="46"/>
      <c r="AO36" s="46"/>
      <c r="AP36" s="46"/>
      <c r="AQ36" s="46"/>
      <c r="AR36" s="46"/>
      <c r="AS36" s="46"/>
      <c r="AT36" s="46"/>
      <c r="AU36" s="46"/>
      <c r="AV36" s="46"/>
      <c r="AW36" s="46"/>
      <c r="AX36" s="46"/>
    </row>
    <row r="37" spans="1:50" ht="15" customHeight="1">
      <c r="A37" s="46"/>
      <c r="B37" s="116"/>
      <c r="C37" s="89"/>
      <c r="D37" s="89"/>
      <c r="E37" s="46"/>
      <c r="F37" s="46"/>
      <c r="G37" s="43"/>
      <c r="H37" s="43"/>
      <c r="I37" s="43"/>
      <c r="J37" s="43"/>
      <c r="K37" s="46"/>
      <c r="L37" s="46"/>
      <c r="M37" s="46"/>
      <c r="N37" s="46"/>
      <c r="O37" s="46"/>
      <c r="P37" s="46"/>
      <c r="Q37" s="46"/>
      <c r="R37" s="46"/>
      <c r="S37" s="46"/>
      <c r="T37" s="46"/>
      <c r="U37" s="46"/>
      <c r="V37" s="46"/>
      <c r="W37" s="46"/>
      <c r="X37" s="46"/>
      <c r="Y37" s="46"/>
      <c r="Z37" s="46"/>
      <c r="AA37" s="46"/>
      <c r="AB37" s="46"/>
      <c r="AC37" s="46"/>
      <c r="AD37" s="46"/>
      <c r="AE37" s="46"/>
      <c r="AF37" s="46"/>
      <c r="AG37" s="46"/>
      <c r="AH37" s="46"/>
      <c r="AI37" s="46"/>
      <c r="AJ37" s="46"/>
      <c r="AK37" s="46"/>
      <c r="AL37" s="46"/>
      <c r="AM37" s="46"/>
      <c r="AN37" s="46"/>
      <c r="AO37" s="46"/>
      <c r="AP37" s="46"/>
      <c r="AQ37" s="46"/>
      <c r="AR37" s="46"/>
      <c r="AS37" s="46"/>
      <c r="AT37" s="46"/>
      <c r="AU37" s="46"/>
      <c r="AV37" s="46"/>
      <c r="AW37" s="46"/>
      <c r="AX37" s="46"/>
    </row>
    <row r="38" spans="1:50" ht="15" customHeight="1">
      <c r="A38" s="46"/>
      <c r="B38" s="116"/>
      <c r="C38" s="89"/>
      <c r="D38" s="89"/>
      <c r="E38" s="46"/>
      <c r="F38" s="46"/>
      <c r="G38" s="43"/>
      <c r="H38" s="43"/>
      <c r="I38" s="43"/>
      <c r="J38" s="43"/>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row>
    <row r="39" spans="1:50" ht="15" customHeight="1">
      <c r="A39" s="46"/>
      <c r="B39" s="116"/>
      <c r="C39" s="89"/>
      <c r="D39" s="89"/>
      <c r="E39" s="46"/>
      <c r="F39" s="46"/>
      <c r="G39" s="43"/>
      <c r="H39" s="43"/>
      <c r="I39" s="43"/>
      <c r="J39" s="43"/>
      <c r="K39" s="46"/>
      <c r="L39" s="46"/>
      <c r="M39" s="46"/>
      <c r="N39" s="46"/>
      <c r="O39" s="46"/>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c r="AW39" s="46"/>
      <c r="AX39" s="46"/>
    </row>
    <row r="40" spans="1:50" ht="15" customHeight="1">
      <c r="A40" s="46"/>
      <c r="B40" s="116"/>
      <c r="C40" s="89"/>
      <c r="D40" s="89"/>
      <c r="E40" s="46"/>
      <c r="F40" s="46"/>
      <c r="G40" s="43"/>
      <c r="H40" s="43"/>
      <c r="I40" s="43"/>
      <c r="J40" s="43"/>
      <c r="K40" s="46"/>
      <c r="L40" s="46"/>
      <c r="M40" s="46"/>
      <c r="N40" s="46"/>
      <c r="O40" s="46"/>
      <c r="P40" s="46"/>
      <c r="Q40" s="46"/>
      <c r="R40" s="46"/>
      <c r="S40" s="46"/>
      <c r="T40" s="46"/>
      <c r="U40" s="46"/>
      <c r="V40" s="46"/>
      <c r="W40" s="46"/>
      <c r="X40" s="46"/>
      <c r="Y40" s="46"/>
      <c r="Z40" s="46"/>
      <c r="AA40" s="46"/>
      <c r="AB40" s="46"/>
      <c r="AC40" s="46"/>
      <c r="AD40" s="46"/>
      <c r="AE40" s="46"/>
      <c r="AF40" s="46"/>
      <c r="AG40" s="46"/>
      <c r="AH40" s="46"/>
      <c r="AI40" s="46"/>
      <c r="AJ40" s="46"/>
      <c r="AK40" s="46"/>
      <c r="AL40" s="46"/>
      <c r="AM40" s="46"/>
      <c r="AN40" s="46"/>
      <c r="AO40" s="46"/>
      <c r="AP40" s="46"/>
      <c r="AQ40" s="46"/>
      <c r="AR40" s="46"/>
      <c r="AS40" s="46"/>
      <c r="AT40" s="46"/>
      <c r="AU40" s="46"/>
      <c r="AV40" s="46"/>
      <c r="AW40" s="46"/>
      <c r="AX40" s="46"/>
    </row>
    <row r="41" spans="1:50" ht="15" customHeight="1">
      <c r="A41" s="46"/>
      <c r="B41" s="116"/>
      <c r="C41" s="89"/>
      <c r="D41" s="89"/>
      <c r="E41" s="46"/>
      <c r="F41" s="46"/>
      <c r="G41" s="43"/>
      <c r="H41" s="43"/>
      <c r="I41" s="43"/>
      <c r="J41" s="43"/>
      <c r="K41" s="46"/>
      <c r="L41" s="46"/>
      <c r="M41" s="46"/>
      <c r="N41" s="46"/>
      <c r="O41" s="46"/>
      <c r="P41" s="46"/>
      <c r="Q41" s="46"/>
      <c r="R41" s="46"/>
      <c r="S41" s="46"/>
      <c r="T41" s="46"/>
      <c r="U41" s="46"/>
      <c r="V41" s="46"/>
      <c r="W41" s="46"/>
      <c r="X41" s="46"/>
      <c r="Y41" s="46"/>
      <c r="Z41" s="46"/>
      <c r="AA41" s="46"/>
      <c r="AB41" s="46"/>
      <c r="AC41" s="46"/>
      <c r="AD41" s="46"/>
      <c r="AE41" s="46"/>
      <c r="AF41" s="46"/>
      <c r="AG41" s="46"/>
      <c r="AH41" s="46"/>
      <c r="AI41" s="46"/>
      <c r="AJ41" s="46"/>
      <c r="AK41" s="46"/>
      <c r="AL41" s="46"/>
      <c r="AM41" s="46"/>
      <c r="AN41" s="46"/>
      <c r="AO41" s="46"/>
      <c r="AP41" s="46"/>
      <c r="AQ41" s="46"/>
      <c r="AR41" s="46"/>
      <c r="AS41" s="46"/>
      <c r="AT41" s="46"/>
      <c r="AU41" s="46"/>
      <c r="AV41" s="46"/>
      <c r="AW41" s="46"/>
      <c r="AX41" s="46"/>
    </row>
    <row r="42" spans="1:50" ht="15" customHeight="1">
      <c r="A42" s="46"/>
      <c r="B42" s="116"/>
      <c r="C42" s="89"/>
      <c r="D42" s="89"/>
      <c r="E42" s="46"/>
      <c r="F42" s="46"/>
      <c r="G42" s="43"/>
      <c r="H42" s="43"/>
      <c r="I42" s="43"/>
      <c r="J42" s="43"/>
      <c r="K42" s="46"/>
      <c r="L42" s="46"/>
      <c r="M42" s="46"/>
      <c r="N42" s="46"/>
      <c r="O42" s="46"/>
      <c r="P42" s="46"/>
      <c r="Q42" s="46"/>
      <c r="R42" s="46"/>
      <c r="S42" s="46"/>
      <c r="T42" s="46"/>
      <c r="U42" s="46"/>
      <c r="V42" s="46"/>
      <c r="W42" s="46"/>
      <c r="X42" s="46"/>
      <c r="Y42" s="46"/>
      <c r="Z42" s="46"/>
      <c r="AA42" s="46"/>
      <c r="AB42" s="46"/>
      <c r="AC42" s="46"/>
      <c r="AD42" s="46"/>
      <c r="AE42" s="46"/>
      <c r="AF42" s="46"/>
      <c r="AG42" s="46"/>
      <c r="AH42" s="46"/>
      <c r="AI42" s="46"/>
      <c r="AJ42" s="46"/>
      <c r="AK42" s="46"/>
      <c r="AL42" s="46"/>
      <c r="AM42" s="46"/>
      <c r="AN42" s="46"/>
      <c r="AO42" s="46"/>
      <c r="AP42" s="46"/>
      <c r="AQ42" s="46"/>
      <c r="AR42" s="46"/>
      <c r="AS42" s="46"/>
      <c r="AT42" s="46"/>
      <c r="AU42" s="46"/>
      <c r="AV42" s="46"/>
      <c r="AW42" s="46"/>
      <c r="AX42" s="46"/>
    </row>
    <row r="43" spans="1:50" ht="15" customHeight="1">
      <c r="A43" s="46"/>
      <c r="B43" s="116"/>
      <c r="C43" s="89"/>
      <c r="D43" s="89"/>
      <c r="E43" s="46"/>
      <c r="F43" s="46"/>
      <c r="G43" s="43"/>
      <c r="H43" s="43"/>
      <c r="I43" s="43"/>
      <c r="J43" s="43"/>
      <c r="K43" s="46"/>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c r="AW43" s="46"/>
      <c r="AX43" s="46"/>
    </row>
    <row r="44" spans="1:50" ht="15" customHeight="1">
      <c r="A44" s="46"/>
      <c r="B44" s="116"/>
      <c r="C44" s="89"/>
      <c r="D44" s="89"/>
      <c r="E44" s="46"/>
      <c r="F44" s="46"/>
      <c r="G44" s="43"/>
      <c r="H44" s="43"/>
      <c r="I44" s="43"/>
      <c r="J44" s="43"/>
      <c r="K44" s="46"/>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row>
    <row r="45" spans="1:50" ht="15" customHeight="1">
      <c r="A45" s="46"/>
      <c r="B45" s="116"/>
      <c r="C45" s="89"/>
      <c r="D45" s="89"/>
      <c r="E45" s="46"/>
      <c r="F45" s="46"/>
      <c r="G45" s="43"/>
      <c r="H45" s="43"/>
      <c r="I45" s="43"/>
      <c r="J45" s="43"/>
      <c r="K45" s="46"/>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row>
    <row r="46" spans="1:50" ht="15" customHeight="1">
      <c r="A46" s="46"/>
      <c r="B46" s="116"/>
      <c r="C46" s="89"/>
      <c r="D46" s="89"/>
      <c r="E46" s="46"/>
      <c r="F46" s="46"/>
      <c r="G46" s="43"/>
      <c r="H46" s="43"/>
      <c r="I46" s="43"/>
      <c r="J46" s="43"/>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row>
    <row r="47" spans="1:50" ht="15" customHeight="1">
      <c r="A47" s="46"/>
      <c r="B47" s="116"/>
      <c r="C47" s="89"/>
      <c r="D47" s="89"/>
      <c r="E47" s="46"/>
      <c r="F47" s="46"/>
      <c r="G47" s="43"/>
      <c r="H47" s="43"/>
      <c r="I47" s="43"/>
      <c r="J47" s="43"/>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row>
    <row r="48" spans="1:50" ht="15" customHeight="1">
      <c r="A48" s="46"/>
      <c r="B48" s="116"/>
      <c r="C48" s="89"/>
      <c r="D48" s="89"/>
      <c r="E48" s="46"/>
      <c r="F48" s="46"/>
      <c r="G48" s="43"/>
      <c r="H48" s="43"/>
      <c r="I48" s="43"/>
      <c r="J48" s="43"/>
      <c r="K48" s="46"/>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row>
    <row r="49" spans="1:50" ht="15" customHeight="1">
      <c r="A49" s="46"/>
      <c r="B49" s="116"/>
      <c r="C49" s="89"/>
      <c r="D49" s="89"/>
      <c r="E49" s="46"/>
      <c r="F49" s="46"/>
      <c r="G49" s="43"/>
      <c r="H49" s="43"/>
      <c r="I49" s="43"/>
      <c r="J49" s="43"/>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row>
    <row r="50" spans="1:50" ht="15" customHeight="1">
      <c r="A50" s="46"/>
      <c r="B50" s="116"/>
      <c r="C50" s="89"/>
      <c r="D50" s="89"/>
      <c r="E50" s="46"/>
      <c r="F50" s="46"/>
      <c r="G50" s="43"/>
      <c r="H50" s="43"/>
      <c r="I50" s="43"/>
      <c r="J50" s="43"/>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row>
    <row r="51" spans="1:50" ht="15" customHeight="1">
      <c r="A51" s="46"/>
      <c r="B51" s="116"/>
      <c r="C51" s="89"/>
      <c r="D51" s="89"/>
      <c r="E51" s="46"/>
      <c r="F51" s="46"/>
      <c r="G51" s="43"/>
      <c r="H51" s="43"/>
      <c r="I51" s="43"/>
      <c r="J51" s="43"/>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row>
    <row r="52" spans="1:50" ht="15" customHeight="1">
      <c r="A52" s="46"/>
      <c r="B52" s="116"/>
      <c r="C52" s="89"/>
      <c r="D52" s="89"/>
      <c r="E52" s="46"/>
      <c r="F52" s="46"/>
      <c r="G52" s="43"/>
      <c r="H52" s="43"/>
      <c r="I52" s="43"/>
      <c r="J52" s="43"/>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row>
    <row r="53" spans="1:50" ht="15" customHeight="1">
      <c r="A53" s="46"/>
      <c r="B53" s="116"/>
      <c r="C53" s="89"/>
      <c r="D53" s="89"/>
      <c r="E53" s="46"/>
      <c r="F53" s="46"/>
      <c r="G53" s="43"/>
      <c r="H53" s="43"/>
      <c r="I53" s="43"/>
      <c r="J53" s="43"/>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row>
    <row r="54" spans="1:50" ht="15" customHeight="1">
      <c r="A54" s="46"/>
      <c r="B54" s="116"/>
      <c r="C54" s="89"/>
      <c r="D54" s="89"/>
      <c r="E54" s="46"/>
      <c r="F54" s="46"/>
      <c r="G54" s="43"/>
      <c r="H54" s="43"/>
      <c r="I54" s="43"/>
      <c r="J54" s="43"/>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row>
    <row r="55" spans="1:50" ht="15" customHeight="1">
      <c r="A55" s="46"/>
      <c r="B55" s="116"/>
      <c r="C55" s="89"/>
      <c r="D55" s="89"/>
      <c r="E55" s="46"/>
      <c r="F55" s="46"/>
      <c r="G55" s="43"/>
      <c r="H55" s="43"/>
      <c r="I55" s="43"/>
      <c r="J55" s="43"/>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row>
    <row r="56" spans="1:50" ht="15" customHeight="1">
      <c r="A56" s="46"/>
      <c r="B56" s="116"/>
      <c r="C56" s="89"/>
      <c r="D56" s="89"/>
      <c r="E56" s="46"/>
      <c r="F56" s="46"/>
      <c r="G56" s="43"/>
      <c r="H56" s="43"/>
      <c r="I56" s="43"/>
      <c r="J56" s="43"/>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row>
    <row r="57" spans="1:50" ht="15" customHeight="1">
      <c r="A57" s="46"/>
      <c r="B57" s="116"/>
      <c r="C57" s="89"/>
      <c r="D57" s="89"/>
      <c r="E57" s="46"/>
      <c r="F57" s="46"/>
      <c r="G57" s="43"/>
      <c r="H57" s="43"/>
      <c r="I57" s="43"/>
      <c r="J57" s="43"/>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row>
    <row r="58" spans="1:50" ht="15" customHeight="1">
      <c r="A58" s="46"/>
      <c r="B58" s="116"/>
      <c r="C58" s="89"/>
      <c r="D58" s="89"/>
      <c r="E58" s="46"/>
      <c r="F58" s="46"/>
      <c r="G58" s="43"/>
      <c r="H58" s="43"/>
      <c r="I58" s="43"/>
      <c r="J58" s="43"/>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row>
    <row r="59" spans="1:50" ht="15" customHeight="1">
      <c r="A59" s="46"/>
      <c r="B59" s="116"/>
      <c r="C59" s="89"/>
      <c r="D59" s="89"/>
      <c r="E59" s="46"/>
      <c r="F59" s="46"/>
      <c r="G59" s="43" t="str">
        <f xml:space="preserve"> "% " &amp; Translate!E$19</f>
        <v>% Total</v>
      </c>
      <c r="H59" s="43"/>
      <c r="I59" s="43"/>
      <c r="J59" s="43"/>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row>
    <row r="60" spans="1:50" ht="15" customHeight="1">
      <c r="A60" s="41"/>
      <c r="B60" s="112"/>
      <c r="C60" s="41"/>
      <c r="D60" s="41"/>
      <c r="E60" s="46" t="str">
        <f t="shared" ref="E60:E66" si="9" xml:space="preserve"> E12</f>
        <v>Signature bonus</v>
      </c>
      <c r="F60" s="46">
        <f t="shared" ref="F60:F66" ca="1" si="10" xml:space="preserve"> SUM( K12:AX12)</f>
        <v>0</v>
      </c>
      <c r="G60" s="55">
        <f t="shared" ref="G60:G66" ca="1" si="11" xml:space="preserve"> F60 / $F$69</f>
        <v>0</v>
      </c>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row>
    <row r="61" spans="1:50" ht="15" customHeight="1">
      <c r="A61" s="46"/>
      <c r="B61" s="116"/>
      <c r="C61" s="89"/>
      <c r="D61" s="89"/>
      <c r="E61" s="46" t="str">
        <f t="shared" si="9"/>
        <v>Royalty</v>
      </c>
      <c r="F61" s="46">
        <f t="shared" ca="1" si="10"/>
        <v>147.5</v>
      </c>
      <c r="G61" s="196">
        <f t="shared" ca="1" si="11"/>
        <v>0.24109481382811024</v>
      </c>
      <c r="H61" s="43"/>
      <c r="I61" s="43"/>
      <c r="J61" s="43"/>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row>
    <row r="62" spans="1:50" ht="15" customHeight="1">
      <c r="A62" s="46"/>
      <c r="B62" s="116"/>
      <c r="C62" s="89"/>
      <c r="D62" s="89"/>
      <c r="E62" s="46" t="str">
        <f t="shared" si="9"/>
        <v>Carbon tax</v>
      </c>
      <c r="F62" s="46">
        <f t="shared" ca="1" si="10"/>
        <v>0</v>
      </c>
      <c r="G62" s="196">
        <f t="shared" ca="1" si="11"/>
        <v>0</v>
      </c>
      <c r="H62" s="43"/>
      <c r="I62" s="43"/>
      <c r="J62" s="43"/>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row>
    <row r="63" spans="1:50" ht="15" customHeight="1">
      <c r="A63" s="41"/>
      <c r="B63" s="112"/>
      <c r="C63" s="41"/>
      <c r="D63" s="41"/>
      <c r="E63" s="46" t="str">
        <f t="shared" si="9"/>
        <v>CIT: Mining company</v>
      </c>
      <c r="F63" s="46">
        <f t="shared" ca="1" si="10"/>
        <v>362.41177277536571</v>
      </c>
      <c r="G63" s="55">
        <f t="shared" ca="1" si="11"/>
        <v>0.59237694160265886</v>
      </c>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row>
    <row r="64" spans="1:50" ht="15" customHeight="1">
      <c r="A64" s="41"/>
      <c r="B64" s="112"/>
      <c r="C64" s="41"/>
      <c r="D64" s="41"/>
      <c r="E64" s="46" t="str">
        <f t="shared" si="9"/>
        <v>RRT: Mining company</v>
      </c>
      <c r="F64" s="46">
        <f t="shared" ca="1" si="10"/>
        <v>0</v>
      </c>
      <c r="G64" s="55">
        <f t="shared" ca="1" si="11"/>
        <v>0</v>
      </c>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row>
    <row r="65" spans="1:50" ht="15" customHeight="1">
      <c r="A65" s="41"/>
      <c r="B65" s="112"/>
      <c r="C65" s="41"/>
      <c r="D65" s="41"/>
      <c r="E65" s="46" t="str">
        <f t="shared" si="9"/>
        <v>Dividend withholding tax</v>
      </c>
      <c r="F65" s="46">
        <f t="shared" ca="1" si="10"/>
        <v>95.722174595619009</v>
      </c>
      <c r="G65" s="55">
        <f t="shared" ca="1" si="11"/>
        <v>0.15646182958205171</v>
      </c>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row>
    <row r="66" spans="1:50" ht="15" customHeight="1">
      <c r="A66" s="41"/>
      <c r="B66" s="112"/>
      <c r="C66" s="41"/>
      <c r="D66" s="41"/>
      <c r="E66" s="46" t="str">
        <f t="shared" si="9"/>
        <v>Interest withholding tax</v>
      </c>
      <c r="F66" s="46">
        <f t="shared" ca="1" si="10"/>
        <v>6.158557237434052</v>
      </c>
      <c r="G66" s="55">
        <f t="shared" ca="1" si="11"/>
        <v>1.0066414987179143E-2</v>
      </c>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row>
    <row r="67" spans="1:50" ht="15" customHeight="1">
      <c r="A67" s="41"/>
      <c r="B67" s="112"/>
      <c r="C67" s="41"/>
      <c r="D67" s="41"/>
      <c r="E67" s="46" t="str">
        <f xml:space="preserve"> E19</f>
        <v>VAT cashflow: government</v>
      </c>
      <c r="F67" s="46">
        <f ca="1" xml:space="preserve"> SUM( K19:AX19)</f>
        <v>0</v>
      </c>
      <c r="G67" s="55">
        <f ca="1" xml:space="preserve"> F67 / $F$69</f>
        <v>0</v>
      </c>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row>
    <row r="68" spans="1:50" ht="15" customHeight="1">
      <c r="A68" s="41"/>
      <c r="B68" s="112"/>
      <c r="C68" s="41"/>
      <c r="D68" s="41"/>
      <c r="E68" s="46" t="str">
        <f xml:space="preserve"> E21</f>
        <v>State participation cashflows including share of loan</v>
      </c>
      <c r="F68" s="46">
        <f ca="1" xml:space="preserve"> SUM( K21:AX21)</f>
        <v>0</v>
      </c>
      <c r="G68" s="55">
        <f ca="1" xml:space="preserve"> F68 / $F$69</f>
        <v>0</v>
      </c>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row>
    <row r="69" spans="1:50" ht="15" customHeight="1">
      <c r="A69" s="41"/>
      <c r="B69" s="112"/>
      <c r="C69" s="41"/>
      <c r="D69" s="41"/>
      <c r="E69" s="46" t="str">
        <f xml:space="preserve"> E22</f>
        <v>Government revenues including participation</v>
      </c>
      <c r="F69" s="46">
        <f ca="1" xml:space="preserve"> SUM( K22:AX22)</f>
        <v>611.79250460841877</v>
      </c>
      <c r="G69" s="55">
        <f ca="1" xml:space="preserve"> F69 / $F$69</f>
        <v>1</v>
      </c>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row>
    <row r="70" spans="1:50">
      <c r="A70" s="41"/>
      <c r="B70" s="112"/>
      <c r="C70" s="41"/>
      <c r="D70" s="41"/>
      <c r="E70" s="46"/>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row>
    <row r="71" spans="1:50" ht="15" customHeight="1">
      <c r="A71" s="86" t="str">
        <f>Translate!E310</f>
        <v>Project revenues and costs</v>
      </c>
      <c r="B71" s="86"/>
      <c r="C71" s="86"/>
      <c r="D71" s="86"/>
      <c r="E71" s="88"/>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c r="AE71" s="86"/>
      <c r="AF71" s="86"/>
      <c r="AG71" s="86"/>
      <c r="AH71" s="86"/>
      <c r="AI71" s="86"/>
      <c r="AJ71" s="86"/>
      <c r="AK71" s="86"/>
      <c r="AL71" s="86"/>
      <c r="AM71" s="86"/>
      <c r="AN71" s="86"/>
      <c r="AO71" s="86"/>
      <c r="AP71" s="86"/>
      <c r="AQ71" s="86"/>
      <c r="AR71" s="86"/>
      <c r="AS71" s="86"/>
      <c r="AT71" s="86"/>
      <c r="AU71" s="86"/>
      <c r="AV71" s="86"/>
      <c r="AW71" s="86"/>
      <c r="AX71" s="86"/>
    </row>
    <row r="72" spans="1:50" ht="15" customHeight="1">
      <c r="A72" s="76"/>
      <c r="B72" s="74"/>
      <c r="C72" s="76"/>
      <c r="D72" s="76"/>
      <c r="E72" s="76"/>
      <c r="F72" s="76"/>
      <c r="G72" s="76"/>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row>
    <row r="73" spans="1:50" ht="15" customHeight="1">
      <c r="A73" s="99"/>
      <c r="B73" s="100"/>
      <c r="C73" s="102"/>
      <c r="D73" s="102"/>
      <c r="E73" s="4" t="str">
        <f>Translate!$E$498</f>
        <v>Chart title</v>
      </c>
      <c r="F73" s="212" t="str">
        <f xml:space="preserve"> A71</f>
        <v>Project revenues and costs</v>
      </c>
      <c r="G73" s="103"/>
      <c r="H73" s="103"/>
      <c r="I73" s="103"/>
      <c r="J73" s="103"/>
      <c r="K73" s="110"/>
      <c r="L73" s="102"/>
      <c r="M73" s="111"/>
      <c r="N73" s="111"/>
      <c r="O73" s="111"/>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row>
    <row r="74" spans="1:50" ht="15" customHeight="1">
      <c r="A74" s="41"/>
      <c r="B74" s="112"/>
      <c r="C74" s="41"/>
      <c r="D74" s="41"/>
      <c r="E74" s="4" t="str">
        <f>Translate!$E$500</f>
        <v>Horizontal axis</v>
      </c>
      <c r="F74" s="54" t="str">
        <f xml:space="preserve"> G78</f>
        <v>Years</v>
      </c>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row>
    <row r="75" spans="1:50" ht="15" customHeight="1">
      <c r="A75" s="41"/>
      <c r="B75" s="112"/>
      <c r="C75" s="41"/>
      <c r="D75" s="41"/>
      <c r="E75" s="4" t="str">
        <f>Translate!$E$499 &amp; " 1"</f>
        <v>Vertical axis 1</v>
      </c>
      <c r="F75" s="54" t="str">
        <f xml:space="preserve"> G80</f>
        <v>US$ mn 2021</v>
      </c>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row>
    <row r="76" spans="1:50" ht="15" customHeight="1">
      <c r="A76" s="41"/>
      <c r="B76" s="112"/>
      <c r="C76" s="41"/>
      <c r="D76" s="41"/>
      <c r="E76" s="4" t="str">
        <f>Translate!$E$499 &amp; " 2"</f>
        <v>Vertical axis 2</v>
      </c>
      <c r="F76" s="54"/>
      <c r="G76" s="41"/>
      <c r="H76" s="41"/>
      <c r="I76" s="41"/>
      <c r="J76" s="41"/>
      <c r="K76" s="41"/>
      <c r="L76" s="41"/>
      <c r="M76" s="41"/>
      <c r="N76" s="41"/>
      <c r="O76" s="41"/>
      <c r="P76" s="41"/>
      <c r="Q76" s="41"/>
      <c r="R76" s="41"/>
      <c r="S76" s="41"/>
      <c r="T76" s="41"/>
      <c r="U76" s="41"/>
      <c r="V76" s="41"/>
      <c r="W76" s="41"/>
      <c r="X76" s="41"/>
      <c r="Y76" s="41"/>
      <c r="Z76" s="41"/>
      <c r="AA76" s="41"/>
      <c r="AB76" s="41"/>
      <c r="AC76" s="41"/>
      <c r="AD76" s="41"/>
      <c r="AE76" s="41"/>
      <c r="AF76" s="41"/>
      <c r="AG76" s="41"/>
      <c r="AH76" s="41"/>
      <c r="AI76" s="41"/>
      <c r="AJ76" s="41"/>
      <c r="AK76" s="41"/>
      <c r="AL76" s="41"/>
      <c r="AM76" s="41"/>
      <c r="AN76" s="41"/>
      <c r="AO76" s="41"/>
      <c r="AP76" s="41"/>
      <c r="AQ76" s="41"/>
      <c r="AR76" s="41"/>
      <c r="AS76" s="41"/>
      <c r="AT76" s="41"/>
      <c r="AU76" s="41"/>
      <c r="AV76" s="41"/>
      <c r="AW76" s="41"/>
      <c r="AX76" s="41"/>
    </row>
    <row r="77" spans="1:50" ht="15" customHeight="1">
      <c r="A77" s="41"/>
      <c r="B77" s="112"/>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row>
    <row r="78" spans="1:50" s="315" customFormat="1" ht="15" customHeight="1">
      <c r="A78" s="314"/>
      <c r="B78" s="921"/>
      <c r="C78" s="314"/>
      <c r="D78" s="314"/>
      <c r="E78" s="314" t="str">
        <f xml:space="preserve"> ProjectCashflows!E$48</f>
        <v>Model calendar years</v>
      </c>
      <c r="F78" s="314">
        <f xml:space="preserve"> ProjectCashflows!F$48</f>
        <v>0</v>
      </c>
      <c r="G78" s="314" t="str">
        <f xml:space="preserve"> ProjectCashflows!G$48</f>
        <v>Years</v>
      </c>
      <c r="H78" s="314">
        <f xml:space="preserve"> ProjectCashflows!H$48</f>
        <v>0</v>
      </c>
      <c r="I78" s="314">
        <f xml:space="preserve"> ProjectCashflows!I$48</f>
        <v>0</v>
      </c>
      <c r="J78" s="314">
        <f xml:space="preserve"> ProjectCashflows!J$48</f>
        <v>0</v>
      </c>
      <c r="K78" s="314">
        <f xml:space="preserve"> ProjectCashflows!K$48</f>
        <v>2021</v>
      </c>
      <c r="L78" s="314">
        <f xml:space="preserve"> ProjectCashflows!L$48</f>
        <v>2022</v>
      </c>
      <c r="M78" s="314">
        <f xml:space="preserve"> ProjectCashflows!M$48</f>
        <v>2023</v>
      </c>
      <c r="N78" s="314">
        <f xml:space="preserve"> ProjectCashflows!N$48</f>
        <v>2024</v>
      </c>
      <c r="O78" s="314">
        <f xml:space="preserve"> ProjectCashflows!O$48</f>
        <v>2025</v>
      </c>
      <c r="P78" s="314">
        <f xml:space="preserve"> ProjectCashflows!P$48</f>
        <v>2026</v>
      </c>
      <c r="Q78" s="314">
        <f xml:space="preserve"> ProjectCashflows!Q$48</f>
        <v>2027</v>
      </c>
      <c r="R78" s="314">
        <f xml:space="preserve"> ProjectCashflows!R$48</f>
        <v>2028</v>
      </c>
      <c r="S78" s="314">
        <f xml:space="preserve"> ProjectCashflows!S$48</f>
        <v>2029</v>
      </c>
      <c r="T78" s="314">
        <f xml:space="preserve"> ProjectCashflows!T$48</f>
        <v>2030</v>
      </c>
      <c r="U78" s="314">
        <f xml:space="preserve"> ProjectCashflows!U$48</f>
        <v>2031</v>
      </c>
      <c r="V78" s="314">
        <f xml:space="preserve"> ProjectCashflows!V$48</f>
        <v>2032</v>
      </c>
      <c r="W78" s="314">
        <f xml:space="preserve"> ProjectCashflows!W$48</f>
        <v>2033</v>
      </c>
      <c r="X78" s="314">
        <f xml:space="preserve"> ProjectCashflows!X$48</f>
        <v>2034</v>
      </c>
      <c r="Y78" s="314">
        <f xml:space="preserve"> ProjectCashflows!Y$48</f>
        <v>2035</v>
      </c>
      <c r="Z78" s="314">
        <f xml:space="preserve"> ProjectCashflows!Z$48</f>
        <v>2036</v>
      </c>
      <c r="AA78" s="314">
        <f xml:space="preserve"> ProjectCashflows!AA$48</f>
        <v>2037</v>
      </c>
      <c r="AB78" s="314">
        <f xml:space="preserve"> ProjectCashflows!AB$48</f>
        <v>2038</v>
      </c>
      <c r="AC78" s="314">
        <f xml:space="preserve"> ProjectCashflows!AC$48</f>
        <v>2039</v>
      </c>
      <c r="AD78" s="314">
        <f xml:space="preserve"> ProjectCashflows!AD$48</f>
        <v>2040</v>
      </c>
      <c r="AE78" s="314">
        <f xml:space="preserve"> ProjectCashflows!AE$48</f>
        <v>2041</v>
      </c>
      <c r="AF78" s="314">
        <f xml:space="preserve"> ProjectCashflows!AF$48</f>
        <v>2042</v>
      </c>
      <c r="AG78" s="314">
        <f xml:space="preserve"> ProjectCashflows!AG$48</f>
        <v>2043</v>
      </c>
      <c r="AH78" s="314">
        <f xml:space="preserve"> ProjectCashflows!AH$48</f>
        <v>2044</v>
      </c>
      <c r="AI78" s="314">
        <f xml:space="preserve"> ProjectCashflows!AI$48</f>
        <v>2045</v>
      </c>
      <c r="AJ78" s="314">
        <f xml:space="preserve"> ProjectCashflows!AJ$48</f>
        <v>2046</v>
      </c>
      <c r="AK78" s="314">
        <f xml:space="preserve"> ProjectCashflows!AK$48</f>
        <v>2047</v>
      </c>
      <c r="AL78" s="314">
        <f xml:space="preserve"> ProjectCashflows!AL$48</f>
        <v>2048</v>
      </c>
      <c r="AM78" s="314">
        <f xml:space="preserve"> ProjectCashflows!AM$48</f>
        <v>2049</v>
      </c>
      <c r="AN78" s="314">
        <f xml:space="preserve"> ProjectCashflows!AN$48</f>
        <v>2050</v>
      </c>
      <c r="AO78" s="314">
        <f xml:space="preserve"> ProjectCashflows!AO$48</f>
        <v>2051</v>
      </c>
      <c r="AP78" s="314">
        <f xml:space="preserve"> ProjectCashflows!AP$48</f>
        <v>2052</v>
      </c>
      <c r="AQ78" s="314">
        <f xml:space="preserve"> ProjectCashflows!AQ$48</f>
        <v>2053</v>
      </c>
      <c r="AR78" s="314">
        <f xml:space="preserve"> ProjectCashflows!AR$48</f>
        <v>2054</v>
      </c>
      <c r="AS78" s="314">
        <f xml:space="preserve"> ProjectCashflows!AS$48</f>
        <v>2055</v>
      </c>
      <c r="AT78" s="314">
        <f xml:space="preserve"> ProjectCashflows!AT$48</f>
        <v>2056</v>
      </c>
      <c r="AU78" s="314">
        <f xml:space="preserve"> ProjectCashflows!AU$48</f>
        <v>2057</v>
      </c>
      <c r="AV78" s="314">
        <f xml:space="preserve"> ProjectCashflows!AV$48</f>
        <v>2058</v>
      </c>
      <c r="AW78" s="314">
        <f xml:space="preserve"> ProjectCashflows!AW$48</f>
        <v>2059</v>
      </c>
      <c r="AX78" s="314">
        <f xml:space="preserve"> ProjectCashflows!AX$48</f>
        <v>2060</v>
      </c>
    </row>
    <row r="79" spans="1:50" ht="15" customHeight="1">
      <c r="A79" s="41"/>
      <c r="B79" s="112"/>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row>
    <row r="80" spans="1:50" ht="15" customHeight="1">
      <c r="A80" s="192"/>
      <c r="B80" s="918"/>
      <c r="C80" s="192"/>
      <c r="D80" s="192"/>
      <c r="E80" s="192" t="str">
        <f xml:space="preserve"> ProjectCashflows!E$167</f>
        <v>Sales revenues: net, after ELT</v>
      </c>
      <c r="F80" s="192">
        <f xml:space="preserve"> ProjectCashflows!F$167</f>
        <v>0</v>
      </c>
      <c r="G80" s="192" t="str">
        <f xml:space="preserve"> ProjectCashflows!G$167</f>
        <v>US$ mn 2021</v>
      </c>
      <c r="H80" s="192">
        <f xml:space="preserve"> ProjectCashflows!H$167</f>
        <v>0</v>
      </c>
      <c r="I80" s="192">
        <f ca="1" xml:space="preserve"> ProjectCashflows!I$167</f>
        <v>2950</v>
      </c>
      <c r="J80" s="192">
        <f xml:space="preserve"> ProjectCashflows!J$167</f>
        <v>0</v>
      </c>
      <c r="K80" s="192">
        <f ca="1" xml:space="preserve"> ProjectCashflows!K$167</f>
        <v>0</v>
      </c>
      <c r="L80" s="192">
        <f ca="1" xml:space="preserve"> ProjectCashflows!L$167</f>
        <v>0</v>
      </c>
      <c r="M80" s="192">
        <f ca="1" xml:space="preserve"> ProjectCashflows!M$167</f>
        <v>0</v>
      </c>
      <c r="N80" s="192">
        <f ca="1" xml:space="preserve"> ProjectCashflows!N$167</f>
        <v>0</v>
      </c>
      <c r="O80" s="192">
        <f ca="1" xml:space="preserve"> ProjectCashflows!O$167</f>
        <v>14.75</v>
      </c>
      <c r="P80" s="192">
        <f ca="1" xml:space="preserve"> ProjectCashflows!P$167</f>
        <v>110.625</v>
      </c>
      <c r="Q80" s="192">
        <f ca="1" xml:space="preserve"> ProjectCashflows!Q$167</f>
        <v>221.25</v>
      </c>
      <c r="R80" s="192">
        <f ca="1" xml:space="preserve"> ProjectCashflows!R$167</f>
        <v>221.25</v>
      </c>
      <c r="S80" s="192">
        <f ca="1" xml:space="preserve"> ProjectCashflows!S$167</f>
        <v>221.25</v>
      </c>
      <c r="T80" s="192">
        <f ca="1" xml:space="preserve"> ProjectCashflows!T$167</f>
        <v>221.25</v>
      </c>
      <c r="U80" s="192">
        <f ca="1" xml:space="preserve"> ProjectCashflows!U$167</f>
        <v>221.25</v>
      </c>
      <c r="V80" s="192">
        <f ca="1" xml:space="preserve"> ProjectCashflows!V$167</f>
        <v>221.25</v>
      </c>
      <c r="W80" s="192">
        <f ca="1" xml:space="preserve"> ProjectCashflows!W$167</f>
        <v>221.25</v>
      </c>
      <c r="X80" s="192">
        <f ca="1" xml:space="preserve"> ProjectCashflows!X$167</f>
        <v>221.25</v>
      </c>
      <c r="Y80" s="192">
        <f ca="1" xml:space="preserve"> ProjectCashflows!Y$167</f>
        <v>221.25</v>
      </c>
      <c r="Z80" s="192">
        <f ca="1" xml:space="preserve"> ProjectCashflows!Z$167</f>
        <v>221.25</v>
      </c>
      <c r="AA80" s="192">
        <f ca="1" xml:space="preserve"> ProjectCashflows!AA$167</f>
        <v>184.375</v>
      </c>
      <c r="AB80" s="192">
        <f ca="1" xml:space="preserve"> ProjectCashflows!AB$167</f>
        <v>147.5</v>
      </c>
      <c r="AC80" s="192">
        <f ca="1" xml:space="preserve"> ProjectCashflows!AC$167</f>
        <v>110.625</v>
      </c>
      <c r="AD80" s="192">
        <f ca="1" xml:space="preserve"> ProjectCashflows!AD$167</f>
        <v>95.875</v>
      </c>
      <c r="AE80" s="192">
        <f ca="1" xml:space="preserve"> ProjectCashflows!AE$167</f>
        <v>73.75</v>
      </c>
      <c r="AF80" s="192">
        <f ca="1" xml:space="preserve"> ProjectCashflows!AF$167</f>
        <v>0</v>
      </c>
      <c r="AG80" s="192">
        <f ca="1" xml:space="preserve"> ProjectCashflows!AG$167</f>
        <v>0</v>
      </c>
      <c r="AH80" s="192">
        <f ca="1" xml:space="preserve"> ProjectCashflows!AH$167</f>
        <v>0</v>
      </c>
      <c r="AI80" s="192">
        <f ca="1" xml:space="preserve"> ProjectCashflows!AI$167</f>
        <v>0</v>
      </c>
      <c r="AJ80" s="192">
        <f ca="1" xml:space="preserve"> ProjectCashflows!AJ$167</f>
        <v>0</v>
      </c>
      <c r="AK80" s="192">
        <f ca="1" xml:space="preserve"> ProjectCashflows!AK$167</f>
        <v>0</v>
      </c>
      <c r="AL80" s="192">
        <f ca="1" xml:space="preserve"> ProjectCashflows!AL$167</f>
        <v>0</v>
      </c>
      <c r="AM80" s="192">
        <f ca="1" xml:space="preserve"> ProjectCashflows!AM$167</f>
        <v>0</v>
      </c>
      <c r="AN80" s="192">
        <f ca="1" xml:space="preserve"> ProjectCashflows!AN$167</f>
        <v>0</v>
      </c>
      <c r="AO80" s="192">
        <f ca="1" xml:space="preserve"> ProjectCashflows!AO$167</f>
        <v>0</v>
      </c>
      <c r="AP80" s="192">
        <f ca="1" xml:space="preserve"> ProjectCashflows!AP$167</f>
        <v>0</v>
      </c>
      <c r="AQ80" s="192">
        <f ca="1" xml:space="preserve"> ProjectCashflows!AQ$167</f>
        <v>0</v>
      </c>
      <c r="AR80" s="192">
        <f ca="1" xml:space="preserve"> ProjectCashflows!AR$167</f>
        <v>0</v>
      </c>
      <c r="AS80" s="192">
        <f ca="1" xml:space="preserve"> ProjectCashflows!AS$167</f>
        <v>0</v>
      </c>
      <c r="AT80" s="192">
        <f ca="1" xml:space="preserve"> ProjectCashflows!AT$167</f>
        <v>0</v>
      </c>
      <c r="AU80" s="192">
        <f ca="1" xml:space="preserve"> ProjectCashflows!AU$167</f>
        <v>0</v>
      </c>
      <c r="AV80" s="192">
        <f ca="1" xml:space="preserve"> ProjectCashflows!AV$167</f>
        <v>0</v>
      </c>
      <c r="AW80" s="192">
        <f ca="1" xml:space="preserve"> ProjectCashflows!AW$167</f>
        <v>0</v>
      </c>
      <c r="AX80" s="192">
        <f ca="1" xml:space="preserve"> ProjectCashflows!AX$167</f>
        <v>0</v>
      </c>
    </row>
    <row r="81" spans="1:50" ht="15" customHeight="1">
      <c r="A81" s="192"/>
      <c r="B81" s="918"/>
      <c r="C81" s="192"/>
      <c r="D81" s="192"/>
      <c r="E81" s="192" t="str">
        <f xml:space="preserve"> ProjectCashflows!E$169</f>
        <v>Exploration costs, after ELT</v>
      </c>
      <c r="F81" s="192">
        <f xml:space="preserve"> ProjectCashflows!F$169</f>
        <v>0</v>
      </c>
      <c r="G81" s="192" t="str">
        <f xml:space="preserve"> ProjectCashflows!G$169</f>
        <v>US$ mn 2021</v>
      </c>
      <c r="H81" s="192">
        <f xml:space="preserve"> ProjectCashflows!H$169</f>
        <v>0</v>
      </c>
      <c r="I81" s="192">
        <f ca="1" xml:space="preserve"> ProjectCashflows!I$169</f>
        <v>30</v>
      </c>
      <c r="J81" s="192">
        <f xml:space="preserve"> ProjectCashflows!J$169</f>
        <v>0</v>
      </c>
      <c r="K81" s="192">
        <f ca="1" xml:space="preserve"> ProjectCashflows!K$169</f>
        <v>10</v>
      </c>
      <c r="L81" s="192">
        <f ca="1" xml:space="preserve"> ProjectCashflows!L$169</f>
        <v>10</v>
      </c>
      <c r="M81" s="192">
        <f ca="1" xml:space="preserve"> ProjectCashflows!M$169</f>
        <v>10</v>
      </c>
      <c r="N81" s="192">
        <f ca="1" xml:space="preserve"> ProjectCashflows!N$169</f>
        <v>0</v>
      </c>
      <c r="O81" s="192">
        <f ca="1" xml:space="preserve"> ProjectCashflows!O$169</f>
        <v>0</v>
      </c>
      <c r="P81" s="192">
        <f ca="1" xml:space="preserve"> ProjectCashflows!P$169</f>
        <v>0</v>
      </c>
      <c r="Q81" s="192">
        <f ca="1" xml:space="preserve"> ProjectCashflows!Q$169</f>
        <v>0</v>
      </c>
      <c r="R81" s="192">
        <f ca="1" xml:space="preserve"> ProjectCashflows!R$169</f>
        <v>0</v>
      </c>
      <c r="S81" s="192">
        <f ca="1" xml:space="preserve"> ProjectCashflows!S$169</f>
        <v>0</v>
      </c>
      <c r="T81" s="192">
        <f ca="1" xml:space="preserve"> ProjectCashflows!T$169</f>
        <v>0</v>
      </c>
      <c r="U81" s="192">
        <f ca="1" xml:space="preserve"> ProjectCashflows!U$169</f>
        <v>0</v>
      </c>
      <c r="V81" s="192">
        <f ca="1" xml:space="preserve"> ProjectCashflows!V$169</f>
        <v>0</v>
      </c>
      <c r="W81" s="192">
        <f ca="1" xml:space="preserve"> ProjectCashflows!W$169</f>
        <v>0</v>
      </c>
      <c r="X81" s="192">
        <f ca="1" xml:space="preserve"> ProjectCashflows!X$169</f>
        <v>0</v>
      </c>
      <c r="Y81" s="192">
        <f ca="1" xml:space="preserve"> ProjectCashflows!Y$169</f>
        <v>0</v>
      </c>
      <c r="Z81" s="192">
        <f ca="1" xml:space="preserve"> ProjectCashflows!Z$169</f>
        <v>0</v>
      </c>
      <c r="AA81" s="192">
        <f ca="1" xml:space="preserve"> ProjectCashflows!AA$169</f>
        <v>0</v>
      </c>
      <c r="AB81" s="192">
        <f ca="1" xml:space="preserve"> ProjectCashflows!AB$169</f>
        <v>0</v>
      </c>
      <c r="AC81" s="192">
        <f ca="1" xml:space="preserve"> ProjectCashflows!AC$169</f>
        <v>0</v>
      </c>
      <c r="AD81" s="192">
        <f ca="1" xml:space="preserve"> ProjectCashflows!AD$169</f>
        <v>0</v>
      </c>
      <c r="AE81" s="192">
        <f ca="1" xml:space="preserve"> ProjectCashflows!AE$169</f>
        <v>0</v>
      </c>
      <c r="AF81" s="192">
        <f ca="1" xml:space="preserve"> ProjectCashflows!AF$169</f>
        <v>0</v>
      </c>
      <c r="AG81" s="192">
        <f ca="1" xml:space="preserve"> ProjectCashflows!AG$169</f>
        <v>0</v>
      </c>
      <c r="AH81" s="192">
        <f ca="1" xml:space="preserve"> ProjectCashflows!AH$169</f>
        <v>0</v>
      </c>
      <c r="AI81" s="192">
        <f ca="1" xml:space="preserve"> ProjectCashflows!AI$169</f>
        <v>0</v>
      </c>
      <c r="AJ81" s="192">
        <f ca="1" xml:space="preserve"> ProjectCashflows!AJ$169</f>
        <v>0</v>
      </c>
      <c r="AK81" s="192">
        <f ca="1" xml:space="preserve"> ProjectCashflows!AK$169</f>
        <v>0</v>
      </c>
      <c r="AL81" s="192">
        <f ca="1" xml:space="preserve"> ProjectCashflows!AL$169</f>
        <v>0</v>
      </c>
      <c r="AM81" s="192">
        <f ca="1" xml:space="preserve"> ProjectCashflows!AM$169</f>
        <v>0</v>
      </c>
      <c r="AN81" s="192">
        <f ca="1" xml:space="preserve"> ProjectCashflows!AN$169</f>
        <v>0</v>
      </c>
      <c r="AO81" s="192">
        <f ca="1" xml:space="preserve"> ProjectCashflows!AO$169</f>
        <v>0</v>
      </c>
      <c r="AP81" s="192">
        <f ca="1" xml:space="preserve"> ProjectCashflows!AP$169</f>
        <v>0</v>
      </c>
      <c r="AQ81" s="192">
        <f ca="1" xml:space="preserve"> ProjectCashflows!AQ$169</f>
        <v>0</v>
      </c>
      <c r="AR81" s="192">
        <f ca="1" xml:space="preserve"> ProjectCashflows!AR$169</f>
        <v>0</v>
      </c>
      <c r="AS81" s="192">
        <f ca="1" xml:space="preserve"> ProjectCashflows!AS$169</f>
        <v>0</v>
      </c>
      <c r="AT81" s="192">
        <f ca="1" xml:space="preserve"> ProjectCashflows!AT$169</f>
        <v>0</v>
      </c>
      <c r="AU81" s="192">
        <f ca="1" xml:space="preserve"> ProjectCashflows!AU$169</f>
        <v>0</v>
      </c>
      <c r="AV81" s="192">
        <f ca="1" xml:space="preserve"> ProjectCashflows!AV$169</f>
        <v>0</v>
      </c>
      <c r="AW81" s="192">
        <f ca="1" xml:space="preserve"> ProjectCashflows!AW$169</f>
        <v>0</v>
      </c>
      <c r="AX81" s="192">
        <f ca="1" xml:space="preserve"> ProjectCashflows!AX$169</f>
        <v>0</v>
      </c>
    </row>
    <row r="82" spans="1:50" ht="15" customHeight="1">
      <c r="A82" s="192"/>
      <c r="B82" s="918"/>
      <c r="C82" s="192"/>
      <c r="D82" s="192"/>
      <c r="E82" s="192" t="str">
        <f xml:space="preserve"> ProjectCashflows!E$170</f>
        <v>Development costs, after ELT</v>
      </c>
      <c r="F82" s="192">
        <f xml:space="preserve"> ProjectCashflows!F$170</f>
        <v>0</v>
      </c>
      <c r="G82" s="192" t="str">
        <f xml:space="preserve"> ProjectCashflows!G$170</f>
        <v>US$ mn 2021</v>
      </c>
      <c r="H82" s="192">
        <f xml:space="preserve"> ProjectCashflows!H$170</f>
        <v>0</v>
      </c>
      <c r="I82" s="192">
        <f ca="1" xml:space="preserve"> ProjectCashflows!I$170</f>
        <v>400</v>
      </c>
      <c r="J82" s="192">
        <f xml:space="preserve"> ProjectCashflows!J$170</f>
        <v>0</v>
      </c>
      <c r="K82" s="192">
        <f ca="1" xml:space="preserve"> ProjectCashflows!K$170</f>
        <v>0</v>
      </c>
      <c r="L82" s="192">
        <f ca="1" xml:space="preserve"> ProjectCashflows!L$170</f>
        <v>0</v>
      </c>
      <c r="M82" s="192">
        <f ca="1" xml:space="preserve"> ProjectCashflows!M$170</f>
        <v>0</v>
      </c>
      <c r="N82" s="192">
        <f ca="1" xml:space="preserve"> ProjectCashflows!N$170</f>
        <v>50</v>
      </c>
      <c r="O82" s="192">
        <f ca="1" xml:space="preserve"> ProjectCashflows!O$170</f>
        <v>250</v>
      </c>
      <c r="P82" s="192">
        <f ca="1" xml:space="preserve"> ProjectCashflows!P$170</f>
        <v>100</v>
      </c>
      <c r="Q82" s="192">
        <f ca="1" xml:space="preserve"> ProjectCashflows!Q$170</f>
        <v>0</v>
      </c>
      <c r="R82" s="192">
        <f ca="1" xml:space="preserve"> ProjectCashflows!R$170</f>
        <v>0</v>
      </c>
      <c r="S82" s="192">
        <f ca="1" xml:space="preserve"> ProjectCashflows!S$170</f>
        <v>0</v>
      </c>
      <c r="T82" s="192">
        <f ca="1" xml:space="preserve"> ProjectCashflows!T$170</f>
        <v>0</v>
      </c>
      <c r="U82" s="192">
        <f ca="1" xml:space="preserve"> ProjectCashflows!U$170</f>
        <v>0</v>
      </c>
      <c r="V82" s="192">
        <f ca="1" xml:space="preserve"> ProjectCashflows!V$170</f>
        <v>0</v>
      </c>
      <c r="W82" s="192">
        <f ca="1" xml:space="preserve"> ProjectCashflows!W$170</f>
        <v>0</v>
      </c>
      <c r="X82" s="192">
        <f ca="1" xml:space="preserve"> ProjectCashflows!X$170</f>
        <v>0</v>
      </c>
      <c r="Y82" s="192">
        <f ca="1" xml:space="preserve"> ProjectCashflows!Y$170</f>
        <v>0</v>
      </c>
      <c r="Z82" s="192">
        <f ca="1" xml:space="preserve"> ProjectCashflows!Z$170</f>
        <v>0</v>
      </c>
      <c r="AA82" s="192">
        <f ca="1" xml:space="preserve"> ProjectCashflows!AA$170</f>
        <v>0</v>
      </c>
      <c r="AB82" s="192">
        <f ca="1" xml:space="preserve"> ProjectCashflows!AB$170</f>
        <v>0</v>
      </c>
      <c r="AC82" s="192">
        <f ca="1" xml:space="preserve"> ProjectCashflows!AC$170</f>
        <v>0</v>
      </c>
      <c r="AD82" s="192">
        <f ca="1" xml:space="preserve"> ProjectCashflows!AD$170</f>
        <v>0</v>
      </c>
      <c r="AE82" s="192">
        <f ca="1" xml:space="preserve"> ProjectCashflows!AE$170</f>
        <v>0</v>
      </c>
      <c r="AF82" s="192">
        <f ca="1" xml:space="preserve"> ProjectCashflows!AF$170</f>
        <v>0</v>
      </c>
      <c r="AG82" s="192">
        <f ca="1" xml:space="preserve"> ProjectCashflows!AG$170</f>
        <v>0</v>
      </c>
      <c r="AH82" s="192">
        <f ca="1" xml:space="preserve"> ProjectCashflows!AH$170</f>
        <v>0</v>
      </c>
      <c r="AI82" s="192">
        <f ca="1" xml:space="preserve"> ProjectCashflows!AI$170</f>
        <v>0</v>
      </c>
      <c r="AJ82" s="192">
        <f ca="1" xml:space="preserve"> ProjectCashflows!AJ$170</f>
        <v>0</v>
      </c>
      <c r="AK82" s="192">
        <f ca="1" xml:space="preserve"> ProjectCashflows!AK$170</f>
        <v>0</v>
      </c>
      <c r="AL82" s="192">
        <f ca="1" xml:space="preserve"> ProjectCashflows!AL$170</f>
        <v>0</v>
      </c>
      <c r="AM82" s="192">
        <f ca="1" xml:space="preserve"> ProjectCashflows!AM$170</f>
        <v>0</v>
      </c>
      <c r="AN82" s="192">
        <f ca="1" xml:space="preserve"> ProjectCashflows!AN$170</f>
        <v>0</v>
      </c>
      <c r="AO82" s="192">
        <f ca="1" xml:space="preserve"> ProjectCashflows!AO$170</f>
        <v>0</v>
      </c>
      <c r="AP82" s="192">
        <f ca="1" xml:space="preserve"> ProjectCashflows!AP$170</f>
        <v>0</v>
      </c>
      <c r="AQ82" s="192">
        <f ca="1" xml:space="preserve"> ProjectCashflows!AQ$170</f>
        <v>0</v>
      </c>
      <c r="AR82" s="192">
        <f ca="1" xml:space="preserve"> ProjectCashflows!AR$170</f>
        <v>0</v>
      </c>
      <c r="AS82" s="192">
        <f ca="1" xml:space="preserve"> ProjectCashflows!AS$170</f>
        <v>0</v>
      </c>
      <c r="AT82" s="192">
        <f ca="1" xml:space="preserve"> ProjectCashflows!AT$170</f>
        <v>0</v>
      </c>
      <c r="AU82" s="192">
        <f ca="1" xml:space="preserve"> ProjectCashflows!AU$170</f>
        <v>0</v>
      </c>
      <c r="AV82" s="192">
        <f ca="1" xml:space="preserve"> ProjectCashflows!AV$170</f>
        <v>0</v>
      </c>
      <c r="AW82" s="192">
        <f ca="1" xml:space="preserve"> ProjectCashflows!AW$170</f>
        <v>0</v>
      </c>
      <c r="AX82" s="192">
        <f ca="1" xml:space="preserve"> ProjectCashflows!AX$170</f>
        <v>0</v>
      </c>
    </row>
    <row r="83" spans="1:50" ht="15" customHeight="1">
      <c r="A83" s="192"/>
      <c r="B83" s="918"/>
      <c r="C83" s="192"/>
      <c r="D83" s="192"/>
      <c r="E83" s="192" t="str">
        <f xml:space="preserve"> ProjectCashflows!E$171</f>
        <v>Replacement capital costs, after ELT</v>
      </c>
      <c r="F83" s="192">
        <f xml:space="preserve"> ProjectCashflows!F$171</f>
        <v>0</v>
      </c>
      <c r="G83" s="192" t="str">
        <f xml:space="preserve"> ProjectCashflows!G$171</f>
        <v>US$ mn 2021</v>
      </c>
      <c r="H83" s="192">
        <f xml:space="preserve"> ProjectCashflows!H$171</f>
        <v>0</v>
      </c>
      <c r="I83" s="192">
        <f ca="1" xml:space="preserve"> ProjectCashflows!I$171</f>
        <v>96</v>
      </c>
      <c r="J83" s="192">
        <f xml:space="preserve"> ProjectCashflows!J$171</f>
        <v>0</v>
      </c>
      <c r="K83" s="192">
        <f ca="1" xml:space="preserve"> ProjectCashflows!K$171</f>
        <v>0</v>
      </c>
      <c r="L83" s="192">
        <f ca="1" xml:space="preserve"> ProjectCashflows!L$171</f>
        <v>0</v>
      </c>
      <c r="M83" s="192">
        <f ca="1" xml:space="preserve"> ProjectCashflows!M$171</f>
        <v>0</v>
      </c>
      <c r="N83" s="192">
        <f ca="1" xml:space="preserve"> ProjectCashflows!N$171</f>
        <v>0</v>
      </c>
      <c r="O83" s="192">
        <f ca="1" xml:space="preserve"> ProjectCashflows!O$171</f>
        <v>0</v>
      </c>
      <c r="P83" s="192">
        <f ca="1" xml:space="preserve"> ProjectCashflows!P$171</f>
        <v>8</v>
      </c>
      <c r="Q83" s="192">
        <f ca="1" xml:space="preserve"> ProjectCashflows!Q$171</f>
        <v>8</v>
      </c>
      <c r="R83" s="192">
        <f ca="1" xml:space="preserve"> ProjectCashflows!R$171</f>
        <v>8</v>
      </c>
      <c r="S83" s="192">
        <f ca="1" xml:space="preserve"> ProjectCashflows!S$171</f>
        <v>8</v>
      </c>
      <c r="T83" s="192">
        <f ca="1" xml:space="preserve"> ProjectCashflows!T$171</f>
        <v>8</v>
      </c>
      <c r="U83" s="192">
        <f ca="1" xml:space="preserve"> ProjectCashflows!U$171</f>
        <v>8</v>
      </c>
      <c r="V83" s="192">
        <f ca="1" xml:space="preserve"> ProjectCashflows!V$171</f>
        <v>8</v>
      </c>
      <c r="W83" s="192">
        <f ca="1" xml:space="preserve"> ProjectCashflows!W$171</f>
        <v>8</v>
      </c>
      <c r="X83" s="192">
        <f ca="1" xml:space="preserve"> ProjectCashflows!X$171</f>
        <v>8</v>
      </c>
      <c r="Y83" s="192">
        <f ca="1" xml:space="preserve"> ProjectCashflows!Y$171</f>
        <v>8</v>
      </c>
      <c r="Z83" s="192">
        <f ca="1" xml:space="preserve"> ProjectCashflows!Z$171</f>
        <v>8</v>
      </c>
      <c r="AA83" s="192">
        <f ca="1" xml:space="preserve"> ProjectCashflows!AA$171</f>
        <v>8</v>
      </c>
      <c r="AB83" s="192">
        <f ca="1" xml:space="preserve"> ProjectCashflows!AB$171</f>
        <v>0</v>
      </c>
      <c r="AC83" s="192">
        <f ca="1" xml:space="preserve"> ProjectCashflows!AC$171</f>
        <v>0</v>
      </c>
      <c r="AD83" s="192">
        <f ca="1" xml:space="preserve"> ProjectCashflows!AD$171</f>
        <v>0</v>
      </c>
      <c r="AE83" s="192">
        <f ca="1" xml:space="preserve"> ProjectCashflows!AE$171</f>
        <v>0</v>
      </c>
      <c r="AF83" s="192">
        <f ca="1" xml:space="preserve"> ProjectCashflows!AF$171</f>
        <v>0</v>
      </c>
      <c r="AG83" s="192">
        <f ca="1" xml:space="preserve"> ProjectCashflows!AG$171</f>
        <v>0</v>
      </c>
      <c r="AH83" s="192">
        <f ca="1" xml:space="preserve"> ProjectCashflows!AH$171</f>
        <v>0</v>
      </c>
      <c r="AI83" s="192">
        <f ca="1" xml:space="preserve"> ProjectCashflows!AI$171</f>
        <v>0</v>
      </c>
      <c r="AJ83" s="192">
        <f ca="1" xml:space="preserve"> ProjectCashflows!AJ$171</f>
        <v>0</v>
      </c>
      <c r="AK83" s="192">
        <f ca="1" xml:space="preserve"> ProjectCashflows!AK$171</f>
        <v>0</v>
      </c>
      <c r="AL83" s="192">
        <f ca="1" xml:space="preserve"> ProjectCashflows!AL$171</f>
        <v>0</v>
      </c>
      <c r="AM83" s="192">
        <f ca="1" xml:space="preserve"> ProjectCashflows!AM$171</f>
        <v>0</v>
      </c>
      <c r="AN83" s="192">
        <f ca="1" xml:space="preserve"> ProjectCashflows!AN$171</f>
        <v>0</v>
      </c>
      <c r="AO83" s="192">
        <f ca="1" xml:space="preserve"> ProjectCashflows!AO$171</f>
        <v>0</v>
      </c>
      <c r="AP83" s="192">
        <f ca="1" xml:space="preserve"> ProjectCashflows!AP$171</f>
        <v>0</v>
      </c>
      <c r="AQ83" s="192">
        <f ca="1" xml:space="preserve"> ProjectCashflows!AQ$171</f>
        <v>0</v>
      </c>
      <c r="AR83" s="192">
        <f ca="1" xml:space="preserve"> ProjectCashflows!AR$171</f>
        <v>0</v>
      </c>
      <c r="AS83" s="192">
        <f ca="1" xml:space="preserve"> ProjectCashflows!AS$171</f>
        <v>0</v>
      </c>
      <c r="AT83" s="192">
        <f ca="1" xml:space="preserve"> ProjectCashflows!AT$171</f>
        <v>0</v>
      </c>
      <c r="AU83" s="192">
        <f ca="1" xml:space="preserve"> ProjectCashflows!AU$171</f>
        <v>0</v>
      </c>
      <c r="AV83" s="192">
        <f ca="1" xml:space="preserve"> ProjectCashflows!AV$171</f>
        <v>0</v>
      </c>
      <c r="AW83" s="192">
        <f ca="1" xml:space="preserve"> ProjectCashflows!AW$171</f>
        <v>0</v>
      </c>
      <c r="AX83" s="192">
        <f ca="1" xml:space="preserve"> ProjectCashflows!AX$171</f>
        <v>0</v>
      </c>
    </row>
    <row r="84" spans="1:50" ht="15" customHeight="1">
      <c r="A84" s="192"/>
      <c r="B84" s="918"/>
      <c r="C84" s="192"/>
      <c r="D84" s="192"/>
      <c r="E84" s="192" t="str">
        <f xml:space="preserve"> ProjectCashflows!E$172</f>
        <v>Operating costs, after ELT</v>
      </c>
      <c r="F84" s="192">
        <f xml:space="preserve"> ProjectCashflows!F$172</f>
        <v>0</v>
      </c>
      <c r="G84" s="192" t="str">
        <f xml:space="preserve"> ProjectCashflows!G$172</f>
        <v>US$ mn 2021</v>
      </c>
      <c r="H84" s="192">
        <f xml:space="preserve"> ProjectCashflows!H$172</f>
        <v>0</v>
      </c>
      <c r="I84" s="192">
        <f ca="1" xml:space="preserve"> ProjectCashflows!I$172</f>
        <v>900</v>
      </c>
      <c r="J84" s="192">
        <f xml:space="preserve"> ProjectCashflows!J$172</f>
        <v>0</v>
      </c>
      <c r="K84" s="192">
        <f ca="1" xml:space="preserve"> ProjectCashflows!K$172</f>
        <v>0</v>
      </c>
      <c r="L84" s="192">
        <f ca="1" xml:space="preserve"> ProjectCashflows!L$172</f>
        <v>0</v>
      </c>
      <c r="M84" s="192">
        <f ca="1" xml:space="preserve"> ProjectCashflows!M$172</f>
        <v>0</v>
      </c>
      <c r="N84" s="192">
        <f ca="1" xml:space="preserve"> ProjectCashflows!N$172</f>
        <v>0</v>
      </c>
      <c r="O84" s="192">
        <f ca="1" xml:space="preserve"> ProjectCashflows!O$172</f>
        <v>4.5</v>
      </c>
      <c r="P84" s="192">
        <f ca="1" xml:space="preserve"> ProjectCashflows!P$172</f>
        <v>33.75</v>
      </c>
      <c r="Q84" s="192">
        <f ca="1" xml:space="preserve"> ProjectCashflows!Q$172</f>
        <v>67.5</v>
      </c>
      <c r="R84" s="192">
        <f ca="1" xml:space="preserve"> ProjectCashflows!R$172</f>
        <v>67.5</v>
      </c>
      <c r="S84" s="192">
        <f ca="1" xml:space="preserve"> ProjectCashflows!S$172</f>
        <v>67.5</v>
      </c>
      <c r="T84" s="192">
        <f ca="1" xml:space="preserve"> ProjectCashflows!T$172</f>
        <v>67.5</v>
      </c>
      <c r="U84" s="192">
        <f ca="1" xml:space="preserve"> ProjectCashflows!U$172</f>
        <v>67.5</v>
      </c>
      <c r="V84" s="192">
        <f ca="1" xml:space="preserve"> ProjectCashflows!V$172</f>
        <v>67.5</v>
      </c>
      <c r="W84" s="192">
        <f ca="1" xml:space="preserve"> ProjectCashflows!W$172</f>
        <v>67.5</v>
      </c>
      <c r="X84" s="192">
        <f ca="1" xml:space="preserve"> ProjectCashflows!X$172</f>
        <v>67.5</v>
      </c>
      <c r="Y84" s="192">
        <f ca="1" xml:space="preserve"> ProjectCashflows!Y$172</f>
        <v>67.5</v>
      </c>
      <c r="Z84" s="192">
        <f ca="1" xml:space="preserve"> ProjectCashflows!Z$172</f>
        <v>67.5</v>
      </c>
      <c r="AA84" s="192">
        <f ca="1" xml:space="preserve"> ProjectCashflows!AA$172</f>
        <v>56.25</v>
      </c>
      <c r="AB84" s="192">
        <f ca="1" xml:space="preserve"> ProjectCashflows!AB$172</f>
        <v>45</v>
      </c>
      <c r="AC84" s="192">
        <f ca="1" xml:space="preserve"> ProjectCashflows!AC$172</f>
        <v>33.75</v>
      </c>
      <c r="AD84" s="192">
        <f ca="1" xml:space="preserve"> ProjectCashflows!AD$172</f>
        <v>29.25</v>
      </c>
      <c r="AE84" s="192">
        <f ca="1" xml:space="preserve"> ProjectCashflows!AE$172</f>
        <v>22.5</v>
      </c>
      <c r="AF84" s="192">
        <f ca="1" xml:space="preserve"> ProjectCashflows!AF$172</f>
        <v>0</v>
      </c>
      <c r="AG84" s="192">
        <f ca="1" xml:space="preserve"> ProjectCashflows!AG$172</f>
        <v>0</v>
      </c>
      <c r="AH84" s="192">
        <f ca="1" xml:space="preserve"> ProjectCashflows!AH$172</f>
        <v>0</v>
      </c>
      <c r="AI84" s="192">
        <f ca="1" xml:space="preserve"> ProjectCashflows!AI$172</f>
        <v>0</v>
      </c>
      <c r="AJ84" s="192">
        <f ca="1" xml:space="preserve"> ProjectCashflows!AJ$172</f>
        <v>0</v>
      </c>
      <c r="AK84" s="192">
        <f ca="1" xml:space="preserve"> ProjectCashflows!AK$172</f>
        <v>0</v>
      </c>
      <c r="AL84" s="192">
        <f ca="1" xml:space="preserve"> ProjectCashflows!AL$172</f>
        <v>0</v>
      </c>
      <c r="AM84" s="192">
        <f ca="1" xml:space="preserve"> ProjectCashflows!AM$172</f>
        <v>0</v>
      </c>
      <c r="AN84" s="192">
        <f ca="1" xml:space="preserve"> ProjectCashflows!AN$172</f>
        <v>0</v>
      </c>
      <c r="AO84" s="192">
        <f ca="1" xml:space="preserve"> ProjectCashflows!AO$172</f>
        <v>0</v>
      </c>
      <c r="AP84" s="192">
        <f ca="1" xml:space="preserve"> ProjectCashflows!AP$172</f>
        <v>0</v>
      </c>
      <c r="AQ84" s="192">
        <f ca="1" xml:space="preserve"> ProjectCashflows!AQ$172</f>
        <v>0</v>
      </c>
      <c r="AR84" s="192">
        <f ca="1" xml:space="preserve"> ProjectCashflows!AR$172</f>
        <v>0</v>
      </c>
      <c r="AS84" s="192">
        <f ca="1" xml:space="preserve"> ProjectCashflows!AS$172</f>
        <v>0</v>
      </c>
      <c r="AT84" s="192">
        <f ca="1" xml:space="preserve"> ProjectCashflows!AT$172</f>
        <v>0</v>
      </c>
      <c r="AU84" s="192">
        <f ca="1" xml:space="preserve"> ProjectCashflows!AU$172</f>
        <v>0</v>
      </c>
      <c r="AV84" s="192">
        <f ca="1" xml:space="preserve"> ProjectCashflows!AV$172</f>
        <v>0</v>
      </c>
      <c r="AW84" s="192">
        <f ca="1" xml:space="preserve"> ProjectCashflows!AW$172</f>
        <v>0</v>
      </c>
      <c r="AX84" s="192">
        <f ca="1" xml:space="preserve"> ProjectCashflows!AX$172</f>
        <v>0</v>
      </c>
    </row>
    <row r="85" spans="1:50" ht="15" customHeight="1">
      <c r="A85" s="192"/>
      <c r="B85" s="918"/>
      <c r="C85" s="192"/>
      <c r="D85" s="192"/>
      <c r="E85" s="192" t="str">
        <f xml:space="preserve"> ProjectCashflows!E$173</f>
        <v>Decommissioning costs, after ELT</v>
      </c>
      <c r="F85" s="192">
        <f xml:space="preserve"> ProjectCashflows!F$173</f>
        <v>0</v>
      </c>
      <c r="G85" s="192" t="str">
        <f xml:space="preserve"> ProjectCashflows!G$173</f>
        <v>US$ mn 2021</v>
      </c>
      <c r="H85" s="192">
        <f xml:space="preserve"> ProjectCashflows!H$173</f>
        <v>0</v>
      </c>
      <c r="I85" s="192">
        <f ca="1" xml:space="preserve"> ProjectCashflows!I$173</f>
        <v>20</v>
      </c>
      <c r="J85" s="192">
        <f xml:space="preserve"> ProjectCashflows!J$173</f>
        <v>0</v>
      </c>
      <c r="K85" s="192">
        <f ca="1" xml:space="preserve"> ProjectCashflows!K$173</f>
        <v>0</v>
      </c>
      <c r="L85" s="192">
        <f ca="1" xml:space="preserve"> ProjectCashflows!L$173</f>
        <v>0</v>
      </c>
      <c r="M85" s="192">
        <f ca="1" xml:space="preserve"> ProjectCashflows!M$173</f>
        <v>0</v>
      </c>
      <c r="N85" s="192">
        <f ca="1" xml:space="preserve"> ProjectCashflows!N$173</f>
        <v>0</v>
      </c>
      <c r="O85" s="192">
        <f ca="1" xml:space="preserve"> ProjectCashflows!O$173</f>
        <v>0</v>
      </c>
      <c r="P85" s="192">
        <f ca="1" xml:space="preserve"> ProjectCashflows!P$173</f>
        <v>0</v>
      </c>
      <c r="Q85" s="192">
        <f ca="1" xml:space="preserve"> ProjectCashflows!Q$173</f>
        <v>0</v>
      </c>
      <c r="R85" s="192">
        <f ca="1" xml:space="preserve"> ProjectCashflows!R$173</f>
        <v>0</v>
      </c>
      <c r="S85" s="192">
        <f ca="1" xml:space="preserve"> ProjectCashflows!S$173</f>
        <v>0</v>
      </c>
      <c r="T85" s="192">
        <f ca="1" xml:space="preserve"> ProjectCashflows!T$173</f>
        <v>0</v>
      </c>
      <c r="U85" s="192">
        <f ca="1" xml:space="preserve"> ProjectCashflows!U$173</f>
        <v>0</v>
      </c>
      <c r="V85" s="192">
        <f ca="1" xml:space="preserve"> ProjectCashflows!V$173</f>
        <v>0</v>
      </c>
      <c r="W85" s="192">
        <f ca="1" xml:space="preserve"> ProjectCashflows!W$173</f>
        <v>0</v>
      </c>
      <c r="X85" s="192">
        <f ca="1" xml:space="preserve"> ProjectCashflows!X$173</f>
        <v>0</v>
      </c>
      <c r="Y85" s="192">
        <f ca="1" xml:space="preserve"> ProjectCashflows!Y$173</f>
        <v>0</v>
      </c>
      <c r="Z85" s="192">
        <f ca="1" xml:space="preserve"> ProjectCashflows!Z$173</f>
        <v>0</v>
      </c>
      <c r="AA85" s="192">
        <f ca="1" xml:space="preserve"> ProjectCashflows!AA$173</f>
        <v>0</v>
      </c>
      <c r="AB85" s="192">
        <f ca="1" xml:space="preserve"> ProjectCashflows!AB$173</f>
        <v>0</v>
      </c>
      <c r="AC85" s="192">
        <f ca="1" xml:space="preserve"> ProjectCashflows!AC$173</f>
        <v>0</v>
      </c>
      <c r="AD85" s="192">
        <f ca="1" xml:space="preserve"> ProjectCashflows!AD$173</f>
        <v>0</v>
      </c>
      <c r="AE85" s="192">
        <f ca="1" xml:space="preserve"> ProjectCashflows!AE$173</f>
        <v>0</v>
      </c>
      <c r="AF85" s="192">
        <f ca="1" xml:space="preserve"> ProjectCashflows!AF$173</f>
        <v>20</v>
      </c>
      <c r="AG85" s="192">
        <f ca="1" xml:space="preserve"> ProjectCashflows!AG$173</f>
        <v>0</v>
      </c>
      <c r="AH85" s="192">
        <f ca="1" xml:space="preserve"> ProjectCashflows!AH$173</f>
        <v>0</v>
      </c>
      <c r="AI85" s="192">
        <f ca="1" xml:space="preserve"> ProjectCashflows!AI$173</f>
        <v>0</v>
      </c>
      <c r="AJ85" s="192">
        <f ca="1" xml:space="preserve"> ProjectCashflows!AJ$173</f>
        <v>0</v>
      </c>
      <c r="AK85" s="192">
        <f ca="1" xml:space="preserve"> ProjectCashflows!AK$173</f>
        <v>0</v>
      </c>
      <c r="AL85" s="192">
        <f ca="1" xml:space="preserve"> ProjectCashflows!AL$173</f>
        <v>0</v>
      </c>
      <c r="AM85" s="192">
        <f ca="1" xml:space="preserve"> ProjectCashflows!AM$173</f>
        <v>0</v>
      </c>
      <c r="AN85" s="192">
        <f ca="1" xml:space="preserve"> ProjectCashflows!AN$173</f>
        <v>0</v>
      </c>
      <c r="AO85" s="192">
        <f ca="1" xml:space="preserve"> ProjectCashflows!AO$173</f>
        <v>0</v>
      </c>
      <c r="AP85" s="192">
        <f ca="1" xml:space="preserve"> ProjectCashflows!AP$173</f>
        <v>0</v>
      </c>
      <c r="AQ85" s="192">
        <f ca="1" xml:space="preserve"> ProjectCashflows!AQ$173</f>
        <v>0</v>
      </c>
      <c r="AR85" s="192">
        <f ca="1" xml:space="preserve"> ProjectCashflows!AR$173</f>
        <v>0</v>
      </c>
      <c r="AS85" s="192">
        <f ca="1" xml:space="preserve"> ProjectCashflows!AS$173</f>
        <v>0</v>
      </c>
      <c r="AT85" s="192">
        <f ca="1" xml:space="preserve"> ProjectCashflows!AT$173</f>
        <v>0</v>
      </c>
      <c r="AU85" s="192">
        <f ca="1" xml:space="preserve"> ProjectCashflows!AU$173</f>
        <v>0</v>
      </c>
      <c r="AV85" s="192">
        <f ca="1" xml:space="preserve"> ProjectCashflows!AV$173</f>
        <v>0</v>
      </c>
      <c r="AW85" s="192">
        <f ca="1" xml:space="preserve"> ProjectCashflows!AW$173</f>
        <v>0</v>
      </c>
      <c r="AX85" s="192">
        <f ca="1" xml:space="preserve"> ProjectCashflows!AX$173</f>
        <v>0</v>
      </c>
    </row>
    <row r="86" spans="1:50" ht="15" customHeight="1">
      <c r="A86" s="192"/>
      <c r="B86" s="918"/>
      <c r="C86" s="192"/>
      <c r="D86" s="192"/>
      <c r="E86" s="192" t="str">
        <f xml:space="preserve"> ProjectCashflows!E$174</f>
        <v>Project costs, after ELT</v>
      </c>
      <c r="F86" s="192">
        <f xml:space="preserve"> ProjectCashflows!F$174</f>
        <v>0</v>
      </c>
      <c r="G86" s="192" t="str">
        <f xml:space="preserve"> ProjectCashflows!G$174</f>
        <v>US$ mn 2021</v>
      </c>
      <c r="H86" s="192">
        <f xml:space="preserve"> ProjectCashflows!H$174</f>
        <v>0</v>
      </c>
      <c r="I86" s="192">
        <f ca="1" xml:space="preserve"> ProjectCashflows!I$174</f>
        <v>1446</v>
      </c>
      <c r="J86" s="192">
        <f xml:space="preserve"> ProjectCashflows!J$174</f>
        <v>0</v>
      </c>
      <c r="K86" s="192">
        <f ca="1" xml:space="preserve"> ProjectCashflows!K$174</f>
        <v>10</v>
      </c>
      <c r="L86" s="192">
        <f ca="1" xml:space="preserve"> ProjectCashflows!L$174</f>
        <v>10</v>
      </c>
      <c r="M86" s="192">
        <f ca="1" xml:space="preserve"> ProjectCashflows!M$174</f>
        <v>10</v>
      </c>
      <c r="N86" s="192">
        <f ca="1" xml:space="preserve"> ProjectCashflows!N$174</f>
        <v>50</v>
      </c>
      <c r="O86" s="192">
        <f ca="1" xml:space="preserve"> ProjectCashflows!O$174</f>
        <v>254.5</v>
      </c>
      <c r="P86" s="192">
        <f ca="1" xml:space="preserve"> ProjectCashflows!P$174</f>
        <v>141.75</v>
      </c>
      <c r="Q86" s="192">
        <f ca="1" xml:space="preserve"> ProjectCashflows!Q$174</f>
        <v>75.5</v>
      </c>
      <c r="R86" s="192">
        <f ca="1" xml:space="preserve"> ProjectCashflows!R$174</f>
        <v>75.5</v>
      </c>
      <c r="S86" s="192">
        <f ca="1" xml:space="preserve"> ProjectCashflows!S$174</f>
        <v>75.5</v>
      </c>
      <c r="T86" s="192">
        <f ca="1" xml:space="preserve"> ProjectCashflows!T$174</f>
        <v>75.5</v>
      </c>
      <c r="U86" s="192">
        <f ca="1" xml:space="preserve"> ProjectCashflows!U$174</f>
        <v>75.5</v>
      </c>
      <c r="V86" s="192">
        <f ca="1" xml:space="preserve"> ProjectCashflows!V$174</f>
        <v>75.5</v>
      </c>
      <c r="W86" s="192">
        <f ca="1" xml:space="preserve"> ProjectCashflows!W$174</f>
        <v>75.5</v>
      </c>
      <c r="X86" s="192">
        <f ca="1" xml:space="preserve"> ProjectCashflows!X$174</f>
        <v>75.5</v>
      </c>
      <c r="Y86" s="192">
        <f ca="1" xml:space="preserve"> ProjectCashflows!Y$174</f>
        <v>75.5</v>
      </c>
      <c r="Z86" s="192">
        <f ca="1" xml:space="preserve"> ProjectCashflows!Z$174</f>
        <v>75.5</v>
      </c>
      <c r="AA86" s="192">
        <f ca="1" xml:space="preserve"> ProjectCashflows!AA$174</f>
        <v>64.25</v>
      </c>
      <c r="AB86" s="192">
        <f ca="1" xml:space="preserve"> ProjectCashflows!AB$174</f>
        <v>45</v>
      </c>
      <c r="AC86" s="192">
        <f ca="1" xml:space="preserve"> ProjectCashflows!AC$174</f>
        <v>33.75</v>
      </c>
      <c r="AD86" s="192">
        <f ca="1" xml:space="preserve"> ProjectCashflows!AD$174</f>
        <v>29.25</v>
      </c>
      <c r="AE86" s="192">
        <f ca="1" xml:space="preserve"> ProjectCashflows!AE$174</f>
        <v>22.5</v>
      </c>
      <c r="AF86" s="192">
        <f ca="1" xml:space="preserve"> ProjectCashflows!AF$174</f>
        <v>20</v>
      </c>
      <c r="AG86" s="192">
        <f ca="1" xml:space="preserve"> ProjectCashflows!AG$174</f>
        <v>0</v>
      </c>
      <c r="AH86" s="192">
        <f ca="1" xml:space="preserve"> ProjectCashflows!AH$174</f>
        <v>0</v>
      </c>
      <c r="AI86" s="192">
        <f ca="1" xml:space="preserve"> ProjectCashflows!AI$174</f>
        <v>0</v>
      </c>
      <c r="AJ86" s="192">
        <f ca="1" xml:space="preserve"> ProjectCashflows!AJ$174</f>
        <v>0</v>
      </c>
      <c r="AK86" s="192">
        <f ca="1" xml:space="preserve"> ProjectCashflows!AK$174</f>
        <v>0</v>
      </c>
      <c r="AL86" s="192">
        <f ca="1" xml:space="preserve"> ProjectCashflows!AL$174</f>
        <v>0</v>
      </c>
      <c r="AM86" s="192">
        <f ca="1" xml:space="preserve"> ProjectCashflows!AM$174</f>
        <v>0</v>
      </c>
      <c r="AN86" s="192">
        <f ca="1" xml:space="preserve"> ProjectCashflows!AN$174</f>
        <v>0</v>
      </c>
      <c r="AO86" s="192">
        <f ca="1" xml:space="preserve"> ProjectCashflows!AO$174</f>
        <v>0</v>
      </c>
      <c r="AP86" s="192">
        <f ca="1" xml:space="preserve"> ProjectCashflows!AP$174</f>
        <v>0</v>
      </c>
      <c r="AQ86" s="192">
        <f ca="1" xml:space="preserve"> ProjectCashflows!AQ$174</f>
        <v>0</v>
      </c>
      <c r="AR86" s="192">
        <f ca="1" xml:space="preserve"> ProjectCashflows!AR$174</f>
        <v>0</v>
      </c>
      <c r="AS86" s="192">
        <f ca="1" xml:space="preserve"> ProjectCashflows!AS$174</f>
        <v>0</v>
      </c>
      <c r="AT86" s="192">
        <f ca="1" xml:space="preserve"> ProjectCashflows!AT$174</f>
        <v>0</v>
      </c>
      <c r="AU86" s="192">
        <f ca="1" xml:space="preserve"> ProjectCashflows!AU$174</f>
        <v>0</v>
      </c>
      <c r="AV86" s="192">
        <f ca="1" xml:space="preserve"> ProjectCashflows!AV$174</f>
        <v>0</v>
      </c>
      <c r="AW86" s="192">
        <f ca="1" xml:space="preserve"> ProjectCashflows!AW$174</f>
        <v>0</v>
      </c>
      <c r="AX86" s="192">
        <f ca="1" xml:space="preserve"> ProjectCashflows!AX$174</f>
        <v>0</v>
      </c>
    </row>
    <row r="87" spans="1:50" ht="15" customHeight="1">
      <c r="A87" s="106"/>
      <c r="B87" s="922"/>
      <c r="C87" s="214"/>
      <c r="D87" s="214"/>
      <c r="E87" s="34" t="str">
        <f xml:space="preserve"> ProjectCashflows!E$178</f>
        <v>Project cashflows: real, after ELT</v>
      </c>
      <c r="F87" s="34">
        <f xml:space="preserve"> ProjectCashflows!F$178</f>
        <v>0</v>
      </c>
      <c r="G87" s="34" t="str">
        <f xml:space="preserve"> ProjectCashflows!G$178</f>
        <v>US$ mn 2021</v>
      </c>
      <c r="H87" s="34">
        <f xml:space="preserve"> ProjectCashflows!H$178</f>
        <v>0</v>
      </c>
      <c r="I87" s="34">
        <f ca="1" xml:space="preserve"> ProjectCashflows!I$178</f>
        <v>1504</v>
      </c>
      <c r="J87" s="34">
        <f xml:space="preserve"> ProjectCashflows!J$178</f>
        <v>0</v>
      </c>
      <c r="K87" s="34">
        <f ca="1" xml:space="preserve"> ProjectCashflows!K$178</f>
        <v>-10</v>
      </c>
      <c r="L87" s="34">
        <f ca="1" xml:space="preserve"> ProjectCashflows!L$178</f>
        <v>-10</v>
      </c>
      <c r="M87" s="34">
        <f ca="1" xml:space="preserve"> ProjectCashflows!M$178</f>
        <v>-10</v>
      </c>
      <c r="N87" s="34">
        <f ca="1" xml:space="preserve"> ProjectCashflows!N$178</f>
        <v>-50</v>
      </c>
      <c r="O87" s="34">
        <f ca="1" xml:space="preserve"> ProjectCashflows!O$178</f>
        <v>-239.75</v>
      </c>
      <c r="P87" s="34">
        <f ca="1" xml:space="preserve"> ProjectCashflows!P$178</f>
        <v>-31.125</v>
      </c>
      <c r="Q87" s="34">
        <f ca="1" xml:space="preserve"> ProjectCashflows!Q$178</f>
        <v>145.75</v>
      </c>
      <c r="R87" s="34">
        <f ca="1" xml:space="preserve"> ProjectCashflows!R$178</f>
        <v>145.75</v>
      </c>
      <c r="S87" s="34">
        <f ca="1" xml:space="preserve"> ProjectCashflows!S$178</f>
        <v>145.75</v>
      </c>
      <c r="T87" s="34">
        <f ca="1" xml:space="preserve"> ProjectCashflows!T$178</f>
        <v>145.75</v>
      </c>
      <c r="U87" s="34">
        <f ca="1" xml:space="preserve"> ProjectCashflows!U$178</f>
        <v>145.75</v>
      </c>
      <c r="V87" s="34">
        <f ca="1" xml:space="preserve"> ProjectCashflows!V$178</f>
        <v>145.75</v>
      </c>
      <c r="W87" s="34">
        <f ca="1" xml:space="preserve"> ProjectCashflows!W$178</f>
        <v>145.75</v>
      </c>
      <c r="X87" s="34">
        <f ca="1" xml:space="preserve"> ProjectCashflows!X$178</f>
        <v>145.75</v>
      </c>
      <c r="Y87" s="34">
        <f ca="1" xml:space="preserve"> ProjectCashflows!Y$178</f>
        <v>145.75</v>
      </c>
      <c r="Z87" s="34">
        <f ca="1" xml:space="preserve"> ProjectCashflows!Z$178</f>
        <v>145.75</v>
      </c>
      <c r="AA87" s="34">
        <f ca="1" xml:space="preserve"> ProjectCashflows!AA$178</f>
        <v>120.125</v>
      </c>
      <c r="AB87" s="34">
        <f ca="1" xml:space="preserve"> ProjectCashflows!AB$178</f>
        <v>102.5</v>
      </c>
      <c r="AC87" s="34">
        <f ca="1" xml:space="preserve"> ProjectCashflows!AC$178</f>
        <v>76.875</v>
      </c>
      <c r="AD87" s="34">
        <f ca="1" xml:space="preserve"> ProjectCashflows!AD$178</f>
        <v>66.625</v>
      </c>
      <c r="AE87" s="34">
        <f ca="1" xml:space="preserve"> ProjectCashflows!AE$178</f>
        <v>51.25</v>
      </c>
      <c r="AF87" s="34">
        <f ca="1" xml:space="preserve"> ProjectCashflows!AF$178</f>
        <v>-20</v>
      </c>
      <c r="AG87" s="34">
        <f ca="1" xml:space="preserve"> ProjectCashflows!AG$178</f>
        <v>0</v>
      </c>
      <c r="AH87" s="34">
        <f ca="1" xml:space="preserve"> ProjectCashflows!AH$178</f>
        <v>0</v>
      </c>
      <c r="AI87" s="34">
        <f ca="1" xml:space="preserve"> ProjectCashflows!AI$178</f>
        <v>0</v>
      </c>
      <c r="AJ87" s="34">
        <f ca="1" xml:space="preserve"> ProjectCashflows!AJ$178</f>
        <v>0</v>
      </c>
      <c r="AK87" s="34">
        <f ca="1" xml:space="preserve"> ProjectCashflows!AK$178</f>
        <v>0</v>
      </c>
      <c r="AL87" s="34">
        <f ca="1" xml:space="preserve"> ProjectCashflows!AL$178</f>
        <v>0</v>
      </c>
      <c r="AM87" s="34">
        <f ca="1" xml:space="preserve"> ProjectCashflows!AM$178</f>
        <v>0</v>
      </c>
      <c r="AN87" s="34">
        <f ca="1" xml:space="preserve"> ProjectCashflows!AN$178</f>
        <v>0</v>
      </c>
      <c r="AO87" s="34">
        <f ca="1" xml:space="preserve"> ProjectCashflows!AO$178</f>
        <v>0</v>
      </c>
      <c r="AP87" s="34">
        <f ca="1" xml:space="preserve"> ProjectCashflows!AP$178</f>
        <v>0</v>
      </c>
      <c r="AQ87" s="34">
        <f ca="1" xml:space="preserve"> ProjectCashflows!AQ$178</f>
        <v>0</v>
      </c>
      <c r="AR87" s="34">
        <f ca="1" xml:space="preserve"> ProjectCashflows!AR$178</f>
        <v>0</v>
      </c>
      <c r="AS87" s="34">
        <f ca="1" xml:space="preserve"> ProjectCashflows!AS$178</f>
        <v>0</v>
      </c>
      <c r="AT87" s="34">
        <f ca="1" xml:space="preserve"> ProjectCashflows!AT$178</f>
        <v>0</v>
      </c>
      <c r="AU87" s="34">
        <f ca="1" xml:space="preserve"> ProjectCashflows!AU$178</f>
        <v>0</v>
      </c>
      <c r="AV87" s="34">
        <f ca="1" xml:space="preserve"> ProjectCashflows!AV$178</f>
        <v>0</v>
      </c>
      <c r="AW87" s="34">
        <f ca="1" xml:space="preserve"> ProjectCashflows!AW$178</f>
        <v>0</v>
      </c>
      <c r="AX87" s="34">
        <f ca="1" xml:space="preserve"> ProjectCashflows!AX$178</f>
        <v>0</v>
      </c>
    </row>
    <row r="88" spans="1:50" ht="15" customHeight="1">
      <c r="A88" s="76"/>
      <c r="B88" s="74"/>
      <c r="C88" s="215"/>
      <c r="D88" s="215"/>
      <c r="E88" s="4" t="str">
        <f xml:space="preserve"> Translate!E$444 &amp;  ": " &amp; A71</f>
        <v>Check: Project revenues and costs</v>
      </c>
      <c r="F88" s="126">
        <f ca="1" xml:space="preserve"> IF( ABS( SUM( K88:AX88)) &gt; CHK_TOL, 1, 0)</f>
        <v>0</v>
      </c>
      <c r="G88" s="1041" t="str">
        <f xml:space="preserve"> Translate!E$444</f>
        <v>Check</v>
      </c>
      <c r="K88" s="4">
        <f ca="1" xml:space="preserve"> K80 - K86 - K87</f>
        <v>0</v>
      </c>
      <c r="L88" s="4">
        <f t="shared" ref="L88:AC88" ca="1" si="12" xml:space="preserve"> L80 - L86 - L87</f>
        <v>0</v>
      </c>
      <c r="M88" s="4">
        <f t="shared" ca="1" si="12"/>
        <v>0</v>
      </c>
      <c r="N88" s="4">
        <f t="shared" ca="1" si="12"/>
        <v>0</v>
      </c>
      <c r="O88" s="4">
        <f t="shared" ca="1" si="12"/>
        <v>0</v>
      </c>
      <c r="P88" s="4">
        <f t="shared" ca="1" si="12"/>
        <v>0</v>
      </c>
      <c r="Q88" s="4">
        <f t="shared" ca="1" si="12"/>
        <v>0</v>
      </c>
      <c r="R88" s="4">
        <f t="shared" ca="1" si="12"/>
        <v>0</v>
      </c>
      <c r="S88" s="4">
        <f t="shared" ca="1" si="12"/>
        <v>0</v>
      </c>
      <c r="T88" s="4">
        <f t="shared" ca="1" si="12"/>
        <v>0</v>
      </c>
      <c r="U88" s="4">
        <f t="shared" ca="1" si="12"/>
        <v>0</v>
      </c>
      <c r="V88" s="4">
        <f t="shared" ca="1" si="12"/>
        <v>0</v>
      </c>
      <c r="W88" s="4">
        <f t="shared" ca="1" si="12"/>
        <v>0</v>
      </c>
      <c r="X88" s="4">
        <f t="shared" ca="1" si="12"/>
        <v>0</v>
      </c>
      <c r="Y88" s="4">
        <f t="shared" ca="1" si="12"/>
        <v>0</v>
      </c>
      <c r="Z88" s="4">
        <f t="shared" ca="1" si="12"/>
        <v>0</v>
      </c>
      <c r="AA88" s="4">
        <f t="shared" ca="1" si="12"/>
        <v>0</v>
      </c>
      <c r="AB88" s="4">
        <f t="shared" ca="1" si="12"/>
        <v>0</v>
      </c>
      <c r="AC88" s="4">
        <f t="shared" ca="1" si="12"/>
        <v>0</v>
      </c>
      <c r="AD88" s="4">
        <f t="shared" ref="AD88:AX88" ca="1" si="13" xml:space="preserve"> AD80 - AD86 - AD87</f>
        <v>0</v>
      </c>
      <c r="AE88" s="4">
        <f t="shared" ca="1" si="13"/>
        <v>0</v>
      </c>
      <c r="AF88" s="4">
        <f t="shared" ca="1" si="13"/>
        <v>0</v>
      </c>
      <c r="AG88" s="4">
        <f t="shared" ca="1" si="13"/>
        <v>0</v>
      </c>
      <c r="AH88" s="4">
        <f t="shared" ca="1" si="13"/>
        <v>0</v>
      </c>
      <c r="AI88" s="4">
        <f t="shared" ca="1" si="13"/>
        <v>0</v>
      </c>
      <c r="AJ88" s="4">
        <f t="shared" ca="1" si="13"/>
        <v>0</v>
      </c>
      <c r="AK88" s="4">
        <f t="shared" ca="1" si="13"/>
        <v>0</v>
      </c>
      <c r="AL88" s="4">
        <f t="shared" ca="1" si="13"/>
        <v>0</v>
      </c>
      <c r="AM88" s="4">
        <f t="shared" ca="1" si="13"/>
        <v>0</v>
      </c>
      <c r="AN88" s="4">
        <f t="shared" ca="1" si="13"/>
        <v>0</v>
      </c>
      <c r="AO88" s="4">
        <f t="shared" ca="1" si="13"/>
        <v>0</v>
      </c>
      <c r="AP88" s="4">
        <f t="shared" ca="1" si="13"/>
        <v>0</v>
      </c>
      <c r="AQ88" s="4">
        <f t="shared" ca="1" si="13"/>
        <v>0</v>
      </c>
      <c r="AR88" s="4">
        <f t="shared" ca="1" si="13"/>
        <v>0</v>
      </c>
      <c r="AS88" s="4">
        <f t="shared" ca="1" si="13"/>
        <v>0</v>
      </c>
      <c r="AT88" s="4">
        <f t="shared" ca="1" si="13"/>
        <v>0</v>
      </c>
      <c r="AU88" s="4">
        <f t="shared" ca="1" si="13"/>
        <v>0</v>
      </c>
      <c r="AV88" s="4">
        <f t="shared" ca="1" si="13"/>
        <v>0</v>
      </c>
      <c r="AW88" s="4">
        <f t="shared" ca="1" si="13"/>
        <v>0</v>
      </c>
      <c r="AX88" s="4">
        <f t="shared" ca="1" si="13"/>
        <v>0</v>
      </c>
    </row>
    <row r="89" spans="1:50" ht="15" customHeight="1">
      <c r="A89" s="76"/>
      <c r="B89" s="74"/>
      <c r="C89" s="215"/>
      <c r="D89" s="215"/>
      <c r="F89" s="76"/>
      <c r="G89" s="76"/>
      <c r="H89" s="76"/>
      <c r="I89" s="76"/>
      <c r="J89" s="76"/>
      <c r="K89" s="76"/>
      <c r="L89" s="215"/>
      <c r="M89" s="215"/>
      <c r="N89" s="215"/>
      <c r="O89" s="215"/>
      <c r="P89" s="215"/>
      <c r="Q89" s="215"/>
      <c r="R89" s="215"/>
      <c r="S89" s="215"/>
      <c r="T89" s="215"/>
      <c r="U89" s="215"/>
      <c r="V89" s="215"/>
      <c r="W89" s="215"/>
      <c r="X89" s="215"/>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row>
    <row r="90" spans="1:50" ht="15" customHeight="1">
      <c r="A90" s="76"/>
      <c r="B90" s="74"/>
      <c r="C90" s="215"/>
      <c r="D90" s="215"/>
      <c r="F90" s="76"/>
      <c r="G90" s="76"/>
      <c r="H90" s="76"/>
      <c r="I90" s="76"/>
      <c r="J90" s="76"/>
      <c r="K90" s="76"/>
      <c r="L90" s="215"/>
      <c r="M90" s="215"/>
      <c r="N90" s="215"/>
      <c r="O90" s="215"/>
      <c r="P90" s="215"/>
      <c r="Q90" s="215"/>
      <c r="R90" s="215"/>
      <c r="S90" s="215"/>
      <c r="T90" s="215"/>
      <c r="U90" s="215"/>
      <c r="V90" s="215"/>
      <c r="W90" s="215"/>
      <c r="X90" s="215"/>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row>
    <row r="91" spans="1:50" ht="15" customHeight="1">
      <c r="A91" s="76"/>
      <c r="B91" s="74"/>
      <c r="C91" s="215"/>
      <c r="D91" s="215"/>
      <c r="E91" s="76"/>
      <c r="F91" s="76"/>
      <c r="G91" s="76"/>
      <c r="H91" s="76"/>
      <c r="I91" s="76"/>
      <c r="J91" s="76"/>
      <c r="K91" s="76"/>
      <c r="L91" s="215"/>
      <c r="M91" s="215"/>
      <c r="N91" s="215"/>
      <c r="O91" s="215"/>
      <c r="P91" s="215"/>
      <c r="Q91" s="215"/>
      <c r="R91" s="215"/>
      <c r="S91" s="215"/>
      <c r="T91" s="215"/>
      <c r="U91" s="215"/>
      <c r="V91" s="215"/>
      <c r="W91" s="215"/>
      <c r="X91" s="215"/>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row>
    <row r="92" spans="1:50" ht="15" customHeight="1">
      <c r="A92" s="76"/>
      <c r="B92" s="74"/>
      <c r="C92" s="215"/>
      <c r="D92" s="215"/>
      <c r="E92" s="76"/>
      <c r="F92" s="76"/>
      <c r="G92" s="76"/>
      <c r="H92" s="76"/>
      <c r="I92" s="76"/>
      <c r="J92" s="76"/>
      <c r="K92" s="76"/>
      <c r="L92" s="215"/>
      <c r="M92" s="215"/>
      <c r="N92" s="215"/>
      <c r="O92" s="215"/>
      <c r="P92" s="215"/>
      <c r="Q92" s="215"/>
      <c r="R92" s="215"/>
      <c r="S92" s="215"/>
      <c r="T92" s="215"/>
      <c r="U92" s="215"/>
      <c r="V92" s="215"/>
      <c r="W92" s="215"/>
      <c r="X92" s="215"/>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row>
    <row r="93" spans="1:50" ht="15" customHeight="1">
      <c r="A93" s="76"/>
      <c r="B93" s="74"/>
      <c r="C93" s="215"/>
      <c r="D93" s="215"/>
      <c r="E93" s="76"/>
      <c r="F93" s="76"/>
      <c r="G93" s="76"/>
      <c r="H93" s="76"/>
      <c r="I93" s="76"/>
      <c r="J93" s="76"/>
      <c r="K93" s="76"/>
      <c r="L93" s="215"/>
      <c r="M93" s="215"/>
      <c r="N93" s="215"/>
      <c r="O93" s="215"/>
      <c r="P93" s="215"/>
      <c r="Q93" s="215"/>
      <c r="R93" s="215"/>
      <c r="S93" s="215"/>
      <c r="T93" s="215"/>
      <c r="U93" s="215"/>
      <c r="V93" s="215"/>
      <c r="W93" s="215"/>
      <c r="X93" s="215"/>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row>
    <row r="94" spans="1:50" ht="15" customHeight="1">
      <c r="A94" s="76"/>
      <c r="B94" s="74"/>
      <c r="C94" s="215"/>
      <c r="D94" s="215"/>
      <c r="E94" s="76"/>
      <c r="F94" s="76"/>
      <c r="G94" s="76"/>
      <c r="H94" s="76"/>
      <c r="I94" s="76"/>
      <c r="J94" s="76"/>
      <c r="K94" s="76"/>
      <c r="L94" s="215"/>
      <c r="M94" s="215"/>
      <c r="N94" s="215"/>
      <c r="O94" s="215"/>
      <c r="P94" s="215"/>
      <c r="Q94" s="215"/>
      <c r="R94" s="215"/>
      <c r="S94" s="215"/>
      <c r="T94" s="215"/>
      <c r="U94" s="215"/>
      <c r="V94" s="215"/>
      <c r="W94" s="215"/>
      <c r="X94" s="215"/>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row>
    <row r="95" spans="1:50" ht="15" customHeight="1">
      <c r="A95" s="76"/>
      <c r="B95" s="74"/>
      <c r="C95" s="215"/>
      <c r="D95" s="215"/>
      <c r="E95" s="76"/>
      <c r="F95" s="76"/>
      <c r="G95" s="76"/>
      <c r="H95" s="76"/>
      <c r="I95" s="76"/>
      <c r="J95" s="76"/>
      <c r="K95" s="76"/>
      <c r="L95" s="215"/>
      <c r="M95" s="215"/>
      <c r="N95" s="215"/>
      <c r="O95" s="215"/>
      <c r="P95" s="215"/>
      <c r="Q95" s="215"/>
      <c r="R95" s="215"/>
      <c r="S95" s="215"/>
      <c r="T95" s="215"/>
      <c r="U95" s="215"/>
      <c r="V95" s="215"/>
      <c r="W95" s="215"/>
      <c r="X95" s="215"/>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row>
    <row r="96" spans="1:50" ht="15" customHeight="1">
      <c r="A96" s="76"/>
      <c r="B96" s="74"/>
      <c r="C96" s="215"/>
      <c r="D96" s="215"/>
      <c r="E96" s="76"/>
      <c r="F96" s="76"/>
      <c r="G96" s="76"/>
      <c r="H96" s="76"/>
      <c r="I96" s="76"/>
      <c r="J96" s="76"/>
      <c r="K96" s="76"/>
      <c r="L96" s="215"/>
      <c r="M96" s="215"/>
      <c r="N96" s="215"/>
      <c r="O96" s="215"/>
      <c r="P96" s="215"/>
      <c r="Q96" s="215"/>
      <c r="R96" s="215"/>
      <c r="S96" s="215"/>
      <c r="T96" s="215"/>
      <c r="U96" s="215"/>
      <c r="V96" s="215"/>
      <c r="W96" s="215"/>
      <c r="X96" s="215"/>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row>
    <row r="97" spans="1:50" ht="15" customHeight="1">
      <c r="A97" s="46"/>
      <c r="B97" s="116"/>
      <c r="C97" s="85"/>
      <c r="D97" s="85"/>
      <c r="E97" s="46"/>
      <c r="F97" s="46"/>
      <c r="G97" s="46"/>
      <c r="H97" s="46"/>
      <c r="I97" s="46"/>
      <c r="J97" s="46"/>
      <c r="K97" s="46"/>
      <c r="L97" s="85"/>
      <c r="M97" s="85"/>
      <c r="N97" s="85"/>
      <c r="O97" s="85"/>
      <c r="P97" s="85"/>
      <c r="Q97" s="85"/>
      <c r="R97" s="85"/>
      <c r="S97" s="85"/>
      <c r="T97" s="85"/>
      <c r="U97" s="85"/>
      <c r="V97" s="85"/>
      <c r="W97" s="85"/>
      <c r="X97" s="85"/>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row>
    <row r="98" spans="1:50" ht="15" customHeight="1">
      <c r="A98" s="76"/>
      <c r="B98" s="74"/>
      <c r="C98" s="215"/>
      <c r="D98" s="215"/>
      <c r="E98" s="76"/>
      <c r="F98" s="76"/>
      <c r="G98" s="76"/>
      <c r="H98" s="76"/>
      <c r="I98" s="76"/>
      <c r="J98" s="76"/>
      <c r="K98" s="76"/>
      <c r="L98" s="215"/>
      <c r="M98" s="215"/>
      <c r="N98" s="215"/>
      <c r="O98" s="215"/>
      <c r="P98" s="215"/>
      <c r="Q98" s="215"/>
      <c r="R98" s="215"/>
      <c r="S98" s="215"/>
      <c r="T98" s="215"/>
      <c r="U98" s="215"/>
      <c r="V98" s="215"/>
      <c r="W98" s="215"/>
      <c r="X98" s="215"/>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row>
    <row r="99" spans="1:50" ht="15" customHeight="1">
      <c r="A99" s="76"/>
      <c r="B99" s="74"/>
      <c r="C99" s="215"/>
      <c r="D99" s="215"/>
      <c r="E99" s="76"/>
      <c r="F99" s="76"/>
      <c r="G99" s="76"/>
      <c r="H99" s="76"/>
      <c r="I99" s="76"/>
      <c r="J99" s="76"/>
      <c r="K99" s="76"/>
      <c r="L99" s="215"/>
      <c r="M99" s="215"/>
      <c r="N99" s="215"/>
      <c r="O99" s="215"/>
      <c r="P99" s="215"/>
      <c r="Q99" s="215"/>
      <c r="R99" s="215"/>
      <c r="S99" s="215"/>
      <c r="T99" s="215"/>
      <c r="U99" s="215"/>
      <c r="V99" s="215"/>
      <c r="W99" s="215"/>
      <c r="X99" s="215"/>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row>
    <row r="100" spans="1:50" ht="15" customHeight="1">
      <c r="A100" s="76"/>
      <c r="B100" s="74"/>
      <c r="C100" s="215"/>
      <c r="D100" s="215"/>
      <c r="E100" s="76"/>
      <c r="F100" s="76"/>
      <c r="G100" s="76"/>
      <c r="H100" s="76"/>
      <c r="I100" s="76"/>
      <c r="J100" s="76"/>
      <c r="K100" s="76"/>
      <c r="L100" s="215"/>
      <c r="M100" s="215"/>
      <c r="N100" s="215"/>
      <c r="O100" s="215"/>
      <c r="P100" s="215"/>
      <c r="Q100" s="215"/>
      <c r="R100" s="215"/>
      <c r="S100" s="215"/>
      <c r="T100" s="215"/>
      <c r="U100" s="215"/>
      <c r="V100" s="215"/>
      <c r="W100" s="215"/>
      <c r="X100" s="215"/>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row>
    <row r="101" spans="1:50" ht="15" customHeight="1">
      <c r="A101" s="76"/>
      <c r="B101" s="74"/>
      <c r="C101" s="215"/>
      <c r="D101" s="215"/>
      <c r="E101" s="76"/>
      <c r="F101" s="76"/>
      <c r="G101" s="76"/>
      <c r="H101" s="76"/>
      <c r="I101" s="76"/>
      <c r="J101" s="76"/>
      <c r="K101" s="76"/>
      <c r="L101" s="215"/>
      <c r="M101" s="215"/>
      <c r="N101" s="215"/>
      <c r="O101" s="215"/>
      <c r="P101" s="215"/>
      <c r="Q101" s="215"/>
      <c r="R101" s="215"/>
      <c r="S101" s="215"/>
      <c r="T101" s="215"/>
      <c r="U101" s="215"/>
      <c r="V101" s="215"/>
      <c r="W101" s="215"/>
      <c r="X101" s="215"/>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row>
    <row r="102" spans="1:50" ht="15" customHeight="1">
      <c r="A102" s="76"/>
      <c r="B102" s="74"/>
      <c r="C102" s="215"/>
      <c r="D102" s="215"/>
      <c r="E102" s="76"/>
      <c r="F102" s="76"/>
      <c r="G102" s="76"/>
      <c r="H102" s="76"/>
      <c r="I102" s="76"/>
      <c r="J102" s="76"/>
      <c r="K102" s="76"/>
      <c r="L102" s="215"/>
      <c r="M102" s="215"/>
      <c r="N102" s="215"/>
      <c r="O102" s="215"/>
      <c r="P102" s="215"/>
      <c r="Q102" s="215"/>
      <c r="R102" s="215"/>
      <c r="S102" s="215"/>
      <c r="T102" s="215"/>
      <c r="U102" s="215"/>
      <c r="V102" s="215"/>
      <c r="W102" s="215"/>
      <c r="X102" s="215"/>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row>
    <row r="103" spans="1:50" ht="15" customHeight="1">
      <c r="A103" s="76"/>
      <c r="B103" s="74"/>
      <c r="C103" s="215"/>
      <c r="D103" s="215"/>
      <c r="E103" s="76"/>
      <c r="F103" s="76"/>
      <c r="G103" s="76"/>
      <c r="H103" s="76"/>
      <c r="I103" s="76"/>
      <c r="J103" s="76"/>
      <c r="K103" s="76"/>
      <c r="L103" s="215"/>
      <c r="M103" s="215"/>
      <c r="N103" s="215"/>
      <c r="O103" s="215"/>
      <c r="P103" s="215"/>
      <c r="Q103" s="215"/>
      <c r="R103" s="215"/>
      <c r="S103" s="215"/>
      <c r="T103" s="215"/>
      <c r="U103" s="215"/>
      <c r="V103" s="215"/>
      <c r="W103" s="215"/>
      <c r="X103" s="215"/>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row>
    <row r="104" spans="1:50" ht="15" customHeight="1">
      <c r="A104" s="76"/>
      <c r="B104" s="74"/>
      <c r="C104" s="215"/>
      <c r="D104" s="215"/>
      <c r="E104" s="76"/>
      <c r="F104" s="76"/>
      <c r="G104" s="76"/>
      <c r="H104" s="76"/>
      <c r="I104" s="76"/>
      <c r="J104" s="76"/>
      <c r="K104" s="76"/>
      <c r="L104" s="215"/>
      <c r="M104" s="215"/>
      <c r="N104" s="215"/>
      <c r="O104" s="215"/>
      <c r="P104" s="215"/>
      <c r="Q104" s="215"/>
      <c r="R104" s="215"/>
      <c r="S104" s="215"/>
      <c r="T104" s="215"/>
      <c r="U104" s="215"/>
      <c r="V104" s="215"/>
      <c r="W104" s="215"/>
      <c r="X104" s="215"/>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row>
    <row r="105" spans="1:50" ht="15" customHeight="1">
      <c r="A105" s="76"/>
      <c r="B105" s="74"/>
      <c r="C105" s="215"/>
      <c r="D105" s="215"/>
      <c r="E105" s="76"/>
      <c r="F105" s="76"/>
      <c r="G105" s="76"/>
      <c r="H105" s="76"/>
      <c r="I105" s="76"/>
      <c r="J105" s="76"/>
      <c r="K105" s="76"/>
      <c r="L105" s="215"/>
      <c r="M105" s="215"/>
      <c r="N105" s="215"/>
      <c r="O105" s="215"/>
      <c r="P105" s="215"/>
      <c r="Q105" s="215"/>
      <c r="R105" s="215"/>
      <c r="S105" s="215"/>
      <c r="T105" s="215"/>
      <c r="U105" s="215"/>
      <c r="V105" s="215"/>
      <c r="W105" s="215"/>
      <c r="X105" s="215"/>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row>
    <row r="106" spans="1:50" ht="15" customHeight="1">
      <c r="A106" s="76"/>
      <c r="B106" s="74"/>
      <c r="C106" s="215"/>
      <c r="D106" s="215"/>
      <c r="E106" s="76"/>
      <c r="F106" s="76"/>
      <c r="G106" s="76"/>
      <c r="H106" s="76"/>
      <c r="I106" s="76"/>
      <c r="J106" s="76"/>
      <c r="K106" s="76"/>
      <c r="L106" s="215"/>
      <c r="M106" s="215"/>
      <c r="N106" s="215"/>
      <c r="O106" s="215"/>
      <c r="P106" s="215"/>
      <c r="Q106" s="215"/>
      <c r="R106" s="215"/>
      <c r="S106" s="215"/>
      <c r="T106" s="215"/>
      <c r="U106" s="215"/>
      <c r="V106" s="215"/>
      <c r="W106" s="215"/>
      <c r="X106" s="215"/>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row>
    <row r="107" spans="1:50" ht="15" customHeight="1">
      <c r="A107" s="76"/>
      <c r="B107" s="74"/>
      <c r="C107" s="215"/>
      <c r="D107" s="215"/>
      <c r="E107" s="76"/>
      <c r="F107" s="76"/>
      <c r="G107" s="76"/>
      <c r="H107" s="76"/>
      <c r="I107" s="76"/>
      <c r="J107" s="76"/>
      <c r="K107" s="76"/>
      <c r="L107" s="215"/>
      <c r="M107" s="215"/>
      <c r="N107" s="215"/>
      <c r="O107" s="215"/>
      <c r="P107" s="215"/>
      <c r="Q107" s="215"/>
      <c r="R107" s="215"/>
      <c r="S107" s="215"/>
      <c r="T107" s="215"/>
      <c r="U107" s="215"/>
      <c r="V107" s="215"/>
      <c r="W107" s="215"/>
      <c r="X107" s="215"/>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row>
    <row r="108" spans="1:50" ht="15" customHeight="1">
      <c r="A108" s="76"/>
      <c r="B108" s="74"/>
      <c r="C108" s="215"/>
      <c r="D108" s="215"/>
      <c r="E108" s="76"/>
      <c r="F108" s="76"/>
      <c r="G108" s="76"/>
      <c r="H108" s="76"/>
      <c r="I108" s="76"/>
      <c r="J108" s="76"/>
      <c r="K108" s="76"/>
      <c r="L108" s="215"/>
      <c r="M108" s="215"/>
      <c r="N108" s="215"/>
      <c r="O108" s="215"/>
      <c r="P108" s="215"/>
      <c r="Q108" s="215"/>
      <c r="R108" s="215"/>
      <c r="S108" s="215"/>
      <c r="T108" s="215"/>
      <c r="U108" s="215"/>
      <c r="V108" s="215"/>
      <c r="W108" s="215"/>
      <c r="X108" s="215"/>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row>
    <row r="109" spans="1:50" ht="15" customHeight="1">
      <c r="A109" s="41"/>
      <c r="B109" s="112"/>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row>
    <row r="110" spans="1:50" ht="15" customHeight="1">
      <c r="A110" s="41"/>
      <c r="B110" s="112"/>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row>
    <row r="111" spans="1:50" ht="15" customHeight="1">
      <c r="A111" s="41"/>
      <c r="B111" s="112"/>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row>
    <row r="112" spans="1:50" ht="15" customHeight="1">
      <c r="A112" s="86" t="str">
        <f>Translate!E311</f>
        <v>Production Versus Unit Operating Costs</v>
      </c>
      <c r="B112" s="86"/>
      <c r="C112" s="86"/>
      <c r="D112" s="86"/>
      <c r="E112" s="88"/>
      <c r="F112" s="86"/>
      <c r="G112" s="86"/>
      <c r="H112" s="86"/>
      <c r="I112" s="86"/>
      <c r="J112" s="86"/>
      <c r="K112" s="86"/>
      <c r="L112" s="86"/>
      <c r="M112" s="86"/>
      <c r="N112" s="86"/>
      <c r="O112" s="86"/>
      <c r="P112" s="86"/>
      <c r="Q112" s="86"/>
      <c r="R112" s="86"/>
      <c r="S112" s="86"/>
      <c r="T112" s="86"/>
      <c r="U112" s="86"/>
      <c r="V112" s="86"/>
      <c r="W112" s="86"/>
      <c r="X112" s="86"/>
      <c r="Y112" s="86"/>
      <c r="Z112" s="86"/>
      <c r="AA112" s="86"/>
      <c r="AB112" s="86"/>
      <c r="AC112" s="86"/>
      <c r="AD112" s="86"/>
      <c r="AE112" s="86"/>
      <c r="AF112" s="86"/>
      <c r="AG112" s="86"/>
      <c r="AH112" s="86"/>
      <c r="AI112" s="86"/>
      <c r="AJ112" s="86"/>
      <c r="AK112" s="86"/>
      <c r="AL112" s="86"/>
      <c r="AM112" s="86"/>
      <c r="AN112" s="86"/>
      <c r="AO112" s="86"/>
      <c r="AP112" s="86"/>
      <c r="AQ112" s="86"/>
      <c r="AR112" s="86"/>
      <c r="AS112" s="86"/>
      <c r="AT112" s="86"/>
      <c r="AU112" s="86"/>
      <c r="AV112" s="86"/>
      <c r="AW112" s="86"/>
      <c r="AX112" s="86"/>
    </row>
    <row r="113" spans="1:50" ht="15" customHeight="1">
      <c r="A113" s="76"/>
      <c r="B113" s="74"/>
      <c r="C113" s="76"/>
      <c r="D113" s="76"/>
      <c r="E113" s="76"/>
      <c r="F113" s="76"/>
      <c r="G113" s="76"/>
      <c r="H113" s="76"/>
      <c r="I113" s="76"/>
      <c r="J113" s="76"/>
      <c r="K113" s="76"/>
      <c r="L113" s="76"/>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row>
    <row r="114" spans="1:50" ht="15" customHeight="1">
      <c r="A114" s="99"/>
      <c r="B114" s="100"/>
      <c r="C114" s="102"/>
      <c r="D114" s="102"/>
      <c r="E114" s="4" t="str">
        <f>Translate!$E$498</f>
        <v>Chart title</v>
      </c>
      <c r="F114" s="212" t="str">
        <f xml:space="preserve"> A112</f>
        <v>Production Versus Unit Operating Costs</v>
      </c>
      <c r="G114" s="103"/>
      <c r="H114" s="103"/>
      <c r="I114" s="103"/>
      <c r="J114" s="103"/>
      <c r="K114" s="110"/>
      <c r="L114" s="102"/>
      <c r="M114" s="111"/>
      <c r="N114" s="111"/>
      <c r="O114" s="111"/>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row>
    <row r="115" spans="1:50" ht="15" customHeight="1">
      <c r="A115" s="41"/>
      <c r="B115" s="112"/>
      <c r="C115" s="41"/>
      <c r="D115" s="41"/>
      <c r="E115" s="4" t="str">
        <f>Translate!$E$500</f>
        <v>Horizontal axis</v>
      </c>
      <c r="F115" s="54" t="str">
        <f xml:space="preserve"> G125</f>
        <v>Years</v>
      </c>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row>
    <row r="116" spans="1:50" ht="15" customHeight="1">
      <c r="A116" s="41"/>
      <c r="B116" s="112"/>
      <c r="C116" s="41"/>
      <c r="D116" s="41"/>
      <c r="E116" s="4" t="str">
        <f>Translate!$E$499 &amp; " 1"</f>
        <v>Vertical axis 1</v>
      </c>
      <c r="F116" s="54" t="str">
        <f ca="1" xml:space="preserve"> Translate!E$9 &amp; " / " &amp; F121 &amp; " $" &amp; F123</f>
        <v>US$ / ounce $2021</v>
      </c>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row>
    <row r="117" spans="1:50" ht="15" customHeight="1">
      <c r="A117" s="41"/>
      <c r="B117" s="112"/>
      <c r="C117" s="41"/>
      <c r="D117" s="41"/>
      <c r="E117" s="4" t="str">
        <f>Translate!$E$499 &amp; " 2"</f>
        <v>Vertical axis 2</v>
      </c>
      <c r="F117" s="54" t="str">
        <f ca="1">G127</f>
        <v>000 ounce</v>
      </c>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row>
    <row r="118" spans="1:50" ht="15" customHeight="1">
      <c r="A118" s="41"/>
      <c r="B118" s="112"/>
      <c r="C118" s="41"/>
      <c r="D118" s="41"/>
      <c r="E118" s="41"/>
      <c r="F118" s="54"/>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row>
    <row r="119" spans="1:50" ht="15" customHeight="1">
      <c r="A119" s="41"/>
      <c r="B119" s="112"/>
      <c r="C119" s="41"/>
      <c r="D119" s="41"/>
      <c r="E119" s="41"/>
      <c r="F119"/>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row>
    <row r="120" spans="1:50" ht="15" customHeight="1">
      <c r="A120" s="41"/>
      <c r="B120" s="112"/>
      <c r="C120" s="41"/>
      <c r="D120" s="41"/>
      <c r="E120" s="192" t="str">
        <f xml:space="preserve"> ProjectCashflows!E$9</f>
        <v>Mineral</v>
      </c>
      <c r="F120" s="192" t="str">
        <f ca="1" xml:space="preserve"> ProjectCashflows!F$9</f>
        <v>Gold</v>
      </c>
      <c r="G120" s="192" t="str">
        <f xml:space="preserve"> ProjectCashflows!G$9</f>
        <v>Label</v>
      </c>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row>
    <row r="121" spans="1:50" ht="15" customHeight="1">
      <c r="A121" s="41"/>
      <c r="B121" s="112"/>
      <c r="C121" s="41"/>
      <c r="D121" s="41"/>
      <c r="E121" s="192" t="str">
        <f xml:space="preserve"> ProjectCashflows!E$10</f>
        <v>Mineral units</v>
      </c>
      <c r="F121" s="192" t="str">
        <f ca="1" xml:space="preserve"> ProjectCashflows!F$10</f>
        <v>ounce</v>
      </c>
      <c r="G121" s="192" t="str">
        <f xml:space="preserve"> ProjectCashflows!G$10</f>
        <v>Units</v>
      </c>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row>
    <row r="122" spans="1:50" ht="15" customHeight="1">
      <c r="A122" s="41"/>
      <c r="B122" s="112"/>
      <c r="C122" s="41"/>
      <c r="D122" s="41"/>
      <c r="E122" s="192" t="str">
        <f xml:space="preserve"> Inputs!E$76</f>
        <v>one thousand</v>
      </c>
      <c r="F122" s="192">
        <f xml:space="preserve"> Inputs!F$76</f>
        <v>1000</v>
      </c>
      <c r="G122" s="192" t="str">
        <f xml:space="preserve"> Inputs!G$76</f>
        <v>Constant</v>
      </c>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row>
    <row r="123" spans="1:50" s="315" customFormat="1" ht="15" customHeight="1">
      <c r="A123" s="915"/>
      <c r="B123" s="923"/>
      <c r="C123" s="915"/>
      <c r="D123" s="915"/>
      <c r="E123" s="314" t="str">
        <f xml:space="preserve"> Inputs!E$51</f>
        <v>Model first calendar year</v>
      </c>
      <c r="F123" s="314">
        <f xml:space="preserve"> Inputs!F$51</f>
        <v>2021</v>
      </c>
      <c r="G123" s="314" t="str">
        <f xml:space="preserve"> Inputs!G$51</f>
        <v>Calendar year</v>
      </c>
      <c r="H123" s="915"/>
      <c r="I123" s="915"/>
      <c r="J123" s="915"/>
      <c r="K123" s="915"/>
      <c r="L123" s="915"/>
      <c r="M123" s="915"/>
      <c r="N123" s="915"/>
      <c r="O123" s="915"/>
      <c r="P123" s="915"/>
      <c r="Q123" s="915"/>
      <c r="R123" s="915"/>
      <c r="S123" s="915"/>
      <c r="T123" s="915"/>
      <c r="U123" s="915"/>
      <c r="V123" s="915"/>
      <c r="W123" s="915"/>
      <c r="X123" s="915"/>
      <c r="Y123" s="915"/>
      <c r="Z123" s="915"/>
      <c r="AA123" s="915"/>
      <c r="AB123" s="915"/>
      <c r="AC123" s="915"/>
      <c r="AD123" s="915"/>
      <c r="AE123" s="915"/>
      <c r="AF123" s="915"/>
      <c r="AG123" s="915"/>
      <c r="AH123" s="915"/>
      <c r="AI123" s="915"/>
      <c r="AJ123" s="915"/>
      <c r="AK123" s="915"/>
      <c r="AL123" s="915"/>
      <c r="AM123" s="915"/>
      <c r="AN123" s="915"/>
      <c r="AO123" s="915"/>
      <c r="AP123" s="915"/>
      <c r="AQ123" s="915"/>
      <c r="AR123" s="915"/>
      <c r="AS123" s="915"/>
      <c r="AT123" s="915"/>
      <c r="AU123" s="915"/>
      <c r="AV123" s="915"/>
      <c r="AW123" s="915"/>
      <c r="AX123" s="915"/>
    </row>
    <row r="124" spans="1:50" ht="15" customHeight="1">
      <c r="A124" s="41"/>
      <c r="B124" s="112"/>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row>
    <row r="125" spans="1:50" s="275" customFormat="1" ht="15" customHeight="1">
      <c r="A125" s="484"/>
      <c r="B125" s="924"/>
      <c r="C125" s="484"/>
      <c r="D125" s="484"/>
      <c r="E125" s="314" t="str">
        <f xml:space="preserve"> ProjectCashflows!E$48</f>
        <v>Model calendar years</v>
      </c>
      <c r="F125" s="314">
        <f xml:space="preserve"> ProjectCashflows!F$48</f>
        <v>0</v>
      </c>
      <c r="G125" s="314" t="str">
        <f xml:space="preserve"> ProjectCashflows!G$48</f>
        <v>Years</v>
      </c>
      <c r="H125" s="314">
        <f xml:space="preserve"> ProjectCashflows!H$48</f>
        <v>0</v>
      </c>
      <c r="I125" s="314">
        <f xml:space="preserve"> ProjectCashflows!I$48</f>
        <v>0</v>
      </c>
      <c r="J125" s="314">
        <f xml:space="preserve"> ProjectCashflows!J$48</f>
        <v>0</v>
      </c>
      <c r="K125" s="482">
        <f xml:space="preserve"> ProjectCashflows!K$48</f>
        <v>2021</v>
      </c>
      <c r="L125" s="482">
        <f xml:space="preserve"> ProjectCashflows!L$48</f>
        <v>2022</v>
      </c>
      <c r="M125" s="482">
        <f xml:space="preserve"> ProjectCashflows!M$48</f>
        <v>2023</v>
      </c>
      <c r="N125" s="482">
        <f xml:space="preserve"> ProjectCashflows!N$48</f>
        <v>2024</v>
      </c>
      <c r="O125" s="482">
        <f xml:space="preserve"> ProjectCashflows!O$48</f>
        <v>2025</v>
      </c>
      <c r="P125" s="482">
        <f xml:space="preserve"> ProjectCashflows!P$48</f>
        <v>2026</v>
      </c>
      <c r="Q125" s="482">
        <f xml:space="preserve"> ProjectCashflows!Q$48</f>
        <v>2027</v>
      </c>
      <c r="R125" s="482">
        <f xml:space="preserve"> ProjectCashflows!R$48</f>
        <v>2028</v>
      </c>
      <c r="S125" s="482">
        <f xml:space="preserve"> ProjectCashflows!S$48</f>
        <v>2029</v>
      </c>
      <c r="T125" s="482">
        <f xml:space="preserve"> ProjectCashflows!T$48</f>
        <v>2030</v>
      </c>
      <c r="U125" s="482">
        <f xml:space="preserve"> ProjectCashflows!U$48</f>
        <v>2031</v>
      </c>
      <c r="V125" s="482">
        <f xml:space="preserve"> ProjectCashflows!V$48</f>
        <v>2032</v>
      </c>
      <c r="W125" s="482">
        <f xml:space="preserve"> ProjectCashflows!W$48</f>
        <v>2033</v>
      </c>
      <c r="X125" s="482">
        <f xml:space="preserve"> ProjectCashflows!X$48</f>
        <v>2034</v>
      </c>
      <c r="Y125" s="482">
        <f xml:space="preserve"> ProjectCashflows!Y$48</f>
        <v>2035</v>
      </c>
      <c r="Z125" s="482">
        <f xml:space="preserve"> ProjectCashflows!Z$48</f>
        <v>2036</v>
      </c>
      <c r="AA125" s="482">
        <f xml:space="preserve"> ProjectCashflows!AA$48</f>
        <v>2037</v>
      </c>
      <c r="AB125" s="482">
        <f xml:space="preserve"> ProjectCashflows!AB$48</f>
        <v>2038</v>
      </c>
      <c r="AC125" s="482">
        <f xml:space="preserve"> ProjectCashflows!AC$48</f>
        <v>2039</v>
      </c>
      <c r="AD125" s="482">
        <f xml:space="preserve"> ProjectCashflows!AD$48</f>
        <v>2040</v>
      </c>
      <c r="AE125" s="482">
        <f xml:space="preserve"> ProjectCashflows!AE$48</f>
        <v>2041</v>
      </c>
      <c r="AF125" s="482">
        <f xml:space="preserve"> ProjectCashflows!AF$48</f>
        <v>2042</v>
      </c>
      <c r="AG125" s="482">
        <f xml:space="preserve"> ProjectCashflows!AG$48</f>
        <v>2043</v>
      </c>
      <c r="AH125" s="482">
        <f xml:space="preserve"> ProjectCashflows!AH$48</f>
        <v>2044</v>
      </c>
      <c r="AI125" s="482">
        <f xml:space="preserve"> ProjectCashflows!AI$48</f>
        <v>2045</v>
      </c>
      <c r="AJ125" s="482">
        <f xml:space="preserve"> ProjectCashflows!AJ$48</f>
        <v>2046</v>
      </c>
      <c r="AK125" s="482">
        <f xml:space="preserve"> ProjectCashflows!AK$48</f>
        <v>2047</v>
      </c>
      <c r="AL125" s="482">
        <f xml:space="preserve"> ProjectCashflows!AL$48</f>
        <v>2048</v>
      </c>
      <c r="AM125" s="482">
        <f xml:space="preserve"> ProjectCashflows!AM$48</f>
        <v>2049</v>
      </c>
      <c r="AN125" s="482">
        <f xml:space="preserve"> ProjectCashflows!AN$48</f>
        <v>2050</v>
      </c>
      <c r="AO125" s="482">
        <f xml:space="preserve"> ProjectCashflows!AO$48</f>
        <v>2051</v>
      </c>
      <c r="AP125" s="482">
        <f xml:space="preserve"> ProjectCashflows!AP$48</f>
        <v>2052</v>
      </c>
      <c r="AQ125" s="482">
        <f xml:space="preserve"> ProjectCashflows!AQ$48</f>
        <v>2053</v>
      </c>
      <c r="AR125" s="482">
        <f xml:space="preserve"> ProjectCashflows!AR$48</f>
        <v>2054</v>
      </c>
      <c r="AS125" s="482">
        <f xml:space="preserve"> ProjectCashflows!AS$48</f>
        <v>2055</v>
      </c>
      <c r="AT125" s="482">
        <f xml:space="preserve"> ProjectCashflows!AT$48</f>
        <v>2056</v>
      </c>
      <c r="AU125" s="482">
        <f xml:space="preserve"> ProjectCashflows!AU$48</f>
        <v>2057</v>
      </c>
      <c r="AV125" s="482">
        <f xml:space="preserve"> ProjectCashflows!AV$48</f>
        <v>2058</v>
      </c>
      <c r="AW125" s="482">
        <f xml:space="preserve"> ProjectCashflows!AW$48</f>
        <v>2059</v>
      </c>
      <c r="AX125" s="482">
        <f xml:space="preserve"> ProjectCashflows!AX$48</f>
        <v>2060</v>
      </c>
    </row>
    <row r="126" spans="1:50" ht="15" customHeight="1">
      <c r="A126" s="41"/>
      <c r="B126" s="112"/>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row>
    <row r="127" spans="1:50" ht="15" customHeight="1">
      <c r="A127" s="41"/>
      <c r="B127" s="112"/>
      <c r="C127" s="41"/>
      <c r="D127" s="41"/>
      <c r="E127" s="192" t="str">
        <f ca="1" xml:space="preserve"> ProjectCashflows!E$143</f>
        <v>Gold sales, after ELT</v>
      </c>
      <c r="F127" s="192">
        <f xml:space="preserve"> ProjectCashflows!F$143</f>
        <v>0</v>
      </c>
      <c r="G127" s="192" t="str">
        <f ca="1" xml:space="preserve"> ProjectCashflows!G$143</f>
        <v>000 ounce</v>
      </c>
      <c r="H127" s="192">
        <f xml:space="preserve"> ProjectCashflows!H$143</f>
        <v>0</v>
      </c>
      <c r="I127" s="192">
        <f ca="1" xml:space="preserve"> ProjectCashflows!I$143</f>
        <v>2000</v>
      </c>
      <c r="J127" s="192">
        <f xml:space="preserve"> ProjectCashflows!J$143</f>
        <v>0</v>
      </c>
      <c r="K127" s="192">
        <f ca="1" xml:space="preserve"> ProjectCashflows!K$143</f>
        <v>0</v>
      </c>
      <c r="L127" s="192">
        <f ca="1" xml:space="preserve"> ProjectCashflows!L$143</f>
        <v>0</v>
      </c>
      <c r="M127" s="192">
        <f ca="1" xml:space="preserve"> ProjectCashflows!M$143</f>
        <v>0</v>
      </c>
      <c r="N127" s="192">
        <f ca="1" xml:space="preserve"> ProjectCashflows!N$143</f>
        <v>0</v>
      </c>
      <c r="O127" s="192">
        <f ca="1" xml:space="preserve"> ProjectCashflows!O$143</f>
        <v>10</v>
      </c>
      <c r="P127" s="192">
        <f ca="1" xml:space="preserve"> ProjectCashflows!P$143</f>
        <v>75</v>
      </c>
      <c r="Q127" s="192">
        <f ca="1" xml:space="preserve"> ProjectCashflows!Q$143</f>
        <v>150</v>
      </c>
      <c r="R127" s="192">
        <f ca="1" xml:space="preserve"> ProjectCashflows!R$143</f>
        <v>150</v>
      </c>
      <c r="S127" s="192">
        <f ca="1" xml:space="preserve"> ProjectCashflows!S$143</f>
        <v>150</v>
      </c>
      <c r="T127" s="192">
        <f ca="1" xml:space="preserve"> ProjectCashflows!T$143</f>
        <v>150</v>
      </c>
      <c r="U127" s="192">
        <f ca="1" xml:space="preserve"> ProjectCashflows!U$143</f>
        <v>150</v>
      </c>
      <c r="V127" s="192">
        <f ca="1" xml:space="preserve"> ProjectCashflows!V$143</f>
        <v>150</v>
      </c>
      <c r="W127" s="192">
        <f ca="1" xml:space="preserve"> ProjectCashflows!W$143</f>
        <v>150</v>
      </c>
      <c r="X127" s="192">
        <f ca="1" xml:space="preserve"> ProjectCashflows!X$143</f>
        <v>150</v>
      </c>
      <c r="Y127" s="192">
        <f ca="1" xml:space="preserve"> ProjectCashflows!Y$143</f>
        <v>150</v>
      </c>
      <c r="Z127" s="192">
        <f ca="1" xml:space="preserve"> ProjectCashflows!Z$143</f>
        <v>150</v>
      </c>
      <c r="AA127" s="192">
        <f ca="1" xml:space="preserve"> ProjectCashflows!AA$143</f>
        <v>125</v>
      </c>
      <c r="AB127" s="192">
        <f ca="1" xml:space="preserve"> ProjectCashflows!AB$143</f>
        <v>100</v>
      </c>
      <c r="AC127" s="192">
        <f ca="1" xml:space="preserve"> ProjectCashflows!AC$143</f>
        <v>75</v>
      </c>
      <c r="AD127" s="192">
        <f ca="1" xml:space="preserve"> ProjectCashflows!AD$143</f>
        <v>65</v>
      </c>
      <c r="AE127" s="192">
        <f ca="1" xml:space="preserve"> ProjectCashflows!AE$143</f>
        <v>50</v>
      </c>
      <c r="AF127" s="192">
        <f ca="1" xml:space="preserve"> ProjectCashflows!AF$143</f>
        <v>0</v>
      </c>
      <c r="AG127" s="192">
        <f ca="1" xml:space="preserve"> ProjectCashflows!AG$143</f>
        <v>0</v>
      </c>
      <c r="AH127" s="192">
        <f ca="1" xml:space="preserve"> ProjectCashflows!AH$143</f>
        <v>0</v>
      </c>
      <c r="AI127" s="192">
        <f ca="1" xml:space="preserve"> ProjectCashflows!AI$143</f>
        <v>0</v>
      </c>
      <c r="AJ127" s="192">
        <f ca="1" xml:space="preserve"> ProjectCashflows!AJ$143</f>
        <v>0</v>
      </c>
      <c r="AK127" s="192">
        <f ca="1" xml:space="preserve"> ProjectCashflows!AK$143</f>
        <v>0</v>
      </c>
      <c r="AL127" s="192">
        <f ca="1" xml:space="preserve"> ProjectCashflows!AL$143</f>
        <v>0</v>
      </c>
      <c r="AM127" s="192">
        <f ca="1" xml:space="preserve"> ProjectCashflows!AM$143</f>
        <v>0</v>
      </c>
      <c r="AN127" s="192">
        <f ca="1" xml:space="preserve"> ProjectCashflows!AN$143</f>
        <v>0</v>
      </c>
      <c r="AO127" s="192">
        <f ca="1" xml:space="preserve"> ProjectCashflows!AO$143</f>
        <v>0</v>
      </c>
      <c r="AP127" s="192">
        <f ca="1" xml:space="preserve"> ProjectCashflows!AP$143</f>
        <v>0</v>
      </c>
      <c r="AQ127" s="192">
        <f ca="1" xml:space="preserve"> ProjectCashflows!AQ$143</f>
        <v>0</v>
      </c>
      <c r="AR127" s="192">
        <f ca="1" xml:space="preserve"> ProjectCashflows!AR$143</f>
        <v>0</v>
      </c>
      <c r="AS127" s="192">
        <f ca="1" xml:space="preserve"> ProjectCashflows!AS$143</f>
        <v>0</v>
      </c>
      <c r="AT127" s="192">
        <f ca="1" xml:space="preserve"> ProjectCashflows!AT$143</f>
        <v>0</v>
      </c>
      <c r="AU127" s="192">
        <f ca="1" xml:space="preserve"> ProjectCashflows!AU$143</f>
        <v>0</v>
      </c>
      <c r="AV127" s="192">
        <f ca="1" xml:space="preserve"> ProjectCashflows!AV$143</f>
        <v>0</v>
      </c>
      <c r="AW127" s="192">
        <f ca="1" xml:space="preserve"> ProjectCashflows!AW$143</f>
        <v>0</v>
      </c>
      <c r="AX127" s="192">
        <f ca="1" xml:space="preserve"> ProjectCashflows!AX$143</f>
        <v>0</v>
      </c>
    </row>
    <row r="128" spans="1:50" ht="15" customHeight="1">
      <c r="A128" s="41"/>
      <c r="B128" s="112"/>
      <c r="C128" s="41"/>
      <c r="D128" s="41"/>
      <c r="E128" s="41" t="str">
        <f ca="1" xml:space="preserve"> E127</f>
        <v>Gold sales, after ELT</v>
      </c>
      <c r="F128" s="41"/>
      <c r="G128" s="41" t="str">
        <f xml:space="preserve"> Translate!E$585</f>
        <v>Label</v>
      </c>
      <c r="H128" s="192"/>
      <c r="I128" s="192"/>
      <c r="J128" s="192"/>
      <c r="K128" s="192"/>
      <c r="L128" s="192"/>
      <c r="M128" s="192"/>
      <c r="N128" s="192"/>
      <c r="O128" s="192"/>
      <c r="P128" s="192"/>
      <c r="Q128" s="192"/>
      <c r="R128" s="192"/>
      <c r="S128" s="192"/>
      <c r="T128" s="192"/>
      <c r="U128" s="192"/>
      <c r="V128" s="192"/>
      <c r="W128" s="192"/>
      <c r="X128" s="192"/>
      <c r="Y128" s="192"/>
      <c r="Z128" s="192"/>
      <c r="AA128" s="192"/>
      <c r="AB128" s="192"/>
      <c r="AC128" s="192"/>
      <c r="AD128" s="192"/>
      <c r="AE128" s="192"/>
      <c r="AF128" s="192"/>
      <c r="AG128" s="192"/>
      <c r="AH128" s="192"/>
      <c r="AI128" s="192"/>
      <c r="AJ128" s="192"/>
      <c r="AK128" s="192"/>
      <c r="AL128" s="192"/>
      <c r="AM128" s="192"/>
      <c r="AN128" s="192"/>
      <c r="AO128" s="192"/>
      <c r="AP128" s="192"/>
      <c r="AQ128" s="192"/>
      <c r="AR128" s="192"/>
      <c r="AS128" s="192"/>
      <c r="AT128" s="192"/>
      <c r="AU128" s="192"/>
      <c r="AV128" s="192"/>
      <c r="AW128" s="192"/>
      <c r="AX128" s="192"/>
    </row>
    <row r="129" spans="1:50" ht="15" customHeight="1">
      <c r="A129" s="41"/>
      <c r="B129" s="112"/>
      <c r="C129" s="41"/>
      <c r="D129" s="41"/>
      <c r="E129" s="192" t="str">
        <f xml:space="preserve"> Analysis!E$80</f>
        <v>Operating costs, after ELT</v>
      </c>
      <c r="F129" s="192">
        <f xml:space="preserve"> Analysis!F$80</f>
        <v>0</v>
      </c>
      <c r="G129" s="192" t="str">
        <f xml:space="preserve"> Analysis!G$80</f>
        <v>US$ mn 2021</v>
      </c>
      <c r="H129" s="192">
        <f xml:space="preserve"> Analysis!H$80</f>
        <v>0</v>
      </c>
      <c r="I129" s="192">
        <f ca="1" xml:space="preserve"> Analysis!I$80</f>
        <v>900</v>
      </c>
      <c r="J129" s="192">
        <f xml:space="preserve"> Analysis!J$80</f>
        <v>0</v>
      </c>
      <c r="K129" s="192">
        <f ca="1" xml:space="preserve"> Analysis!K$80</f>
        <v>0</v>
      </c>
      <c r="L129" s="192">
        <f ca="1" xml:space="preserve"> Analysis!L$80</f>
        <v>0</v>
      </c>
      <c r="M129" s="192">
        <f ca="1" xml:space="preserve"> Analysis!M$80</f>
        <v>0</v>
      </c>
      <c r="N129" s="192">
        <f ca="1" xml:space="preserve"> Analysis!N$80</f>
        <v>0</v>
      </c>
      <c r="O129" s="192">
        <f ca="1" xml:space="preserve"> Analysis!O$80</f>
        <v>4.5</v>
      </c>
      <c r="P129" s="192">
        <f ca="1" xml:space="preserve"> Analysis!P$80</f>
        <v>33.75</v>
      </c>
      <c r="Q129" s="192">
        <f ca="1" xml:space="preserve"> Analysis!Q$80</f>
        <v>67.5</v>
      </c>
      <c r="R129" s="192">
        <f ca="1" xml:space="preserve"> Analysis!R$80</f>
        <v>67.5</v>
      </c>
      <c r="S129" s="192">
        <f ca="1" xml:space="preserve"> Analysis!S$80</f>
        <v>67.5</v>
      </c>
      <c r="T129" s="192">
        <f ca="1" xml:space="preserve"> Analysis!T$80</f>
        <v>67.5</v>
      </c>
      <c r="U129" s="192">
        <f ca="1" xml:space="preserve"> Analysis!U$80</f>
        <v>67.5</v>
      </c>
      <c r="V129" s="192">
        <f ca="1" xml:space="preserve"> Analysis!V$80</f>
        <v>67.5</v>
      </c>
      <c r="W129" s="192">
        <f ca="1" xml:space="preserve"> Analysis!W$80</f>
        <v>67.5</v>
      </c>
      <c r="X129" s="192">
        <f ca="1" xml:space="preserve"> Analysis!X$80</f>
        <v>67.5</v>
      </c>
      <c r="Y129" s="192">
        <f ca="1" xml:space="preserve"> Analysis!Y$80</f>
        <v>67.5</v>
      </c>
      <c r="Z129" s="192">
        <f ca="1" xml:space="preserve"> Analysis!Z$80</f>
        <v>67.5</v>
      </c>
      <c r="AA129" s="192">
        <f ca="1" xml:space="preserve"> Analysis!AA$80</f>
        <v>56.250000000000007</v>
      </c>
      <c r="AB129" s="192">
        <f ca="1" xml:space="preserve"> Analysis!AB$80</f>
        <v>45</v>
      </c>
      <c r="AC129" s="192">
        <f ca="1" xml:space="preserve"> Analysis!AC$80</f>
        <v>33.75</v>
      </c>
      <c r="AD129" s="192">
        <f ca="1" xml:space="preserve"> Analysis!AD$80</f>
        <v>29.25</v>
      </c>
      <c r="AE129" s="192">
        <f ca="1" xml:space="preserve"> Analysis!AE$80</f>
        <v>22.5</v>
      </c>
      <c r="AF129" s="192">
        <f ca="1" xml:space="preserve"> Analysis!AF$80</f>
        <v>0</v>
      </c>
      <c r="AG129" s="192">
        <f ca="1" xml:space="preserve"> Analysis!AG$80</f>
        <v>0</v>
      </c>
      <c r="AH129" s="192">
        <f ca="1" xml:space="preserve"> Analysis!AH$80</f>
        <v>0</v>
      </c>
      <c r="AI129" s="192">
        <f ca="1" xml:space="preserve"> Analysis!AI$80</f>
        <v>0</v>
      </c>
      <c r="AJ129" s="192">
        <f ca="1" xml:space="preserve"> Analysis!AJ$80</f>
        <v>0</v>
      </c>
      <c r="AK129" s="192">
        <f ca="1" xml:space="preserve"> Analysis!AK$80</f>
        <v>0</v>
      </c>
      <c r="AL129" s="192">
        <f ca="1" xml:space="preserve"> Analysis!AL$80</f>
        <v>0</v>
      </c>
      <c r="AM129" s="192">
        <f ca="1" xml:space="preserve"> Analysis!AM$80</f>
        <v>0</v>
      </c>
      <c r="AN129" s="192">
        <f ca="1" xml:space="preserve"> Analysis!AN$80</f>
        <v>0</v>
      </c>
      <c r="AO129" s="192">
        <f ca="1" xml:space="preserve"> Analysis!AO$80</f>
        <v>0</v>
      </c>
      <c r="AP129" s="192">
        <f ca="1" xml:space="preserve"> Analysis!AP$80</f>
        <v>0</v>
      </c>
      <c r="AQ129" s="192">
        <f ca="1" xml:space="preserve"> Analysis!AQ$80</f>
        <v>0</v>
      </c>
      <c r="AR129" s="192">
        <f ca="1" xml:space="preserve"> Analysis!AR$80</f>
        <v>0</v>
      </c>
      <c r="AS129" s="192">
        <f ca="1" xml:space="preserve"> Analysis!AS$80</f>
        <v>0</v>
      </c>
      <c r="AT129" s="192">
        <f ca="1" xml:space="preserve"> Analysis!AT$80</f>
        <v>0</v>
      </c>
      <c r="AU129" s="192">
        <f ca="1" xml:space="preserve"> Analysis!AU$80</f>
        <v>0</v>
      </c>
      <c r="AV129" s="192">
        <f ca="1" xml:space="preserve"> Analysis!AV$80</f>
        <v>0</v>
      </c>
      <c r="AW129" s="192">
        <f ca="1" xml:space="preserve"> Analysis!AW$80</f>
        <v>0</v>
      </c>
      <c r="AX129" s="192">
        <f ca="1" xml:space="preserve"> Analysis!AX$80</f>
        <v>0</v>
      </c>
    </row>
    <row r="130" spans="1:50" ht="15" customHeight="1">
      <c r="A130" s="41"/>
      <c r="B130" s="112"/>
      <c r="C130" s="41"/>
      <c r="D130" s="41"/>
      <c r="E130" s="238" t="str">
        <f xml:space="preserve"> Translate!E$756</f>
        <v>Operating unit costs</v>
      </c>
      <c r="F130" s="41"/>
      <c r="G130" s="41" t="str">
        <f ca="1" xml:space="preserve"> Translate!E$9 &amp; " / " &amp; F121 &amp; " $" &amp; F123</f>
        <v>US$ / ounce $2021</v>
      </c>
      <c r="H130" s="41"/>
      <c r="I130" s="41"/>
      <c r="J130" s="41"/>
      <c r="K130" s="41">
        <f t="shared" ref="K130:AX130" ca="1" si="14" xml:space="preserve"> IFERROR( K129 / K127 * $F122, 0)</f>
        <v>0</v>
      </c>
      <c r="L130" s="41">
        <f t="shared" ca="1" si="14"/>
        <v>0</v>
      </c>
      <c r="M130" s="41">
        <f t="shared" ca="1" si="14"/>
        <v>0</v>
      </c>
      <c r="N130" s="41">
        <f t="shared" ca="1" si="14"/>
        <v>0</v>
      </c>
      <c r="O130" s="41">
        <f t="shared" ca="1" si="14"/>
        <v>450</v>
      </c>
      <c r="P130" s="41">
        <f t="shared" ca="1" si="14"/>
        <v>450</v>
      </c>
      <c r="Q130" s="41">
        <f t="shared" ca="1" si="14"/>
        <v>450</v>
      </c>
      <c r="R130" s="41">
        <f t="shared" ca="1" si="14"/>
        <v>450</v>
      </c>
      <c r="S130" s="41">
        <f t="shared" ca="1" si="14"/>
        <v>450</v>
      </c>
      <c r="T130" s="41">
        <f t="shared" ca="1" si="14"/>
        <v>450</v>
      </c>
      <c r="U130" s="41">
        <f t="shared" ca="1" si="14"/>
        <v>450</v>
      </c>
      <c r="V130" s="41">
        <f t="shared" ca="1" si="14"/>
        <v>450</v>
      </c>
      <c r="W130" s="41">
        <f t="shared" ca="1" si="14"/>
        <v>450</v>
      </c>
      <c r="X130" s="41">
        <f t="shared" ca="1" si="14"/>
        <v>450</v>
      </c>
      <c r="Y130" s="41">
        <f t="shared" ca="1" si="14"/>
        <v>450</v>
      </c>
      <c r="Z130" s="41">
        <f t="shared" ca="1" si="14"/>
        <v>450</v>
      </c>
      <c r="AA130" s="41">
        <f t="shared" ca="1" si="14"/>
        <v>450.00000000000006</v>
      </c>
      <c r="AB130" s="41">
        <f t="shared" ca="1" si="14"/>
        <v>450</v>
      </c>
      <c r="AC130" s="41">
        <f t="shared" ca="1" si="14"/>
        <v>450</v>
      </c>
      <c r="AD130" s="41">
        <f t="shared" ca="1" si="14"/>
        <v>450</v>
      </c>
      <c r="AE130" s="41">
        <f t="shared" ca="1" si="14"/>
        <v>450</v>
      </c>
      <c r="AF130" s="41">
        <f t="shared" ca="1" si="14"/>
        <v>0</v>
      </c>
      <c r="AG130" s="41">
        <f t="shared" ca="1" si="14"/>
        <v>0</v>
      </c>
      <c r="AH130" s="41">
        <f t="shared" ca="1" si="14"/>
        <v>0</v>
      </c>
      <c r="AI130" s="41">
        <f t="shared" ca="1" si="14"/>
        <v>0</v>
      </c>
      <c r="AJ130" s="41">
        <f t="shared" ca="1" si="14"/>
        <v>0</v>
      </c>
      <c r="AK130" s="41">
        <f t="shared" ca="1" si="14"/>
        <v>0</v>
      </c>
      <c r="AL130" s="41">
        <f t="shared" ca="1" si="14"/>
        <v>0</v>
      </c>
      <c r="AM130" s="41">
        <f t="shared" ca="1" si="14"/>
        <v>0</v>
      </c>
      <c r="AN130" s="41">
        <f t="shared" ca="1" si="14"/>
        <v>0</v>
      </c>
      <c r="AO130" s="41">
        <f t="shared" ca="1" si="14"/>
        <v>0</v>
      </c>
      <c r="AP130" s="41">
        <f t="shared" ca="1" si="14"/>
        <v>0</v>
      </c>
      <c r="AQ130" s="41">
        <f t="shared" ca="1" si="14"/>
        <v>0</v>
      </c>
      <c r="AR130" s="41">
        <f t="shared" ca="1" si="14"/>
        <v>0</v>
      </c>
      <c r="AS130" s="41">
        <f t="shared" ca="1" si="14"/>
        <v>0</v>
      </c>
      <c r="AT130" s="41">
        <f t="shared" ca="1" si="14"/>
        <v>0</v>
      </c>
      <c r="AU130" s="41">
        <f t="shared" ca="1" si="14"/>
        <v>0</v>
      </c>
      <c r="AV130" s="41">
        <f t="shared" ca="1" si="14"/>
        <v>0</v>
      </c>
      <c r="AW130" s="41">
        <f t="shared" ca="1" si="14"/>
        <v>0</v>
      </c>
      <c r="AX130" s="41">
        <f t="shared" ca="1" si="14"/>
        <v>0</v>
      </c>
    </row>
    <row r="131" spans="1:50" ht="15" customHeight="1">
      <c r="A131" s="41"/>
      <c r="B131" s="112"/>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c r="AA131" s="41"/>
      <c r="AB131" s="41"/>
      <c r="AC131" s="41"/>
      <c r="AD131" s="41"/>
      <c r="AE131" s="41"/>
      <c r="AF131" s="41"/>
      <c r="AG131" s="41"/>
      <c r="AH131" s="41"/>
      <c r="AI131" s="41"/>
      <c r="AJ131" s="41"/>
      <c r="AK131" s="41"/>
      <c r="AL131" s="41"/>
      <c r="AM131" s="41"/>
      <c r="AN131" s="41"/>
      <c r="AO131" s="41"/>
      <c r="AP131" s="41"/>
      <c r="AQ131" s="41"/>
      <c r="AR131" s="41"/>
      <c r="AS131" s="41"/>
      <c r="AT131" s="41"/>
      <c r="AU131" s="41"/>
      <c r="AV131" s="41"/>
      <c r="AW131" s="41"/>
      <c r="AX131" s="41"/>
    </row>
    <row r="132" spans="1:50" ht="15" customHeight="1">
      <c r="A132" s="72"/>
      <c r="B132" s="925"/>
      <c r="C132" s="72"/>
      <c r="D132" s="72"/>
      <c r="E132" s="41"/>
      <c r="F132" s="74"/>
      <c r="G132" s="72"/>
      <c r="H132" s="72"/>
      <c r="I132" s="72"/>
      <c r="J132" s="72"/>
      <c r="K132" s="41"/>
      <c r="L132" s="41"/>
      <c r="M132" s="41"/>
      <c r="N132" s="41"/>
      <c r="O132" s="41"/>
      <c r="P132" s="72"/>
      <c r="Q132" s="72"/>
      <c r="R132" s="72"/>
      <c r="S132" s="72"/>
      <c r="T132" s="72"/>
      <c r="U132" s="72"/>
      <c r="V132" s="72"/>
      <c r="W132" s="72"/>
      <c r="X132" s="72"/>
      <c r="Y132" s="72"/>
      <c r="Z132" s="72"/>
      <c r="AA132" s="72"/>
      <c r="AB132" s="72"/>
      <c r="AC132" s="72"/>
      <c r="AD132" s="72"/>
      <c r="AE132" s="72"/>
      <c r="AF132" s="72"/>
      <c r="AG132" s="72"/>
      <c r="AH132" s="72"/>
      <c r="AI132" s="72"/>
      <c r="AJ132" s="72"/>
      <c r="AK132" s="72"/>
      <c r="AL132" s="72"/>
      <c r="AM132" s="72"/>
      <c r="AN132" s="72"/>
      <c r="AO132" s="72"/>
      <c r="AP132" s="72"/>
      <c r="AQ132" s="72"/>
      <c r="AR132" s="72"/>
      <c r="AS132" s="72"/>
      <c r="AT132" s="72"/>
      <c r="AU132" s="72"/>
      <c r="AV132" s="72"/>
      <c r="AW132" s="72"/>
      <c r="AX132" s="72"/>
    </row>
    <row r="133" spans="1:50" ht="15" customHeight="1">
      <c r="A133" s="72"/>
      <c r="B133" s="925"/>
      <c r="C133" s="72"/>
      <c r="D133" s="72"/>
      <c r="E133" s="41"/>
      <c r="F133" s="74"/>
      <c r="G133" s="72"/>
      <c r="H133" s="72"/>
      <c r="I133" s="72"/>
      <c r="J133" s="72"/>
      <c r="K133" s="41"/>
      <c r="L133" s="41"/>
      <c r="M133" s="41"/>
      <c r="N133" s="41"/>
      <c r="O133" s="41"/>
      <c r="P133" s="72"/>
      <c r="Q133" s="72"/>
      <c r="R133" s="72"/>
      <c r="S133" s="72"/>
      <c r="T133" s="72"/>
      <c r="U133" s="72"/>
      <c r="V133" s="72"/>
      <c r="W133" s="72"/>
      <c r="X133" s="72"/>
      <c r="Y133" s="72"/>
      <c r="Z133" s="72"/>
      <c r="AA133" s="72"/>
      <c r="AB133" s="72"/>
      <c r="AC133" s="72"/>
      <c r="AD133" s="72"/>
      <c r="AE133" s="72"/>
      <c r="AF133" s="72"/>
      <c r="AG133" s="72"/>
      <c r="AH133" s="72"/>
      <c r="AI133" s="72"/>
      <c r="AJ133" s="72"/>
      <c r="AK133" s="72"/>
      <c r="AL133" s="72"/>
      <c r="AM133" s="72"/>
      <c r="AN133" s="72"/>
      <c r="AO133" s="72"/>
      <c r="AP133" s="72"/>
      <c r="AQ133" s="72"/>
      <c r="AR133" s="72"/>
      <c r="AS133" s="72"/>
      <c r="AT133" s="72"/>
      <c r="AU133" s="72"/>
      <c r="AV133" s="72"/>
      <c r="AW133" s="72"/>
      <c r="AX133" s="72"/>
    </row>
    <row r="134" spans="1:50" ht="15" customHeight="1">
      <c r="A134" s="72"/>
      <c r="B134" s="925"/>
      <c r="C134" s="72"/>
      <c r="D134" s="72"/>
      <c r="E134" s="41"/>
      <c r="F134" s="74"/>
      <c r="G134" s="72"/>
      <c r="H134" s="72"/>
      <c r="I134" s="72"/>
      <c r="J134" s="72"/>
      <c r="K134" s="41"/>
      <c r="L134" s="41"/>
      <c r="M134" s="41"/>
      <c r="N134" s="41"/>
      <c r="O134" s="41"/>
      <c r="P134" s="72"/>
      <c r="Q134" s="72"/>
      <c r="R134" s="72"/>
      <c r="S134" s="72"/>
      <c r="T134" s="72"/>
      <c r="U134" s="72"/>
      <c r="V134" s="72"/>
      <c r="W134" s="72"/>
      <c r="X134" s="72"/>
      <c r="Y134" s="72"/>
      <c r="Z134" s="72"/>
      <c r="AA134" s="72"/>
      <c r="AB134" s="72"/>
      <c r="AC134" s="72"/>
      <c r="AD134" s="72"/>
      <c r="AE134" s="72"/>
      <c r="AF134" s="72"/>
      <c r="AG134" s="72"/>
      <c r="AH134" s="72"/>
      <c r="AI134" s="72"/>
      <c r="AJ134" s="72"/>
      <c r="AK134" s="72"/>
      <c r="AL134" s="72"/>
      <c r="AM134" s="72"/>
      <c r="AN134" s="72"/>
      <c r="AO134" s="72"/>
      <c r="AP134" s="72"/>
      <c r="AQ134" s="72"/>
      <c r="AR134" s="72"/>
      <c r="AS134" s="72"/>
      <c r="AT134" s="72"/>
      <c r="AU134" s="72"/>
      <c r="AV134" s="72"/>
      <c r="AW134" s="72"/>
      <c r="AX134" s="72"/>
    </row>
    <row r="135" spans="1:50" ht="15" customHeight="1">
      <c r="A135" s="73"/>
      <c r="B135" s="74"/>
      <c r="C135" s="76"/>
      <c r="D135" s="76"/>
      <c r="E135" s="41"/>
      <c r="F135" s="74"/>
      <c r="G135" s="77"/>
      <c r="H135" s="77"/>
      <c r="I135" s="77"/>
      <c r="J135" s="77"/>
      <c r="K135" s="41"/>
      <c r="L135" s="41"/>
      <c r="M135" s="41"/>
      <c r="N135" s="41"/>
      <c r="O135" s="41"/>
      <c r="P135" s="72"/>
      <c r="Q135" s="72"/>
      <c r="R135" s="72"/>
      <c r="S135" s="72"/>
      <c r="T135" s="72"/>
      <c r="U135" s="72"/>
      <c r="V135" s="72"/>
      <c r="W135" s="72"/>
      <c r="X135" s="72"/>
      <c r="Y135" s="72"/>
      <c r="Z135" s="72"/>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row>
    <row r="136" spans="1:50" ht="15" customHeight="1">
      <c r="A136" s="73"/>
      <c r="B136" s="74"/>
      <c r="C136" s="76"/>
      <c r="D136" s="76"/>
      <c r="E136" s="41"/>
      <c r="F136" s="74"/>
      <c r="G136" s="77"/>
      <c r="H136" s="77"/>
      <c r="I136" s="77"/>
      <c r="J136" s="77"/>
      <c r="K136" s="41"/>
      <c r="L136" s="41"/>
      <c r="M136" s="41"/>
      <c r="N136" s="41"/>
      <c r="O136" s="41"/>
      <c r="P136" s="72"/>
      <c r="Q136" s="72"/>
      <c r="R136" s="72"/>
      <c r="S136" s="72"/>
      <c r="T136" s="72"/>
      <c r="U136" s="72"/>
      <c r="V136" s="72"/>
      <c r="W136" s="72"/>
      <c r="X136" s="72"/>
      <c r="Y136" s="72"/>
      <c r="Z136" s="72"/>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row>
    <row r="137" spans="1:50" ht="15" customHeight="1">
      <c r="A137" s="73"/>
      <c r="B137" s="74"/>
      <c r="C137" s="76"/>
      <c r="D137" s="76"/>
      <c r="E137" s="41"/>
      <c r="F137" s="76"/>
      <c r="G137" s="77"/>
      <c r="H137" s="77"/>
      <c r="I137" s="77"/>
      <c r="J137" s="77"/>
      <c r="K137" s="41"/>
      <c r="L137" s="41"/>
      <c r="M137" s="41"/>
      <c r="N137" s="41"/>
      <c r="O137" s="41"/>
      <c r="P137" s="72"/>
      <c r="Q137" s="72"/>
      <c r="R137" s="72"/>
      <c r="S137" s="72"/>
      <c r="T137" s="72"/>
      <c r="U137" s="72"/>
      <c r="V137" s="72"/>
      <c r="W137" s="72"/>
      <c r="X137" s="72"/>
      <c r="Y137" s="72"/>
      <c r="Z137" s="72"/>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row>
    <row r="138" spans="1:50" ht="15" customHeight="1">
      <c r="A138" s="73"/>
      <c r="B138" s="74"/>
      <c r="C138" s="76"/>
      <c r="D138" s="76"/>
      <c r="E138" s="76"/>
      <c r="F138" s="76"/>
      <c r="G138" s="77"/>
      <c r="H138" s="77"/>
      <c r="I138" s="77"/>
      <c r="J138" s="77"/>
      <c r="K138" s="41"/>
      <c r="L138" s="41"/>
      <c r="M138" s="41"/>
      <c r="N138" s="41"/>
      <c r="O138" s="41"/>
      <c r="P138" s="72"/>
      <c r="Q138" s="72"/>
      <c r="R138" s="72"/>
      <c r="S138" s="72"/>
      <c r="T138" s="72"/>
      <c r="U138" s="72"/>
      <c r="V138" s="72"/>
      <c r="W138" s="72"/>
      <c r="X138" s="72"/>
      <c r="Y138" s="72"/>
      <c r="Z138" s="72"/>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row>
    <row r="139" spans="1:50" ht="15" customHeight="1">
      <c r="A139" s="73"/>
      <c r="B139" s="74"/>
      <c r="C139" s="76"/>
      <c r="D139" s="76"/>
      <c r="E139" s="76"/>
      <c r="F139" s="76"/>
      <c r="G139" s="77"/>
      <c r="H139" s="77"/>
      <c r="I139" s="77"/>
      <c r="J139" s="77"/>
      <c r="K139" s="41"/>
      <c r="L139" s="41"/>
      <c r="M139" s="41"/>
      <c r="N139" s="41"/>
      <c r="O139" s="41"/>
      <c r="P139" s="72"/>
      <c r="Q139" s="72"/>
      <c r="R139" s="72"/>
      <c r="S139" s="72"/>
      <c r="T139" s="72"/>
      <c r="U139" s="72"/>
      <c r="V139" s="72"/>
      <c r="W139" s="72"/>
      <c r="X139" s="72"/>
      <c r="Y139" s="72"/>
      <c r="Z139" s="72"/>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row>
    <row r="140" spans="1:50" ht="15" customHeight="1">
      <c r="A140" s="73"/>
      <c r="B140" s="74"/>
      <c r="C140" s="76"/>
      <c r="D140" s="76"/>
      <c r="E140" s="76"/>
      <c r="F140" s="76"/>
      <c r="G140" s="77"/>
      <c r="H140" s="77"/>
      <c r="I140" s="77"/>
      <c r="J140" s="77"/>
      <c r="K140" s="76"/>
      <c r="L140" s="76"/>
      <c r="M140" s="76"/>
      <c r="N140" s="76"/>
      <c r="O140" s="72"/>
      <c r="P140" s="72"/>
      <c r="Q140" s="72"/>
      <c r="R140" s="72"/>
      <c r="S140" s="72"/>
      <c r="T140" s="72"/>
      <c r="U140" s="72"/>
      <c r="V140" s="72"/>
      <c r="W140" s="72"/>
      <c r="X140" s="72"/>
      <c r="Y140" s="72"/>
      <c r="Z140" s="72"/>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row>
    <row r="141" spans="1:50" ht="15" customHeight="1">
      <c r="A141" s="73"/>
      <c r="B141" s="74"/>
      <c r="C141" s="76"/>
      <c r="D141" s="76"/>
      <c r="E141" s="76"/>
      <c r="F141" s="76"/>
      <c r="G141" s="77"/>
      <c r="H141" s="77"/>
      <c r="I141" s="77"/>
      <c r="J141" s="77"/>
      <c r="K141" s="76"/>
      <c r="L141" s="76"/>
      <c r="M141" s="76"/>
      <c r="N141" s="76"/>
      <c r="O141" s="72"/>
      <c r="P141" s="72"/>
      <c r="Q141" s="72"/>
      <c r="R141" s="72"/>
      <c r="S141" s="72"/>
      <c r="T141" s="72"/>
      <c r="U141" s="72"/>
      <c r="V141" s="72"/>
      <c r="W141" s="72"/>
      <c r="X141" s="72"/>
      <c r="Y141" s="72"/>
      <c r="Z141" s="72"/>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row>
    <row r="142" spans="1:50" ht="15" customHeight="1">
      <c r="A142" s="73"/>
      <c r="B142" s="74"/>
      <c r="C142" s="76"/>
      <c r="D142" s="76"/>
      <c r="E142" s="76"/>
      <c r="F142" s="76"/>
      <c r="G142" s="77"/>
      <c r="H142" s="77"/>
      <c r="I142" s="77"/>
      <c r="J142" s="77"/>
      <c r="K142" s="76"/>
      <c r="L142" s="76"/>
      <c r="M142" s="76"/>
      <c r="N142" s="76"/>
      <c r="O142" s="72"/>
      <c r="P142" s="72"/>
      <c r="Q142" s="72"/>
      <c r="R142" s="72"/>
      <c r="S142" s="72"/>
      <c r="T142" s="72"/>
      <c r="U142" s="72"/>
      <c r="V142" s="72"/>
      <c r="W142" s="72"/>
      <c r="X142" s="72"/>
      <c r="Y142" s="72"/>
      <c r="Z142" s="72"/>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row>
    <row r="143" spans="1:50" ht="15" customHeight="1">
      <c r="A143" s="73"/>
      <c r="B143" s="74"/>
      <c r="C143" s="76"/>
      <c r="D143" s="76"/>
      <c r="E143" s="76"/>
      <c r="F143" s="76"/>
      <c r="G143" s="77"/>
      <c r="H143" s="77"/>
      <c r="I143" s="77"/>
      <c r="J143" s="77"/>
      <c r="K143" s="76"/>
      <c r="L143" s="76"/>
      <c r="M143" s="76"/>
      <c r="N143" s="76"/>
      <c r="O143" s="72"/>
      <c r="P143" s="72"/>
      <c r="Q143" s="72"/>
      <c r="R143" s="72"/>
      <c r="S143" s="72"/>
      <c r="T143" s="72"/>
      <c r="U143" s="72"/>
      <c r="V143" s="72"/>
      <c r="W143" s="72"/>
      <c r="X143" s="72"/>
      <c r="Y143" s="72"/>
      <c r="Z143" s="72"/>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row>
    <row r="144" spans="1:50" ht="15" customHeight="1">
      <c r="A144" s="73"/>
      <c r="B144" s="74"/>
      <c r="C144" s="76"/>
      <c r="D144" s="76"/>
      <c r="E144" s="76"/>
      <c r="F144" s="76"/>
      <c r="G144" s="77"/>
      <c r="H144" s="77"/>
      <c r="I144" s="77"/>
      <c r="J144" s="77"/>
      <c r="K144" s="76"/>
      <c r="L144" s="76"/>
      <c r="M144" s="76"/>
      <c r="N144" s="76"/>
      <c r="O144" s="72"/>
      <c r="P144" s="72"/>
      <c r="Q144" s="72"/>
      <c r="R144" s="72"/>
      <c r="S144" s="72"/>
      <c r="T144" s="72"/>
      <c r="U144" s="72"/>
      <c r="V144" s="72"/>
      <c r="W144" s="72"/>
      <c r="X144" s="72"/>
      <c r="Y144" s="72"/>
      <c r="Z144" s="72"/>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row>
    <row r="145" spans="1:50" ht="15" customHeight="1">
      <c r="A145" s="73"/>
      <c r="B145" s="74"/>
      <c r="C145" s="76"/>
      <c r="D145" s="76"/>
      <c r="E145" s="76"/>
      <c r="F145" s="76"/>
      <c r="G145" s="77"/>
      <c r="H145" s="77"/>
      <c r="I145" s="77"/>
      <c r="J145" s="77"/>
      <c r="K145" s="76"/>
      <c r="L145" s="76"/>
      <c r="M145" s="76"/>
      <c r="N145" s="76"/>
      <c r="O145" s="72"/>
      <c r="P145" s="72"/>
      <c r="Q145" s="72"/>
      <c r="R145" s="72"/>
      <c r="S145" s="72"/>
      <c r="T145" s="72"/>
      <c r="U145" s="72"/>
      <c r="V145" s="72"/>
      <c r="W145" s="72"/>
      <c r="X145" s="72"/>
      <c r="Y145" s="72"/>
      <c r="Z145" s="72"/>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row>
    <row r="146" spans="1:50" ht="15" customHeight="1">
      <c r="A146" s="73"/>
      <c r="B146" s="74"/>
      <c r="C146" s="76"/>
      <c r="D146" s="76"/>
      <c r="E146" s="76"/>
      <c r="F146" s="76"/>
      <c r="G146" s="77"/>
      <c r="H146" s="77"/>
      <c r="I146" s="77"/>
      <c r="J146" s="77"/>
      <c r="K146" s="76"/>
      <c r="L146" s="76"/>
      <c r="M146" s="76"/>
      <c r="N146" s="76"/>
      <c r="O146" s="72"/>
      <c r="P146" s="72"/>
      <c r="Q146" s="72"/>
      <c r="R146" s="72"/>
      <c r="S146" s="72"/>
      <c r="T146" s="72"/>
      <c r="U146" s="72"/>
      <c r="V146" s="72"/>
      <c r="W146" s="72"/>
      <c r="X146" s="72"/>
      <c r="Y146" s="72"/>
      <c r="Z146" s="72"/>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row>
    <row r="147" spans="1:50" ht="15" customHeight="1">
      <c r="A147" s="73"/>
      <c r="B147" s="74"/>
      <c r="C147" s="76"/>
      <c r="D147" s="76"/>
      <c r="E147" s="76"/>
      <c r="F147" s="76"/>
      <c r="G147" s="77"/>
      <c r="H147" s="77"/>
      <c r="I147" s="77"/>
      <c r="J147" s="77"/>
      <c r="K147" s="76"/>
      <c r="L147" s="76"/>
      <c r="M147" s="76"/>
      <c r="N147" s="76"/>
      <c r="O147" s="72"/>
      <c r="P147" s="72"/>
      <c r="Q147" s="72"/>
      <c r="R147" s="72"/>
      <c r="S147" s="72"/>
      <c r="T147" s="72"/>
      <c r="U147" s="72"/>
      <c r="V147" s="72"/>
      <c r="W147" s="72"/>
      <c r="X147" s="72"/>
      <c r="Y147" s="72"/>
      <c r="Z147" s="72"/>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row>
    <row r="148" spans="1:50" ht="15" customHeight="1">
      <c r="A148" s="73"/>
      <c r="B148" s="74"/>
      <c r="C148" s="76"/>
      <c r="D148" s="76"/>
      <c r="E148" s="76"/>
      <c r="F148" s="76"/>
      <c r="G148" s="77"/>
      <c r="H148" s="77"/>
      <c r="I148" s="77"/>
      <c r="J148" s="77"/>
      <c r="K148" s="76"/>
      <c r="L148" s="76"/>
      <c r="M148" s="76"/>
      <c r="N148" s="76"/>
      <c r="O148" s="72"/>
      <c r="P148" s="72"/>
      <c r="Q148" s="72"/>
      <c r="R148" s="72"/>
      <c r="S148" s="72"/>
      <c r="T148" s="72"/>
      <c r="U148" s="72"/>
      <c r="V148" s="72"/>
      <c r="W148" s="72"/>
      <c r="X148" s="72"/>
      <c r="Y148" s="72"/>
      <c r="Z148" s="72"/>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row>
    <row r="149" spans="1:50" ht="15" customHeight="1">
      <c r="A149" s="73"/>
      <c r="B149" s="74"/>
      <c r="C149" s="76"/>
      <c r="D149" s="76"/>
      <c r="E149" s="76"/>
      <c r="F149" s="76"/>
      <c r="G149" s="77"/>
      <c r="H149" s="77"/>
      <c r="I149" s="77"/>
      <c r="J149" s="77"/>
      <c r="K149" s="76"/>
      <c r="L149" s="76"/>
      <c r="M149" s="76"/>
      <c r="N149" s="76"/>
      <c r="O149" s="72"/>
      <c r="P149" s="72"/>
      <c r="Q149" s="72"/>
      <c r="R149" s="72"/>
      <c r="S149" s="72"/>
      <c r="T149" s="72"/>
      <c r="U149" s="72"/>
      <c r="V149" s="72"/>
      <c r="W149" s="72"/>
      <c r="X149" s="72"/>
      <c r="Y149" s="72"/>
      <c r="Z149" s="72"/>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row>
    <row r="150" spans="1:50" ht="15" customHeight="1">
      <c r="A150" s="56" t="e">
        <f ca="1">A$1 &amp; ": " &amp; Translate!$E$609</f>
        <v>#VALUE!</v>
      </c>
      <c r="B150" s="56"/>
      <c r="C150" s="56"/>
      <c r="D150" s="56"/>
      <c r="E150" s="56"/>
      <c r="F150" s="56"/>
      <c r="G150" s="56"/>
      <c r="H150" s="56"/>
      <c r="I150" s="56"/>
      <c r="J150" s="56"/>
      <c r="K150" s="76"/>
      <c r="L150" s="76"/>
      <c r="M150" s="76"/>
      <c r="N150" s="76"/>
      <c r="O150" s="72"/>
      <c r="P150" s="72"/>
      <c r="Q150" s="72"/>
      <c r="R150" s="72"/>
      <c r="S150" s="72"/>
      <c r="T150" s="72"/>
      <c r="U150" s="72"/>
      <c r="V150" s="72"/>
      <c r="W150" s="72"/>
      <c r="X150" s="72"/>
      <c r="Y150" s="72"/>
      <c r="Z150" s="72"/>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row>
    <row r="151" spans="1:50" ht="15" customHeight="1">
      <c r="A151" s="57"/>
      <c r="B151" s="58"/>
      <c r="C151" s="1053"/>
      <c r="D151" s="59"/>
      <c r="E151" s="57"/>
      <c r="F151" s="851" t="str">
        <f xml:space="preserve"> Translate!E$565</f>
        <v>do not delete row</v>
      </c>
      <c r="G151" s="57"/>
      <c r="H151" s="57"/>
      <c r="I151" s="57"/>
      <c r="J151" s="57"/>
      <c r="K151" s="76"/>
      <c r="L151" s="76"/>
      <c r="M151" s="76"/>
      <c r="N151" s="76"/>
      <c r="O151" s="72"/>
      <c r="P151" s="72"/>
      <c r="Q151" s="72"/>
      <c r="R151" s="72"/>
      <c r="S151" s="72"/>
      <c r="T151" s="72"/>
      <c r="U151" s="72"/>
      <c r="V151" s="72"/>
      <c r="W151" s="72"/>
      <c r="X151" s="72"/>
      <c r="Y151" s="72"/>
      <c r="Z151" s="72"/>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row>
    <row r="152" spans="1:50" ht="15" customHeight="1">
      <c r="A152" s="46"/>
      <c r="B152" s="926"/>
      <c r="C152" s="76"/>
      <c r="D152" s="76"/>
      <c r="E152" s="76" t="str">
        <f xml:space="preserve"> E$88</f>
        <v>Check: Project revenues and costs</v>
      </c>
      <c r="F152" s="62">
        <f ca="1" xml:space="preserve"> F$88</f>
        <v>0</v>
      </c>
      <c r="G152" s="77" t="str">
        <f xml:space="preserve"> G$88</f>
        <v>Check</v>
      </c>
      <c r="H152" s="77"/>
      <c r="I152" s="77"/>
      <c r="J152" s="77"/>
      <c r="K152" s="76"/>
      <c r="L152" s="76"/>
      <c r="M152" s="76"/>
      <c r="N152" s="76"/>
      <c r="O152" s="72"/>
      <c r="P152" s="72"/>
      <c r="Q152" s="72"/>
      <c r="R152" s="72"/>
      <c r="S152" s="72"/>
      <c r="T152" s="72"/>
      <c r="U152" s="72"/>
      <c r="V152" s="72"/>
      <c r="W152" s="72"/>
      <c r="X152" s="72"/>
      <c r="Y152" s="72"/>
      <c r="Z152" s="72"/>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row>
    <row r="153" spans="1:50" ht="15" customHeight="1">
      <c r="A153" s="57"/>
      <c r="B153" s="127"/>
      <c r="C153" s="1053"/>
      <c r="D153" s="1053"/>
      <c r="E153" s="1053"/>
      <c r="F153" s="851" t="str">
        <f xml:space="preserve"> Translate!E$565</f>
        <v>do not delete row</v>
      </c>
      <c r="G153" s="57"/>
      <c r="H153" s="57"/>
      <c r="I153" s="57"/>
      <c r="J153" s="57"/>
      <c r="K153" s="76"/>
      <c r="L153" s="76"/>
      <c r="M153" s="76"/>
      <c r="N153" s="76"/>
      <c r="O153" s="72"/>
      <c r="P153" s="72"/>
      <c r="Q153" s="72"/>
      <c r="R153" s="72"/>
      <c r="S153" s="72"/>
      <c r="T153" s="72"/>
      <c r="U153" s="72"/>
      <c r="V153" s="72"/>
      <c r="W153" s="72"/>
      <c r="X153" s="72"/>
      <c r="Y153" s="72"/>
      <c r="Z153" s="72"/>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row>
    <row r="154" spans="1:50" ht="15" customHeight="1">
      <c r="A154" s="19"/>
      <c r="B154" s="74"/>
      <c r="C154" s="76"/>
      <c r="D154" s="76"/>
      <c r="E154" s="1041" t="e">
        <f ca="1" xml:space="preserve"> Translate!$E$639 &amp; ": " &amp; $A$1</f>
        <v>#VALUE!</v>
      </c>
      <c r="F154" s="62">
        <f ca="1" xml:space="preserve"> SUM(F151:F153)</f>
        <v>0</v>
      </c>
      <c r="G154" s="1041" t="str">
        <f xml:space="preserve"> Translate!E$444</f>
        <v>Check</v>
      </c>
      <c r="H154" s="77"/>
      <c r="I154" s="77"/>
      <c r="J154" s="77"/>
      <c r="K154" s="76"/>
      <c r="L154" s="76"/>
      <c r="M154" s="76"/>
      <c r="N154" s="76"/>
      <c r="O154" s="72"/>
      <c r="P154" s="72"/>
      <c r="Q154" s="72"/>
      <c r="R154" s="72"/>
      <c r="S154" s="72"/>
      <c r="T154" s="72"/>
      <c r="U154" s="72"/>
      <c r="V154" s="72"/>
      <c r="W154" s="72"/>
      <c r="X154" s="72"/>
      <c r="Y154" s="72"/>
      <c r="Z154" s="72"/>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row>
  </sheetData>
  <conditionalFormatting sqref="F88">
    <cfRule type="cellIs" dxfId="65" priority="19" stopIfTrue="1" operator="notEqual">
      <formula>0</formula>
    </cfRule>
    <cfRule type="cellIs" dxfId="64" priority="20" stopIfTrue="1" operator="equal">
      <formula>""</formula>
    </cfRule>
  </conditionalFormatting>
  <conditionalFormatting sqref="F154">
    <cfRule type="cellIs" dxfId="63" priority="17" stopIfTrue="1" operator="notEqual">
      <formula>0</formula>
    </cfRule>
    <cfRule type="cellIs" dxfId="62" priority="18" stopIfTrue="1" operator="equal">
      <formula>""</formula>
    </cfRule>
  </conditionalFormatting>
  <conditionalFormatting sqref="F154">
    <cfRule type="cellIs" dxfId="61" priority="15" stopIfTrue="1" operator="notEqual">
      <formula>0</formula>
    </cfRule>
    <cfRule type="cellIs" dxfId="60" priority="16" stopIfTrue="1" operator="equal">
      <formula>""</formula>
    </cfRule>
  </conditionalFormatting>
  <conditionalFormatting sqref="F152">
    <cfRule type="cellIs" dxfId="59" priority="13" stopIfTrue="1" operator="notEqual">
      <formula>0</formula>
    </cfRule>
    <cfRule type="cellIs" dxfId="58" priority="14" stopIfTrue="1" operator="equal">
      <formula>""</formula>
    </cfRule>
  </conditionalFormatting>
  <conditionalFormatting sqref="F152">
    <cfRule type="cellIs" dxfId="57" priority="11" stopIfTrue="1" operator="notEqual">
      <formula>0</formula>
    </cfRule>
    <cfRule type="cellIs" dxfId="56" priority="12" stopIfTrue="1" operator="equal">
      <formula>""</formula>
    </cfRule>
  </conditionalFormatting>
  <conditionalFormatting sqref="F3">
    <cfRule type="cellIs" dxfId="55" priority="9" stopIfTrue="1" operator="notEqual">
      <formula>0</formula>
    </cfRule>
    <cfRule type="cellIs" dxfId="54" priority="10" stopIfTrue="1" operator="equal">
      <formula>""</formula>
    </cfRule>
  </conditionalFormatting>
  <conditionalFormatting sqref="F3">
    <cfRule type="cellIs" dxfId="53" priority="7" stopIfTrue="1" operator="notEqual">
      <formula>0</formula>
    </cfRule>
    <cfRule type="cellIs" dxfId="52" priority="8" stopIfTrue="1" operator="equal">
      <formula>""</formula>
    </cfRule>
  </conditionalFormatting>
  <conditionalFormatting sqref="K3">
    <cfRule type="cellIs" dxfId="51" priority="1" stopIfTrue="1" operator="notEqual">
      <formula>0</formula>
    </cfRule>
    <cfRule type="cellIs" dxfId="50" priority="2" stopIfTrue="1" operator="equal">
      <formula>""</formula>
    </cfRule>
  </conditionalFormatting>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7CAFD-5467-4A12-8301-83E9025B0718}">
  <sheetPr codeName="Sheet15">
    <tabColor rgb="FFFFC000"/>
    <outlinePr summaryBelow="0" summaryRight="0"/>
  </sheetPr>
  <dimension ref="A1:AX83"/>
  <sheetViews>
    <sheetView defaultGridColor="0" colorId="22" zoomScale="85" zoomScaleNormal="85" workbookViewId="0">
      <pane xSplit="10" ySplit="3" topLeftCell="K4" activePane="bottomRight" state="frozen"/>
      <selection pane="bottomRight" activeCell="E4" sqref="E4"/>
      <selection pane="bottomLeft" activeCell="H1" sqref="H1:H1048576"/>
      <selection pane="topRight" activeCell="H1" sqref="H1:H1048576"/>
    </sheetView>
  </sheetViews>
  <sheetFormatPr defaultColWidth="0" defaultRowHeight="12.75" customHeight="1" outlineLevelCol="1"/>
  <cols>
    <col min="1" max="2" width="1.28515625" style="19" customWidth="1"/>
    <col min="3" max="3" width="1.28515625" style="202" customWidth="1"/>
    <col min="4" max="4" width="1.28515625" style="203" customWidth="1"/>
    <col min="5" max="5" width="50.7109375" style="324" customWidth="1"/>
    <col min="6" max="6" width="12.7109375" style="324" customWidth="1"/>
    <col min="7" max="7" width="20.7109375" style="324" customWidth="1"/>
    <col min="8" max="8" width="40.7109375" style="324" customWidth="1" outlineLevel="1"/>
    <col min="9" max="9" width="12.7109375" style="324" customWidth="1"/>
    <col min="10" max="10" width="3.7109375" style="324" customWidth="1"/>
    <col min="11" max="50" width="10.7109375" style="324" customWidth="1"/>
    <col min="51" max="16384" width="9.140625" style="324" hidden="1"/>
  </cols>
  <sheetData>
    <row r="1" spans="1:50" ht="15" customHeight="1">
      <c r="A1" s="18" t="e">
        <f ca="1" xml:space="preserve"> RIGHT( CELL("filename",$A$1), LEN( CELL("filename",$A$1)) - SEARCH("]", CELL("filename",$A$1)))</f>
        <v>#VALUE!</v>
      </c>
      <c r="E1" s="1041"/>
      <c r="F1" s="216"/>
      <c r="G1" s="72"/>
      <c r="H1" s="72"/>
      <c r="I1" s="72"/>
      <c r="J1" s="72"/>
      <c r="K1" s="267">
        <f xml:space="preserve"> ProjectCashflows!K$48</f>
        <v>2021</v>
      </c>
      <c r="L1" s="267">
        <f xml:space="preserve"> ProjectCashflows!L$48</f>
        <v>2022</v>
      </c>
      <c r="M1" s="267">
        <f xml:space="preserve"> ProjectCashflows!M$48</f>
        <v>2023</v>
      </c>
      <c r="N1" s="267">
        <f xml:space="preserve"> ProjectCashflows!N$48</f>
        <v>2024</v>
      </c>
      <c r="O1" s="267">
        <f xml:space="preserve"> ProjectCashflows!O$48</f>
        <v>2025</v>
      </c>
      <c r="P1" s="267">
        <f xml:space="preserve"> ProjectCashflows!P$48</f>
        <v>2026</v>
      </c>
      <c r="Q1" s="267">
        <f xml:space="preserve"> ProjectCashflows!Q$48</f>
        <v>2027</v>
      </c>
      <c r="R1" s="267">
        <f xml:space="preserve"> ProjectCashflows!R$48</f>
        <v>2028</v>
      </c>
      <c r="S1" s="267">
        <f xml:space="preserve"> ProjectCashflows!S$48</f>
        <v>2029</v>
      </c>
      <c r="T1" s="267">
        <f xml:space="preserve"> ProjectCashflows!T$48</f>
        <v>2030</v>
      </c>
      <c r="U1" s="267">
        <f xml:space="preserve"> ProjectCashflows!U$48</f>
        <v>2031</v>
      </c>
      <c r="V1" s="267">
        <f xml:space="preserve"> ProjectCashflows!V$48</f>
        <v>2032</v>
      </c>
      <c r="W1" s="267">
        <f xml:space="preserve"> ProjectCashflows!W$48</f>
        <v>2033</v>
      </c>
      <c r="X1" s="267">
        <f xml:space="preserve"> ProjectCashflows!X$48</f>
        <v>2034</v>
      </c>
      <c r="Y1" s="267">
        <f xml:space="preserve"> ProjectCashflows!Y$48</f>
        <v>2035</v>
      </c>
      <c r="Z1" s="267">
        <f xml:space="preserve"> ProjectCashflows!Z$48</f>
        <v>2036</v>
      </c>
      <c r="AA1" s="267">
        <f xml:space="preserve"> ProjectCashflows!AA$48</f>
        <v>2037</v>
      </c>
      <c r="AB1" s="267">
        <f xml:space="preserve"> ProjectCashflows!AB$48</f>
        <v>2038</v>
      </c>
      <c r="AC1" s="267">
        <f xml:space="preserve"> ProjectCashflows!AC$48</f>
        <v>2039</v>
      </c>
      <c r="AD1" s="267">
        <f xml:space="preserve"> ProjectCashflows!AD$48</f>
        <v>2040</v>
      </c>
      <c r="AE1" s="267">
        <f xml:space="preserve"> ProjectCashflows!AE$48</f>
        <v>2041</v>
      </c>
      <c r="AF1" s="267">
        <f xml:space="preserve"> ProjectCashflows!AF$48</f>
        <v>2042</v>
      </c>
      <c r="AG1" s="267">
        <f xml:space="preserve"> ProjectCashflows!AG$48</f>
        <v>2043</v>
      </c>
      <c r="AH1" s="267">
        <f xml:space="preserve"> ProjectCashflows!AH$48</f>
        <v>2044</v>
      </c>
      <c r="AI1" s="267">
        <f xml:space="preserve"> ProjectCashflows!AI$48</f>
        <v>2045</v>
      </c>
      <c r="AJ1" s="267">
        <f xml:space="preserve"> ProjectCashflows!AJ$48</f>
        <v>2046</v>
      </c>
      <c r="AK1" s="267">
        <f xml:space="preserve"> ProjectCashflows!AK$48</f>
        <v>2047</v>
      </c>
      <c r="AL1" s="267">
        <f xml:space="preserve"> ProjectCashflows!AL$48</f>
        <v>2048</v>
      </c>
      <c r="AM1" s="267">
        <f xml:space="preserve"> ProjectCashflows!AM$48</f>
        <v>2049</v>
      </c>
      <c r="AN1" s="267">
        <f xml:space="preserve"> ProjectCashflows!AN$48</f>
        <v>2050</v>
      </c>
      <c r="AO1" s="267">
        <f xml:space="preserve"> ProjectCashflows!AO$48</f>
        <v>2051</v>
      </c>
      <c r="AP1" s="267">
        <f xml:space="preserve"> ProjectCashflows!AP$48</f>
        <v>2052</v>
      </c>
      <c r="AQ1" s="267">
        <f xml:space="preserve"> ProjectCashflows!AQ$48</f>
        <v>2053</v>
      </c>
      <c r="AR1" s="267">
        <f xml:space="preserve"> ProjectCashflows!AR$48</f>
        <v>2054</v>
      </c>
      <c r="AS1" s="267">
        <f xml:space="preserve"> ProjectCashflows!AS$48</f>
        <v>2055</v>
      </c>
      <c r="AT1" s="267">
        <f xml:space="preserve"> ProjectCashflows!AT$48</f>
        <v>2056</v>
      </c>
      <c r="AU1" s="267">
        <f xml:space="preserve"> ProjectCashflows!AU$48</f>
        <v>2057</v>
      </c>
      <c r="AV1" s="267">
        <f xml:space="preserve"> ProjectCashflows!AV$48</f>
        <v>2058</v>
      </c>
      <c r="AW1" s="267">
        <f xml:space="preserve"> ProjectCashflows!AW$48</f>
        <v>2059</v>
      </c>
      <c r="AX1" s="267">
        <f xml:space="preserve"> ProjectCashflows!AX$48</f>
        <v>2060</v>
      </c>
    </row>
    <row r="2" spans="1:50" ht="15" customHeight="1">
      <c r="E2" s="76" t="str">
        <f>Translate!$E$391</f>
        <v>Row description</v>
      </c>
      <c r="F2" s="866" t="str">
        <f xml:space="preserve"> Translate!E$554</f>
        <v>Constant</v>
      </c>
      <c r="G2" s="857" t="str">
        <f xml:space="preserve"> Translate!E$445</f>
        <v>Units</v>
      </c>
      <c r="H2" s="1052" t="str">
        <f>Translate!$E$280</f>
        <v>Comments</v>
      </c>
      <c r="I2" s="857" t="str">
        <f xml:space="preserve"> Translate!E$19</f>
        <v>Total</v>
      </c>
      <c r="J2" s="41"/>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row>
    <row r="3" spans="1:50" s="334" customFormat="1" ht="15" customHeight="1">
      <c r="A3" s="32"/>
      <c r="B3" s="32"/>
      <c r="C3" s="217"/>
      <c r="D3" s="218"/>
      <c r="E3" s="76"/>
      <c r="F3" s="128">
        <f ca="1" xml:space="preserve"> ReadMe!$D$7</f>
        <v>0</v>
      </c>
      <c r="G3" s="77" t="str">
        <f xml:space="preserve"> ReadMe!$E$7</f>
        <v>Checks</v>
      </c>
      <c r="H3" s="77"/>
      <c r="I3" s="77"/>
      <c r="J3" s="41"/>
      <c r="K3" s="219"/>
      <c r="L3" s="219"/>
      <c r="M3" s="219"/>
      <c r="N3" s="219"/>
      <c r="O3" s="219"/>
      <c r="P3" s="219"/>
      <c r="Q3" s="219"/>
      <c r="R3" s="219"/>
      <c r="S3" s="219"/>
      <c r="T3" s="219"/>
      <c r="U3" s="219"/>
      <c r="V3" s="219"/>
      <c r="W3" s="219"/>
      <c r="X3" s="219"/>
      <c r="Y3" s="219"/>
      <c r="Z3" s="219"/>
      <c r="AA3" s="219"/>
      <c r="AB3" s="219"/>
      <c r="AC3" s="219"/>
      <c r="AD3" s="219"/>
      <c r="AE3" s="219"/>
      <c r="AF3" s="219"/>
      <c r="AG3" s="219"/>
      <c r="AH3" s="219"/>
      <c r="AI3" s="219"/>
      <c r="AJ3" s="219"/>
      <c r="AK3" s="219"/>
      <c r="AL3" s="219"/>
      <c r="AM3" s="219"/>
      <c r="AN3" s="219"/>
      <c r="AO3" s="219"/>
      <c r="AP3" s="219"/>
      <c r="AQ3" s="219"/>
      <c r="AR3" s="219"/>
      <c r="AS3" s="219"/>
      <c r="AT3" s="219"/>
      <c r="AU3" s="219"/>
      <c r="AV3" s="219"/>
      <c r="AW3" s="219"/>
      <c r="AX3" s="219"/>
    </row>
    <row r="4" spans="1:50" ht="15" customHeight="1">
      <c r="A4" s="86" t="str">
        <f xml:space="preserve"> Translate!E$698</f>
        <v>Project data</v>
      </c>
      <c r="B4" s="86"/>
      <c r="C4" s="86"/>
      <c r="D4" s="86"/>
      <c r="E4" s="88"/>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row>
    <row r="5" spans="1:50" ht="15" customHeight="1">
      <c r="E5" s="1041"/>
      <c r="F5" s="1041"/>
      <c r="G5" s="1041"/>
      <c r="H5" s="1041"/>
      <c r="I5" s="1041"/>
      <c r="J5" s="1041"/>
      <c r="K5" s="1041"/>
      <c r="L5" s="1041"/>
      <c r="M5" s="1041"/>
      <c r="N5" s="1041"/>
      <c r="O5" s="1041"/>
      <c r="P5" s="1041"/>
      <c r="Q5" s="1041"/>
      <c r="R5" s="1041"/>
      <c r="S5" s="1041"/>
      <c r="T5" s="1041"/>
      <c r="U5" s="1041"/>
      <c r="V5" s="1041"/>
      <c r="W5" s="1041"/>
      <c r="X5" s="1041"/>
      <c r="Y5" s="1041"/>
      <c r="Z5" s="1041"/>
      <c r="AA5" s="1041"/>
      <c r="AB5" s="1041"/>
      <c r="AC5" s="1041"/>
      <c r="AD5" s="1041"/>
      <c r="AE5" s="1041"/>
      <c r="AF5" s="1041"/>
      <c r="AG5" s="1041"/>
      <c r="AH5" s="1041"/>
      <c r="AI5" s="1041"/>
      <c r="AJ5" s="1041"/>
      <c r="AK5" s="1041"/>
      <c r="AL5" s="1041"/>
      <c r="AM5" s="1041"/>
      <c r="AN5" s="1041"/>
      <c r="AO5" s="1041"/>
      <c r="AP5" s="1041"/>
      <c r="AQ5" s="1041"/>
      <c r="AR5" s="1041"/>
      <c r="AS5" s="1041"/>
      <c r="AT5" s="1041"/>
      <c r="AU5" s="1041"/>
      <c r="AV5" s="1041"/>
      <c r="AW5" s="1041"/>
      <c r="AX5" s="1041"/>
    </row>
    <row r="6" spans="1:50" ht="15" customHeight="1">
      <c r="E6" s="258" t="str">
        <f>Translate!E531</f>
        <v>This project example sheet name</v>
      </c>
      <c r="F6" s="259" t="e">
        <f ca="1" xml:space="preserve"> A1</f>
        <v>#VALUE!</v>
      </c>
      <c r="G6" s="306" t="str">
        <f xml:space="preserve"> Translate!E$585</f>
        <v>Label</v>
      </c>
      <c r="H6" s="1041"/>
      <c r="I6" s="1041"/>
      <c r="J6" s="1041"/>
      <c r="K6" s="1041"/>
      <c r="L6" s="1041"/>
      <c r="M6" s="1041"/>
      <c r="N6" s="1041"/>
      <c r="O6" s="1041"/>
      <c r="P6" s="1041"/>
      <c r="Q6" s="1041"/>
      <c r="R6" s="1041"/>
      <c r="S6" s="1041"/>
      <c r="T6" s="1041"/>
      <c r="U6" s="1041"/>
      <c r="V6" s="1041"/>
      <c r="W6" s="1041"/>
      <c r="X6" s="1041"/>
      <c r="Y6" s="1041"/>
      <c r="Z6" s="1041"/>
      <c r="AA6" s="1041"/>
      <c r="AB6" s="1041"/>
      <c r="AC6" s="1041"/>
      <c r="AD6" s="1041"/>
      <c r="AE6" s="1041"/>
      <c r="AF6" s="1041"/>
      <c r="AG6" s="1041"/>
      <c r="AH6" s="1041"/>
      <c r="AI6" s="1041"/>
      <c r="AJ6" s="1041"/>
      <c r="AK6" s="1041"/>
      <c r="AL6" s="1041"/>
      <c r="AM6" s="1041"/>
      <c r="AN6" s="1041"/>
      <c r="AO6" s="1041"/>
      <c r="AP6" s="1041"/>
      <c r="AQ6" s="1041"/>
      <c r="AR6" s="1041"/>
      <c r="AS6" s="1041"/>
      <c r="AT6" s="1041"/>
      <c r="AU6" s="1041"/>
      <c r="AV6" s="1041"/>
      <c r="AW6" s="1041"/>
      <c r="AX6" s="1041"/>
    </row>
    <row r="7" spans="1:50" ht="15" customHeight="1">
      <c r="E7" s="1041"/>
      <c r="F7" s="1041"/>
      <c r="G7" s="1041"/>
      <c r="H7" s="1041"/>
      <c r="I7" s="1041"/>
      <c r="J7" s="1041"/>
      <c r="K7" s="1041"/>
      <c r="L7" s="1041"/>
      <c r="M7" s="1041"/>
      <c r="N7" s="1041"/>
      <c r="O7" s="1041"/>
      <c r="P7" s="1041"/>
      <c r="Q7" s="1041"/>
      <c r="R7" s="1041"/>
      <c r="S7" s="1041"/>
      <c r="T7" s="1041"/>
      <c r="U7" s="1041"/>
      <c r="V7" s="1041"/>
      <c r="W7" s="1041"/>
      <c r="X7" s="1041"/>
      <c r="Y7" s="1041"/>
      <c r="Z7" s="1041"/>
      <c r="AA7" s="1041"/>
      <c r="AB7" s="1041"/>
      <c r="AC7" s="1041"/>
      <c r="AD7" s="1041"/>
      <c r="AE7" s="1041"/>
      <c r="AF7" s="1041"/>
      <c r="AG7" s="1041"/>
      <c r="AH7" s="1041"/>
      <c r="AI7" s="1041"/>
      <c r="AJ7" s="1041"/>
      <c r="AK7" s="1041"/>
      <c r="AL7" s="1041"/>
      <c r="AM7" s="1041"/>
      <c r="AN7" s="1041"/>
      <c r="AO7" s="1041"/>
      <c r="AP7" s="1041"/>
      <c r="AQ7" s="1041"/>
      <c r="AR7" s="1041"/>
      <c r="AS7" s="1041"/>
      <c r="AT7" s="1041"/>
      <c r="AU7" s="1041"/>
      <c r="AV7" s="1041"/>
      <c r="AW7" s="1041"/>
      <c r="AX7" s="1041"/>
    </row>
    <row r="8" spans="1:50" ht="15" customHeight="1">
      <c r="B8" s="19" t="str">
        <f>Translate!$E$600</f>
        <v>Project source data</v>
      </c>
      <c r="E8" s="1041"/>
      <c r="F8" s="1041"/>
      <c r="G8" s="1041"/>
      <c r="H8" s="1041"/>
      <c r="I8" s="1041"/>
      <c r="J8" s="1036"/>
      <c r="K8" s="852" t="str">
        <f xml:space="preserve"> Translate!E$354</f>
        <v>Do not change row of this block</v>
      </c>
      <c r="L8" s="1036"/>
      <c r="M8" s="1036"/>
      <c r="N8" s="1036"/>
      <c r="O8" s="1036"/>
      <c r="P8" s="1036"/>
      <c r="Q8" s="1036"/>
      <c r="R8" s="1036"/>
      <c r="S8" s="1036"/>
      <c r="T8" s="1036"/>
      <c r="U8" s="1036"/>
      <c r="V8" s="1036"/>
      <c r="W8" s="1036"/>
      <c r="X8" s="1036"/>
      <c r="Y8" s="1036"/>
      <c r="Z8" s="1036"/>
      <c r="AA8" s="1036"/>
      <c r="AB8" s="1036"/>
      <c r="AC8" s="1036"/>
      <c r="AD8" s="1036"/>
      <c r="AE8" s="1036"/>
      <c r="AF8" s="1036"/>
      <c r="AG8" s="1036"/>
      <c r="AH8" s="1036"/>
      <c r="AI8" s="1036"/>
      <c r="AJ8" s="1036"/>
      <c r="AK8" s="1036"/>
      <c r="AL8" s="1036"/>
      <c r="AM8" s="1036"/>
      <c r="AN8" s="1036"/>
      <c r="AO8" s="1036"/>
      <c r="AP8" s="1036"/>
      <c r="AQ8" s="1036"/>
      <c r="AR8" s="1036"/>
      <c r="AS8" s="1036"/>
      <c r="AT8" s="1036"/>
      <c r="AU8" s="1036"/>
      <c r="AV8" s="1036"/>
      <c r="AW8" s="1036"/>
      <c r="AX8" s="1036"/>
    </row>
    <row r="9" spans="1:50" ht="15" customHeight="1">
      <c r="E9" s="1041" t="str">
        <f>Translate!$E$392</f>
        <v>Mineral</v>
      </c>
      <c r="F9" s="481" t="str">
        <f>Translate!$E$486</f>
        <v>Gold</v>
      </c>
      <c r="G9" s="306" t="str">
        <f xml:space="preserve"> Translate!E$585</f>
        <v>Label</v>
      </c>
      <c r="H9" s="1041"/>
      <c r="I9" s="1041"/>
      <c r="J9" s="1036"/>
      <c r="K9" s="2"/>
      <c r="L9" s="1036"/>
      <c r="M9" s="1036"/>
      <c r="N9" s="1036"/>
      <c r="O9" s="1036"/>
      <c r="P9" s="1036"/>
      <c r="Q9" s="1036"/>
      <c r="R9" s="1036"/>
      <c r="S9" s="1036"/>
      <c r="T9" s="1036"/>
      <c r="U9" s="1036"/>
      <c r="V9" s="1036"/>
      <c r="W9" s="1036"/>
      <c r="X9" s="1036"/>
      <c r="Y9" s="1036"/>
      <c r="Z9" s="1036"/>
      <c r="AA9" s="1036"/>
      <c r="AB9" s="1036"/>
      <c r="AC9" s="1036"/>
      <c r="AD9" s="1036"/>
      <c r="AE9" s="1036"/>
      <c r="AF9" s="1036"/>
      <c r="AG9" s="1036"/>
      <c r="AH9" s="1036"/>
      <c r="AI9" s="1036"/>
      <c r="AJ9" s="1036"/>
      <c r="AK9" s="1036"/>
      <c r="AL9" s="1036"/>
      <c r="AM9" s="1036"/>
      <c r="AN9" s="1036"/>
      <c r="AO9" s="1036"/>
      <c r="AP9" s="1036"/>
      <c r="AQ9" s="1036"/>
      <c r="AR9" s="1036"/>
      <c r="AS9" s="1036"/>
      <c r="AT9" s="1036"/>
      <c r="AU9" s="1036"/>
      <c r="AV9" s="1036"/>
      <c r="AW9" s="1036"/>
      <c r="AX9" s="1036"/>
    </row>
    <row r="10" spans="1:50" ht="15" customHeight="1">
      <c r="E10" s="1041" t="str">
        <f>Translate!$E$393</f>
        <v>Mineral units</v>
      </c>
      <c r="F10" s="867" t="str">
        <f xml:space="preserve"> Translate!E$599</f>
        <v>ounce</v>
      </c>
      <c r="G10" s="857" t="str">
        <f xml:space="preserve"> Translate!E$445</f>
        <v>Units</v>
      </c>
      <c r="H10" s="1041"/>
      <c r="I10" s="1041"/>
      <c r="J10" s="1036"/>
      <c r="K10" s="2"/>
      <c r="L10" s="1036"/>
      <c r="M10" s="1036"/>
      <c r="N10" s="1036"/>
      <c r="O10" s="1036"/>
      <c r="P10" s="1036"/>
      <c r="Q10" s="1036"/>
      <c r="R10" s="1036"/>
      <c r="S10" s="1036"/>
      <c r="T10" s="1036"/>
      <c r="U10" s="1036"/>
      <c r="V10" s="1036"/>
      <c r="W10" s="1036"/>
      <c r="X10" s="1036"/>
      <c r="Y10" s="1036"/>
      <c r="Z10" s="1036"/>
      <c r="AA10" s="1036"/>
      <c r="AB10" s="1036"/>
      <c r="AC10" s="1036"/>
      <c r="AD10" s="1036"/>
      <c r="AE10" s="1036"/>
      <c r="AF10" s="1036"/>
      <c r="AG10" s="1036"/>
      <c r="AH10" s="1036"/>
      <c r="AI10" s="1036"/>
      <c r="AJ10" s="1036"/>
      <c r="AK10" s="1036"/>
      <c r="AL10" s="1036"/>
      <c r="AM10" s="1036"/>
      <c r="AN10" s="1036"/>
      <c r="AO10" s="1036"/>
      <c r="AP10" s="1036"/>
      <c r="AQ10" s="1036"/>
      <c r="AR10" s="1036"/>
      <c r="AS10" s="1036"/>
      <c r="AT10" s="1036"/>
      <c r="AU10" s="1036"/>
      <c r="AV10" s="1036"/>
      <c r="AW10" s="1036"/>
      <c r="AX10" s="1036"/>
    </row>
    <row r="11" spans="1:50" ht="15" customHeight="1">
      <c r="E11" s="1041"/>
      <c r="F11" s="1041"/>
      <c r="G11" s="1041"/>
      <c r="H11" s="1041"/>
      <c r="I11" s="1041"/>
      <c r="J11" s="1036"/>
      <c r="K11" s="2"/>
      <c r="L11" s="1036"/>
      <c r="M11" s="1036"/>
      <c r="N11" s="1036"/>
      <c r="O11" s="1036"/>
      <c r="P11" s="1036"/>
      <c r="Q11" s="1036"/>
      <c r="R11" s="1036"/>
      <c r="S11" s="1036"/>
      <c r="T11" s="1036"/>
      <c r="U11" s="1036"/>
      <c r="V11" s="1036"/>
      <c r="W11" s="1036"/>
      <c r="X11" s="1036"/>
      <c r="Y11" s="1036"/>
      <c r="Z11" s="1036"/>
      <c r="AA11" s="1036"/>
      <c r="AB11" s="1036"/>
      <c r="AC11" s="1036"/>
      <c r="AD11" s="1036"/>
      <c r="AE11" s="1036"/>
      <c r="AF11" s="1036"/>
      <c r="AG11" s="1036"/>
      <c r="AH11" s="1036"/>
      <c r="AI11" s="1036"/>
      <c r="AJ11" s="1036"/>
      <c r="AK11" s="1036"/>
      <c r="AL11" s="1036"/>
      <c r="AM11" s="1036"/>
      <c r="AN11" s="1036"/>
      <c r="AO11" s="1036"/>
      <c r="AP11" s="1036"/>
      <c r="AQ11" s="1036"/>
      <c r="AR11" s="1036"/>
      <c r="AS11" s="1036"/>
      <c r="AT11" s="1036"/>
      <c r="AU11" s="1036"/>
      <c r="AV11" s="1036"/>
      <c r="AW11" s="1036"/>
      <c r="AX11" s="1036"/>
    </row>
    <row r="12" spans="1:50" ht="15" customHeight="1">
      <c r="E12" s="1041" t="str">
        <f>F$9 &amp; " " &amp; Translate!E564</f>
        <v>Gold Production</v>
      </c>
      <c r="F12" s="1041"/>
      <c r="G12" s="1041" t="str">
        <f xml:space="preserve"> Translate!E596 &amp;" " &amp; F10</f>
        <v>Thousand ounce</v>
      </c>
      <c r="H12" s="1041"/>
      <c r="I12" s="1041">
        <f xml:space="preserve"> SUM(K12:AX12)</f>
        <v>2000</v>
      </c>
      <c r="J12" s="1036"/>
      <c r="K12" s="1045">
        <v>0</v>
      </c>
      <c r="L12" s="1045">
        <v>0</v>
      </c>
      <c r="M12" s="1045">
        <v>0</v>
      </c>
      <c r="N12" s="1045">
        <v>0</v>
      </c>
      <c r="O12" s="1045">
        <v>10</v>
      </c>
      <c r="P12" s="1045">
        <v>75</v>
      </c>
      <c r="Q12" s="1045">
        <v>150</v>
      </c>
      <c r="R12" s="1045">
        <v>150</v>
      </c>
      <c r="S12" s="1045">
        <v>150</v>
      </c>
      <c r="T12" s="1045">
        <v>150</v>
      </c>
      <c r="U12" s="1045">
        <v>150</v>
      </c>
      <c r="V12" s="1045">
        <v>150</v>
      </c>
      <c r="W12" s="1045">
        <v>150</v>
      </c>
      <c r="X12" s="1045">
        <v>150</v>
      </c>
      <c r="Y12" s="1045">
        <v>150</v>
      </c>
      <c r="Z12" s="1045">
        <v>150</v>
      </c>
      <c r="AA12" s="1045">
        <v>125</v>
      </c>
      <c r="AB12" s="1045">
        <v>100</v>
      </c>
      <c r="AC12" s="1045">
        <v>75</v>
      </c>
      <c r="AD12" s="1045">
        <v>65</v>
      </c>
      <c r="AE12" s="1045">
        <v>50</v>
      </c>
      <c r="AF12" s="1045"/>
      <c r="AG12" s="1045"/>
      <c r="AH12" s="1045"/>
      <c r="AI12" s="1045"/>
      <c r="AJ12" s="1045"/>
      <c r="AK12" s="1045"/>
      <c r="AL12" s="1045"/>
      <c r="AM12" s="1045"/>
      <c r="AN12" s="1045"/>
      <c r="AO12" s="1045"/>
      <c r="AP12" s="1045"/>
      <c r="AQ12" s="1045"/>
      <c r="AR12" s="1045"/>
      <c r="AS12" s="1045"/>
      <c r="AT12" s="1045"/>
      <c r="AU12" s="1045"/>
      <c r="AV12" s="1045"/>
      <c r="AW12" s="1045"/>
      <c r="AX12" s="1045"/>
    </row>
    <row r="13" spans="1:50" ht="15" customHeight="1">
      <c r="E13" s="1041"/>
      <c r="F13" s="1041"/>
      <c r="G13" s="1041"/>
      <c r="H13" s="1041"/>
      <c r="I13" s="1041"/>
      <c r="J13" s="1036"/>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row>
    <row r="14" spans="1:50" ht="15" customHeight="1">
      <c r="E14" s="1041" t="str">
        <f>Translate!E532</f>
        <v>Transport and refining costs post-fiscal point</v>
      </c>
      <c r="F14" s="1041"/>
      <c r="G14" s="311" t="str">
        <f xml:space="preserve"> Inputs!F$53</f>
        <v>US$ mn 2021</v>
      </c>
      <c r="H14" s="1041"/>
      <c r="I14" s="1041">
        <f t="shared" ref="I14:I19" si="0" xml:space="preserve"> SUM(K14:AX14)</f>
        <v>50</v>
      </c>
      <c r="J14" s="1036"/>
      <c r="K14" s="1045">
        <f t="shared" ref="K14:AX14" si="1" xml:space="preserve"> K12 * $F23 / $F28</f>
        <v>0</v>
      </c>
      <c r="L14" s="1045">
        <f t="shared" si="1"/>
        <v>0</v>
      </c>
      <c r="M14" s="1045">
        <f t="shared" si="1"/>
        <v>0</v>
      </c>
      <c r="N14" s="1045">
        <f t="shared" si="1"/>
        <v>0</v>
      </c>
      <c r="O14" s="1045">
        <f t="shared" si="1"/>
        <v>0.25</v>
      </c>
      <c r="P14" s="1045">
        <f t="shared" si="1"/>
        <v>1.875</v>
      </c>
      <c r="Q14" s="1045">
        <f t="shared" si="1"/>
        <v>3.75</v>
      </c>
      <c r="R14" s="1045">
        <f t="shared" si="1"/>
        <v>3.75</v>
      </c>
      <c r="S14" s="1045">
        <f t="shared" si="1"/>
        <v>3.75</v>
      </c>
      <c r="T14" s="1045">
        <f t="shared" si="1"/>
        <v>3.75</v>
      </c>
      <c r="U14" s="1045">
        <f t="shared" si="1"/>
        <v>3.75</v>
      </c>
      <c r="V14" s="1045">
        <f t="shared" si="1"/>
        <v>3.75</v>
      </c>
      <c r="W14" s="1045">
        <f t="shared" si="1"/>
        <v>3.75</v>
      </c>
      <c r="X14" s="1045">
        <f t="shared" si="1"/>
        <v>3.75</v>
      </c>
      <c r="Y14" s="1045">
        <f t="shared" si="1"/>
        <v>3.75</v>
      </c>
      <c r="Z14" s="1045">
        <f t="shared" si="1"/>
        <v>3.75</v>
      </c>
      <c r="AA14" s="1045">
        <f t="shared" si="1"/>
        <v>3.125</v>
      </c>
      <c r="AB14" s="1045">
        <f t="shared" si="1"/>
        <v>2.5</v>
      </c>
      <c r="AC14" s="1045">
        <f t="shared" si="1"/>
        <v>1.875</v>
      </c>
      <c r="AD14" s="1045">
        <f t="shared" si="1"/>
        <v>1.625</v>
      </c>
      <c r="AE14" s="1045">
        <f xml:space="preserve"> AE12 * $F23 / $F28</f>
        <v>1.25</v>
      </c>
      <c r="AF14" s="1045">
        <f xml:space="preserve"> AF12 * $F23 / $F28</f>
        <v>0</v>
      </c>
      <c r="AG14" s="1045">
        <f t="shared" si="1"/>
        <v>0</v>
      </c>
      <c r="AH14" s="1045">
        <f t="shared" si="1"/>
        <v>0</v>
      </c>
      <c r="AI14" s="1045">
        <f t="shared" si="1"/>
        <v>0</v>
      </c>
      <c r="AJ14" s="1045">
        <f t="shared" si="1"/>
        <v>0</v>
      </c>
      <c r="AK14" s="1045">
        <f t="shared" si="1"/>
        <v>0</v>
      </c>
      <c r="AL14" s="1045">
        <f t="shared" si="1"/>
        <v>0</v>
      </c>
      <c r="AM14" s="1045">
        <f t="shared" si="1"/>
        <v>0</v>
      </c>
      <c r="AN14" s="1045">
        <f t="shared" si="1"/>
        <v>0</v>
      </c>
      <c r="AO14" s="1045">
        <f t="shared" si="1"/>
        <v>0</v>
      </c>
      <c r="AP14" s="1045">
        <f t="shared" si="1"/>
        <v>0</v>
      </c>
      <c r="AQ14" s="1045">
        <f t="shared" si="1"/>
        <v>0</v>
      </c>
      <c r="AR14" s="1045">
        <f t="shared" si="1"/>
        <v>0</v>
      </c>
      <c r="AS14" s="1045">
        <f t="shared" si="1"/>
        <v>0</v>
      </c>
      <c r="AT14" s="1045">
        <f t="shared" si="1"/>
        <v>0</v>
      </c>
      <c r="AU14" s="1045">
        <f t="shared" si="1"/>
        <v>0</v>
      </c>
      <c r="AV14" s="1045">
        <f t="shared" si="1"/>
        <v>0</v>
      </c>
      <c r="AW14" s="1045">
        <f t="shared" si="1"/>
        <v>0</v>
      </c>
      <c r="AX14" s="1045">
        <f t="shared" si="1"/>
        <v>0</v>
      </c>
    </row>
    <row r="15" spans="1:50" ht="15" customHeight="1">
      <c r="E15" s="45" t="str">
        <f>Translate!$E$395</f>
        <v>Exploration costs</v>
      </c>
      <c r="F15" s="1133"/>
      <c r="G15" s="311" t="str">
        <f xml:space="preserve"> Inputs!F$53</f>
        <v>US$ mn 2021</v>
      </c>
      <c r="H15" s="1041"/>
      <c r="I15" s="1041">
        <f t="shared" si="0"/>
        <v>30</v>
      </c>
      <c r="J15" s="1036"/>
      <c r="K15" s="1045">
        <v>10</v>
      </c>
      <c r="L15" s="1045">
        <v>10</v>
      </c>
      <c r="M15" s="1045">
        <v>10</v>
      </c>
      <c r="N15" s="1045"/>
      <c r="O15" s="1045">
        <v>0</v>
      </c>
      <c r="P15" s="1045">
        <v>0</v>
      </c>
      <c r="Q15" s="1045">
        <v>0</v>
      </c>
      <c r="R15" s="1045">
        <v>0</v>
      </c>
      <c r="S15" s="1045">
        <v>0</v>
      </c>
      <c r="T15" s="1045">
        <v>0</v>
      </c>
      <c r="U15" s="1045">
        <v>0</v>
      </c>
      <c r="V15" s="1045">
        <v>0</v>
      </c>
      <c r="W15" s="1045">
        <v>0</v>
      </c>
      <c r="X15" s="1045">
        <v>0</v>
      </c>
      <c r="Y15" s="1045">
        <v>0</v>
      </c>
      <c r="Z15" s="1045">
        <v>0</v>
      </c>
      <c r="AA15" s="1045">
        <v>0</v>
      </c>
      <c r="AB15" s="1045">
        <v>0</v>
      </c>
      <c r="AC15" s="1045">
        <v>0</v>
      </c>
      <c r="AD15" s="1045">
        <v>0</v>
      </c>
      <c r="AE15" s="1045">
        <v>0</v>
      </c>
      <c r="AF15" s="1045">
        <v>0</v>
      </c>
      <c r="AG15" s="1045"/>
      <c r="AH15" s="1045"/>
      <c r="AI15" s="1045"/>
      <c r="AJ15" s="1045"/>
      <c r="AK15" s="1045"/>
      <c r="AL15" s="1045"/>
      <c r="AM15" s="1045"/>
      <c r="AN15" s="1045"/>
      <c r="AO15" s="1045"/>
      <c r="AP15" s="1045"/>
      <c r="AQ15" s="1045"/>
      <c r="AR15" s="1045"/>
      <c r="AS15" s="1045"/>
      <c r="AT15" s="1045"/>
      <c r="AU15" s="1045"/>
      <c r="AV15" s="1045"/>
      <c r="AW15" s="1045"/>
      <c r="AX15" s="1045"/>
    </row>
    <row r="16" spans="1:50" ht="15" customHeight="1">
      <c r="E16" s="45" t="str">
        <f>Translate!$E$396</f>
        <v>Development costs</v>
      </c>
      <c r="F16" s="1133"/>
      <c r="G16" s="311" t="str">
        <f xml:space="preserve"> Inputs!F$53</f>
        <v>US$ mn 2021</v>
      </c>
      <c r="H16" s="1041"/>
      <c r="I16" s="1041">
        <f t="shared" si="0"/>
        <v>400</v>
      </c>
      <c r="J16" s="1036"/>
      <c r="K16" s="1045">
        <v>0</v>
      </c>
      <c r="L16" s="1045">
        <v>0</v>
      </c>
      <c r="M16" s="1045">
        <v>0</v>
      </c>
      <c r="N16" s="1045">
        <v>50</v>
      </c>
      <c r="O16" s="1045">
        <v>250</v>
      </c>
      <c r="P16" s="1045">
        <v>100</v>
      </c>
      <c r="Q16" s="1045"/>
      <c r="R16" s="1045"/>
      <c r="S16" s="1045"/>
      <c r="T16" s="1045"/>
      <c r="U16" s="1045"/>
      <c r="V16" s="1045"/>
      <c r="W16" s="1045"/>
      <c r="X16" s="1045"/>
      <c r="Y16" s="1045"/>
      <c r="Z16" s="1045"/>
      <c r="AA16" s="1045"/>
      <c r="AB16" s="1045"/>
      <c r="AC16" s="1045"/>
      <c r="AD16" s="1045"/>
      <c r="AE16" s="1045"/>
      <c r="AF16" s="1045"/>
      <c r="AG16" s="1045"/>
      <c r="AH16" s="1045"/>
      <c r="AI16" s="1045"/>
      <c r="AJ16" s="1045"/>
      <c r="AK16" s="1045"/>
      <c r="AL16" s="1045"/>
      <c r="AM16" s="1045"/>
      <c r="AN16" s="1045"/>
      <c r="AO16" s="1045"/>
      <c r="AP16" s="1045"/>
      <c r="AQ16" s="1045"/>
      <c r="AR16" s="1045"/>
      <c r="AS16" s="1045"/>
      <c r="AT16" s="1045"/>
      <c r="AU16" s="1045"/>
      <c r="AV16" s="1045"/>
      <c r="AW16" s="1045"/>
      <c r="AX16" s="1045"/>
    </row>
    <row r="17" spans="2:50" ht="15" customHeight="1">
      <c r="E17" s="45" t="str">
        <f>Translate!$E$397</f>
        <v>Replacement capital costs</v>
      </c>
      <c r="F17" s="1133"/>
      <c r="G17" s="311" t="str">
        <f xml:space="preserve"> Inputs!F$53</f>
        <v>US$ mn 2021</v>
      </c>
      <c r="H17" s="1041"/>
      <c r="I17" s="1041">
        <f t="shared" si="0"/>
        <v>96</v>
      </c>
      <c r="J17" s="1036"/>
      <c r="K17" s="1045"/>
      <c r="L17" s="1045"/>
      <c r="M17" s="1045"/>
      <c r="N17" s="1045"/>
      <c r="O17" s="1045"/>
      <c r="P17" s="1045">
        <v>8</v>
      </c>
      <c r="Q17" s="1045">
        <v>8</v>
      </c>
      <c r="R17" s="1045">
        <v>8</v>
      </c>
      <c r="S17" s="1045">
        <v>8</v>
      </c>
      <c r="T17" s="1045">
        <v>8</v>
      </c>
      <c r="U17" s="1045">
        <v>8</v>
      </c>
      <c r="V17" s="1045">
        <v>8</v>
      </c>
      <c r="W17" s="1045">
        <v>8</v>
      </c>
      <c r="X17" s="1045">
        <v>8</v>
      </c>
      <c r="Y17" s="1045">
        <v>8</v>
      </c>
      <c r="Z17" s="1045">
        <v>8</v>
      </c>
      <c r="AA17" s="1045">
        <v>8</v>
      </c>
      <c r="AB17" s="1045"/>
      <c r="AC17" s="1045"/>
      <c r="AD17" s="1045"/>
      <c r="AE17" s="1045"/>
      <c r="AF17" s="1045"/>
      <c r="AG17" s="1045"/>
      <c r="AH17" s="1045"/>
      <c r="AI17" s="1045"/>
      <c r="AJ17" s="1045"/>
      <c r="AK17" s="1045"/>
      <c r="AL17" s="1045"/>
      <c r="AM17" s="1045"/>
      <c r="AN17" s="1045"/>
      <c r="AO17" s="1045"/>
      <c r="AP17" s="1045"/>
      <c r="AQ17" s="1045"/>
      <c r="AR17" s="1045"/>
      <c r="AS17" s="1045"/>
      <c r="AT17" s="1045"/>
      <c r="AU17" s="1045"/>
      <c r="AV17" s="1045"/>
      <c r="AW17" s="1045"/>
      <c r="AX17" s="1045"/>
    </row>
    <row r="18" spans="2:50" ht="15" customHeight="1">
      <c r="E18" s="45" t="str">
        <f>Translate!$E$398</f>
        <v>Operating costs</v>
      </c>
      <c r="F18" s="1133"/>
      <c r="G18" s="311" t="str">
        <f xml:space="preserve"> Inputs!F$53</f>
        <v>US$ mn 2021</v>
      </c>
      <c r="H18" s="1041"/>
      <c r="I18" s="1041">
        <f t="shared" si="0"/>
        <v>900</v>
      </c>
      <c r="J18" s="1036"/>
      <c r="K18" s="1045">
        <f t="shared" ref="K18:AX18" si="2" xml:space="preserve"> K12 * $F24 / $F28</f>
        <v>0</v>
      </c>
      <c r="L18" s="1045">
        <f t="shared" si="2"/>
        <v>0</v>
      </c>
      <c r="M18" s="1045">
        <f t="shared" si="2"/>
        <v>0</v>
      </c>
      <c r="N18" s="1045">
        <f t="shared" si="2"/>
        <v>0</v>
      </c>
      <c r="O18" s="1045">
        <f t="shared" si="2"/>
        <v>4.5</v>
      </c>
      <c r="P18" s="1045">
        <f t="shared" si="2"/>
        <v>33.75</v>
      </c>
      <c r="Q18" s="1045">
        <f t="shared" si="2"/>
        <v>67.5</v>
      </c>
      <c r="R18" s="1045">
        <f t="shared" si="2"/>
        <v>67.5</v>
      </c>
      <c r="S18" s="1045">
        <f t="shared" si="2"/>
        <v>67.5</v>
      </c>
      <c r="T18" s="1045">
        <f t="shared" si="2"/>
        <v>67.5</v>
      </c>
      <c r="U18" s="1045">
        <f t="shared" si="2"/>
        <v>67.5</v>
      </c>
      <c r="V18" s="1045">
        <f t="shared" si="2"/>
        <v>67.5</v>
      </c>
      <c r="W18" s="1045">
        <f t="shared" si="2"/>
        <v>67.5</v>
      </c>
      <c r="X18" s="1045">
        <f t="shared" si="2"/>
        <v>67.5</v>
      </c>
      <c r="Y18" s="1045">
        <f t="shared" si="2"/>
        <v>67.5</v>
      </c>
      <c r="Z18" s="1045">
        <f t="shared" si="2"/>
        <v>67.5</v>
      </c>
      <c r="AA18" s="1045">
        <f t="shared" si="2"/>
        <v>56.25</v>
      </c>
      <c r="AB18" s="1045">
        <f t="shared" si="2"/>
        <v>45</v>
      </c>
      <c r="AC18" s="1045">
        <f t="shared" si="2"/>
        <v>33.75</v>
      </c>
      <c r="AD18" s="1045">
        <f t="shared" si="2"/>
        <v>29.25</v>
      </c>
      <c r="AE18" s="1045">
        <f xml:space="preserve"> AE12 * $F24 / $F28</f>
        <v>22.5</v>
      </c>
      <c r="AF18" s="1045">
        <f xml:space="preserve"> AF12 * $F24 / $F28</f>
        <v>0</v>
      </c>
      <c r="AG18" s="1045">
        <f t="shared" si="2"/>
        <v>0</v>
      </c>
      <c r="AH18" s="1045">
        <f t="shared" si="2"/>
        <v>0</v>
      </c>
      <c r="AI18" s="1045">
        <f t="shared" si="2"/>
        <v>0</v>
      </c>
      <c r="AJ18" s="1045">
        <f t="shared" si="2"/>
        <v>0</v>
      </c>
      <c r="AK18" s="1045">
        <f t="shared" si="2"/>
        <v>0</v>
      </c>
      <c r="AL18" s="1045">
        <f t="shared" si="2"/>
        <v>0</v>
      </c>
      <c r="AM18" s="1045">
        <f t="shared" si="2"/>
        <v>0</v>
      </c>
      <c r="AN18" s="1045">
        <f t="shared" si="2"/>
        <v>0</v>
      </c>
      <c r="AO18" s="1045">
        <f t="shared" si="2"/>
        <v>0</v>
      </c>
      <c r="AP18" s="1045">
        <f t="shared" si="2"/>
        <v>0</v>
      </c>
      <c r="AQ18" s="1045">
        <f t="shared" si="2"/>
        <v>0</v>
      </c>
      <c r="AR18" s="1045">
        <f t="shared" si="2"/>
        <v>0</v>
      </c>
      <c r="AS18" s="1045">
        <f t="shared" si="2"/>
        <v>0</v>
      </c>
      <c r="AT18" s="1045">
        <f t="shared" si="2"/>
        <v>0</v>
      </c>
      <c r="AU18" s="1045">
        <f t="shared" si="2"/>
        <v>0</v>
      </c>
      <c r="AV18" s="1045">
        <f t="shared" si="2"/>
        <v>0</v>
      </c>
      <c r="AW18" s="1045">
        <f t="shared" si="2"/>
        <v>0</v>
      </c>
      <c r="AX18" s="1045">
        <f t="shared" si="2"/>
        <v>0</v>
      </c>
    </row>
    <row r="19" spans="2:50" ht="15" customHeight="1">
      <c r="E19" s="45" t="str">
        <f>Translate!$E$399</f>
        <v>Decommissioning costs</v>
      </c>
      <c r="F19" s="1133"/>
      <c r="G19" s="311" t="str">
        <f xml:space="preserve"> Inputs!F$53</f>
        <v>US$ mn 2021</v>
      </c>
      <c r="H19" s="1041"/>
      <c r="I19" s="1041">
        <f t="shared" si="0"/>
        <v>20</v>
      </c>
      <c r="J19" s="1041"/>
      <c r="K19" s="1045">
        <v>0</v>
      </c>
      <c r="L19" s="1045">
        <v>0</v>
      </c>
      <c r="M19" s="1045">
        <v>0</v>
      </c>
      <c r="N19" s="1045">
        <v>0</v>
      </c>
      <c r="O19" s="1045">
        <v>0</v>
      </c>
      <c r="P19" s="1045">
        <v>0</v>
      </c>
      <c r="Q19" s="1045">
        <v>0</v>
      </c>
      <c r="R19" s="1045">
        <v>0</v>
      </c>
      <c r="S19" s="1045">
        <v>0</v>
      </c>
      <c r="T19" s="1045">
        <v>0</v>
      </c>
      <c r="U19" s="1045">
        <v>0</v>
      </c>
      <c r="V19" s="1045">
        <v>0</v>
      </c>
      <c r="W19" s="1045">
        <v>0</v>
      </c>
      <c r="X19" s="1045">
        <v>0</v>
      </c>
      <c r="Y19" s="1045">
        <v>0</v>
      </c>
      <c r="Z19" s="1045">
        <v>0</v>
      </c>
      <c r="AA19" s="1045">
        <v>0</v>
      </c>
      <c r="AB19" s="1045">
        <v>0</v>
      </c>
      <c r="AC19" s="1045">
        <v>0</v>
      </c>
      <c r="AD19" s="1045">
        <v>0</v>
      </c>
      <c r="AE19" s="1045">
        <v>0</v>
      </c>
      <c r="AF19" s="1045">
        <v>20</v>
      </c>
      <c r="AG19" s="1045">
        <v>0</v>
      </c>
      <c r="AH19" s="1045">
        <v>0</v>
      </c>
      <c r="AI19" s="1045">
        <v>0</v>
      </c>
      <c r="AJ19" s="1045">
        <v>0</v>
      </c>
      <c r="AK19" s="1045">
        <v>0</v>
      </c>
      <c r="AL19" s="1045">
        <v>0</v>
      </c>
      <c r="AM19" s="1045">
        <v>0</v>
      </c>
      <c r="AN19" s="1045">
        <v>0</v>
      </c>
      <c r="AO19" s="1045">
        <v>0</v>
      </c>
      <c r="AP19" s="1045">
        <v>0</v>
      </c>
      <c r="AQ19" s="1045">
        <v>0</v>
      </c>
      <c r="AR19" s="1045">
        <v>0</v>
      </c>
      <c r="AS19" s="1045">
        <v>0</v>
      </c>
      <c r="AT19" s="1045">
        <v>0</v>
      </c>
      <c r="AU19" s="1045">
        <v>0</v>
      </c>
      <c r="AV19" s="1045">
        <v>0</v>
      </c>
      <c r="AW19" s="1045">
        <v>0</v>
      </c>
      <c r="AX19" s="1045">
        <v>0</v>
      </c>
    </row>
    <row r="20" spans="2:50" ht="15" customHeight="1">
      <c r="E20" s="303" t="str">
        <f>Translate!$E$400</f>
        <v>Total costs</v>
      </c>
      <c r="F20" s="1133"/>
      <c r="G20" s="311" t="str">
        <f xml:space="preserve"> Inputs!F$53</f>
        <v>US$ mn 2021</v>
      </c>
      <c r="H20" s="1041"/>
      <c r="I20" s="1041">
        <f xml:space="preserve"> SUM(K20:AX20)</f>
        <v>1496</v>
      </c>
      <c r="J20" s="1036"/>
      <c r="K20" s="1036">
        <f t="shared" ref="K20:AX20" si="3">SUM(K14:K19)</f>
        <v>10</v>
      </c>
      <c r="L20" s="1036">
        <f t="shared" si="3"/>
        <v>10</v>
      </c>
      <c r="M20" s="1036">
        <f t="shared" si="3"/>
        <v>10</v>
      </c>
      <c r="N20" s="1036">
        <f t="shared" si="3"/>
        <v>50</v>
      </c>
      <c r="O20" s="1036">
        <f t="shared" si="3"/>
        <v>254.75</v>
      </c>
      <c r="P20" s="1036">
        <f t="shared" si="3"/>
        <v>143.625</v>
      </c>
      <c r="Q20" s="1036">
        <f t="shared" si="3"/>
        <v>79.25</v>
      </c>
      <c r="R20" s="1036">
        <f t="shared" si="3"/>
        <v>79.25</v>
      </c>
      <c r="S20" s="1036">
        <f t="shared" si="3"/>
        <v>79.25</v>
      </c>
      <c r="T20" s="1036">
        <f t="shared" si="3"/>
        <v>79.25</v>
      </c>
      <c r="U20" s="1036">
        <f t="shared" si="3"/>
        <v>79.25</v>
      </c>
      <c r="V20" s="1036">
        <f t="shared" si="3"/>
        <v>79.25</v>
      </c>
      <c r="W20" s="1036">
        <f t="shared" si="3"/>
        <v>79.25</v>
      </c>
      <c r="X20" s="1036">
        <f t="shared" si="3"/>
        <v>79.25</v>
      </c>
      <c r="Y20" s="1036">
        <f t="shared" si="3"/>
        <v>79.25</v>
      </c>
      <c r="Z20" s="1036">
        <f t="shared" si="3"/>
        <v>79.25</v>
      </c>
      <c r="AA20" s="1036">
        <f t="shared" si="3"/>
        <v>67.375</v>
      </c>
      <c r="AB20" s="1036">
        <f t="shared" si="3"/>
        <v>47.5</v>
      </c>
      <c r="AC20" s="1036">
        <f t="shared" si="3"/>
        <v>35.625</v>
      </c>
      <c r="AD20" s="1036">
        <f t="shared" si="3"/>
        <v>30.875</v>
      </c>
      <c r="AE20" s="1036">
        <f t="shared" si="3"/>
        <v>23.75</v>
      </c>
      <c r="AF20" s="1036">
        <f t="shared" si="3"/>
        <v>20</v>
      </c>
      <c r="AG20" s="1036">
        <f t="shared" si="3"/>
        <v>0</v>
      </c>
      <c r="AH20" s="1036">
        <f t="shared" si="3"/>
        <v>0</v>
      </c>
      <c r="AI20" s="1036">
        <f t="shared" si="3"/>
        <v>0</v>
      </c>
      <c r="AJ20" s="1036">
        <f t="shared" si="3"/>
        <v>0</v>
      </c>
      <c r="AK20" s="1036">
        <f t="shared" si="3"/>
        <v>0</v>
      </c>
      <c r="AL20" s="1036">
        <f t="shared" si="3"/>
        <v>0</v>
      </c>
      <c r="AM20" s="1036">
        <f t="shared" si="3"/>
        <v>0</v>
      </c>
      <c r="AN20" s="1036">
        <f t="shared" si="3"/>
        <v>0</v>
      </c>
      <c r="AO20" s="1036">
        <f t="shared" si="3"/>
        <v>0</v>
      </c>
      <c r="AP20" s="1036">
        <f t="shared" si="3"/>
        <v>0</v>
      </c>
      <c r="AQ20" s="1036">
        <f t="shared" si="3"/>
        <v>0</v>
      </c>
      <c r="AR20" s="1036">
        <f t="shared" si="3"/>
        <v>0</v>
      </c>
      <c r="AS20" s="1036">
        <f t="shared" si="3"/>
        <v>0</v>
      </c>
      <c r="AT20" s="1036">
        <f t="shared" si="3"/>
        <v>0</v>
      </c>
      <c r="AU20" s="1036">
        <f t="shared" si="3"/>
        <v>0</v>
      </c>
      <c r="AV20" s="1036">
        <f t="shared" si="3"/>
        <v>0</v>
      </c>
      <c r="AW20" s="1036">
        <f t="shared" si="3"/>
        <v>0</v>
      </c>
      <c r="AX20" s="1036">
        <f t="shared" si="3"/>
        <v>0</v>
      </c>
    </row>
    <row r="21" spans="2:50" ht="15" customHeight="1">
      <c r="E21" s="1041"/>
      <c r="F21" s="1041"/>
      <c r="G21" s="1041"/>
      <c r="H21" s="1041"/>
      <c r="I21" s="1041"/>
      <c r="J21" s="1036"/>
      <c r="K21" s="1036"/>
      <c r="L21" s="1036"/>
      <c r="M21" s="1036"/>
      <c r="N21" s="1036"/>
      <c r="O21" s="1036"/>
      <c r="P21" s="1036"/>
      <c r="Q21" s="1036"/>
      <c r="R21" s="1036"/>
      <c r="S21" s="1036"/>
      <c r="T21" s="1036"/>
      <c r="U21" s="1036"/>
      <c r="V21" s="1036"/>
      <c r="W21" s="1036"/>
      <c r="X21" s="1036"/>
      <c r="Y21" s="1036"/>
      <c r="Z21" s="1036"/>
      <c r="AA21" s="1036"/>
      <c r="AB21" s="1036"/>
      <c r="AC21" s="1036"/>
      <c r="AD21" s="1036"/>
      <c r="AE21" s="1036"/>
      <c r="AF21" s="1036"/>
      <c r="AG21" s="1036"/>
      <c r="AH21" s="1036"/>
      <c r="AI21" s="1036"/>
      <c r="AJ21" s="1036"/>
      <c r="AK21" s="1036"/>
      <c r="AL21" s="1036"/>
      <c r="AM21" s="1036"/>
      <c r="AN21" s="1036"/>
      <c r="AO21" s="1036"/>
      <c r="AP21" s="1036"/>
      <c r="AQ21" s="1036"/>
      <c r="AR21" s="1036"/>
      <c r="AS21" s="1036"/>
      <c r="AT21" s="1036"/>
      <c r="AU21" s="1036"/>
      <c r="AV21" s="1036"/>
      <c r="AW21" s="1036"/>
      <c r="AX21" s="1036"/>
    </row>
    <row r="22" spans="2:50" ht="15" customHeight="1">
      <c r="B22" s="19" t="str">
        <f>Translate!$E$601</f>
        <v>Cost inputs</v>
      </c>
      <c r="E22" s="1041"/>
      <c r="F22" s="1041"/>
      <c r="G22" s="1041"/>
      <c r="H22" s="1041"/>
      <c r="I22" s="1041"/>
      <c r="J22" s="1036"/>
      <c r="K22" s="1036"/>
      <c r="L22" s="1036"/>
      <c r="M22" s="1036"/>
      <c r="N22" s="1036"/>
      <c r="O22" s="1036"/>
      <c r="P22" s="1036"/>
      <c r="Q22" s="1036"/>
      <c r="R22" s="1036"/>
      <c r="S22" s="1036"/>
      <c r="T22" s="1036"/>
      <c r="U22" s="1036"/>
      <c r="V22" s="1036"/>
      <c r="W22" s="1036"/>
      <c r="X22" s="1036"/>
      <c r="Y22" s="1036"/>
      <c r="Z22" s="1036"/>
      <c r="AA22" s="1036"/>
      <c r="AB22" s="1036"/>
      <c r="AC22" s="1036"/>
      <c r="AD22" s="1036"/>
      <c r="AE22" s="1036"/>
      <c r="AF22" s="1036"/>
      <c r="AG22" s="1036"/>
      <c r="AH22" s="1036"/>
      <c r="AI22" s="1036"/>
      <c r="AJ22" s="1036"/>
      <c r="AK22" s="1036"/>
      <c r="AL22" s="1036"/>
      <c r="AM22" s="1036"/>
      <c r="AN22" s="1036"/>
      <c r="AO22" s="1036"/>
      <c r="AP22" s="1036"/>
      <c r="AQ22" s="1036"/>
      <c r="AR22" s="1036"/>
      <c r="AS22" s="1036"/>
      <c r="AT22" s="1036"/>
      <c r="AU22" s="1036"/>
      <c r="AV22" s="1036"/>
      <c r="AW22" s="1036"/>
      <c r="AX22" s="1036"/>
    </row>
    <row r="23" spans="2:50" ht="15" customHeight="1">
      <c r="E23" s="1041" t="str">
        <f xml:space="preserve"> E14</f>
        <v>Transport and refining costs post-fiscal point</v>
      </c>
      <c r="F23" s="1134">
        <v>25</v>
      </c>
      <c r="G23" s="1041" t="str">
        <f xml:space="preserve"> Inputs!F$52 &amp; " / " &amp; F$10</f>
        <v>US$ 2021 / ounce</v>
      </c>
      <c r="H23" s="1041"/>
      <c r="I23" s="1041"/>
      <c r="J23" s="1036"/>
      <c r="K23" s="1036"/>
      <c r="L23" s="1036"/>
      <c r="M23" s="1036"/>
      <c r="N23" s="1036"/>
      <c r="O23" s="1036"/>
      <c r="P23" s="1036"/>
      <c r="Q23" s="1036"/>
      <c r="R23" s="1036"/>
      <c r="S23" s="1036"/>
      <c r="T23" s="1036"/>
      <c r="U23" s="1036"/>
      <c r="V23" s="1036"/>
      <c r="W23" s="1036"/>
      <c r="X23" s="1036"/>
      <c r="Y23" s="1036"/>
      <c r="Z23" s="1036"/>
      <c r="AA23" s="1036"/>
      <c r="AB23" s="1036"/>
      <c r="AC23" s="1036"/>
      <c r="AD23" s="1036"/>
      <c r="AE23" s="1036"/>
      <c r="AF23" s="1036"/>
      <c r="AG23" s="1036"/>
      <c r="AH23" s="1036"/>
      <c r="AI23" s="1036"/>
      <c r="AJ23" s="1036"/>
      <c r="AK23" s="1036"/>
      <c r="AL23" s="1036"/>
      <c r="AM23" s="1036"/>
      <c r="AN23" s="1036"/>
      <c r="AO23" s="1036"/>
      <c r="AP23" s="1036"/>
      <c r="AQ23" s="1036"/>
      <c r="AR23" s="1036"/>
      <c r="AS23" s="1036"/>
      <c r="AT23" s="1036"/>
      <c r="AU23" s="1036"/>
      <c r="AV23" s="1036"/>
      <c r="AW23" s="1036"/>
      <c r="AX23" s="1036"/>
    </row>
    <row r="24" spans="2:50" ht="15" customHeight="1">
      <c r="E24" s="1041" t="str">
        <f xml:space="preserve"> E$18</f>
        <v>Operating costs</v>
      </c>
      <c r="F24" s="1134">
        <v>450</v>
      </c>
      <c r="G24" s="1041" t="str">
        <f xml:space="preserve"> Inputs!F$52 &amp; " / " &amp; F$10</f>
        <v>US$ 2021 / ounce</v>
      </c>
      <c r="H24" s="1041"/>
      <c r="I24" s="1041"/>
      <c r="J24" s="1036"/>
      <c r="K24" s="1036"/>
      <c r="L24" s="1036"/>
      <c r="M24" s="1036"/>
      <c r="N24" s="1036"/>
      <c r="O24" s="1036"/>
      <c r="P24" s="1036"/>
      <c r="Q24" s="1036"/>
      <c r="R24" s="1036"/>
      <c r="S24" s="1036"/>
      <c r="T24" s="1036"/>
      <c r="U24" s="1036"/>
      <c r="V24" s="1036"/>
      <c r="W24" s="1036"/>
      <c r="X24" s="1036"/>
      <c r="Y24" s="1036"/>
      <c r="Z24" s="1036"/>
      <c r="AA24" s="1036"/>
      <c r="AB24" s="1036"/>
      <c r="AC24" s="1036"/>
      <c r="AD24" s="1036"/>
      <c r="AE24" s="1036"/>
      <c r="AF24" s="1036"/>
      <c r="AG24" s="1036"/>
      <c r="AH24" s="1036"/>
      <c r="AI24" s="1036"/>
      <c r="AJ24" s="1036"/>
      <c r="AK24" s="1036"/>
      <c r="AL24" s="1036"/>
      <c r="AM24" s="1036"/>
      <c r="AN24" s="1036"/>
      <c r="AO24" s="1036"/>
      <c r="AP24" s="1036"/>
      <c r="AQ24" s="1036"/>
      <c r="AR24" s="1036"/>
      <c r="AS24" s="1036"/>
      <c r="AT24" s="1036"/>
      <c r="AU24" s="1036"/>
      <c r="AV24" s="1036"/>
      <c r="AW24" s="1036"/>
      <c r="AX24" s="1036"/>
    </row>
    <row r="25" spans="2:50" ht="15" customHeight="1">
      <c r="E25" s="1041"/>
      <c r="F25" s="1041"/>
      <c r="G25" s="1041"/>
      <c r="H25" s="1041"/>
      <c r="I25" s="1041"/>
      <c r="J25" s="1036"/>
      <c r="K25" s="1036"/>
      <c r="L25" s="1036"/>
      <c r="M25" s="1036"/>
      <c r="N25" s="1036"/>
      <c r="O25" s="1036"/>
      <c r="P25" s="1036"/>
      <c r="Q25" s="1036"/>
      <c r="R25" s="1036"/>
      <c r="S25" s="1036"/>
      <c r="T25" s="1036"/>
      <c r="U25" s="1036"/>
      <c r="V25" s="1036"/>
      <c r="W25" s="1036"/>
      <c r="X25" s="1036"/>
      <c r="Y25" s="1036"/>
      <c r="Z25" s="1036"/>
      <c r="AA25" s="1036"/>
      <c r="AB25" s="1036"/>
      <c r="AC25" s="1036"/>
      <c r="AD25" s="1036"/>
      <c r="AE25" s="1036"/>
      <c r="AF25" s="1036"/>
      <c r="AG25" s="1036"/>
      <c r="AH25" s="1036"/>
      <c r="AI25" s="1036"/>
      <c r="AJ25" s="1036"/>
      <c r="AK25" s="1036"/>
      <c r="AL25" s="1036"/>
      <c r="AM25" s="1036"/>
      <c r="AN25" s="1036"/>
      <c r="AO25" s="1036"/>
      <c r="AP25" s="1036"/>
      <c r="AQ25" s="1036"/>
      <c r="AR25" s="1036"/>
      <c r="AS25" s="1036"/>
      <c r="AT25" s="1036"/>
      <c r="AU25" s="1036"/>
      <c r="AV25" s="1036"/>
      <c r="AW25" s="1036"/>
      <c r="AX25" s="1036"/>
    </row>
    <row r="26" spans="2:50" ht="15" customHeight="1">
      <c r="B26" s="19" t="str">
        <f>Translate!$E$602</f>
        <v>Unit costs</v>
      </c>
      <c r="E26" s="1041"/>
      <c r="F26" s="1041"/>
      <c r="G26" s="1041"/>
      <c r="H26" s="1041"/>
      <c r="I26" s="1041"/>
      <c r="J26" s="1036"/>
      <c r="K26" s="1036"/>
      <c r="L26" s="1036"/>
      <c r="M26" s="1036"/>
      <c r="N26" s="1036"/>
      <c r="O26" s="1036"/>
      <c r="P26" s="1036"/>
      <c r="Q26" s="1036"/>
      <c r="R26" s="1036"/>
      <c r="S26" s="1036"/>
      <c r="T26" s="1036"/>
      <c r="U26" s="1036"/>
      <c r="V26" s="1036"/>
      <c r="W26" s="1036"/>
      <c r="X26" s="1036"/>
      <c r="Y26" s="1036"/>
      <c r="Z26" s="1036"/>
      <c r="AA26" s="1036"/>
      <c r="AB26" s="1036"/>
      <c r="AC26" s="1036"/>
      <c r="AD26" s="1036"/>
      <c r="AE26" s="1036"/>
      <c r="AF26" s="1036"/>
      <c r="AG26" s="1036"/>
      <c r="AH26" s="1036"/>
      <c r="AI26" s="1036"/>
      <c r="AJ26" s="1036"/>
      <c r="AK26" s="1036"/>
      <c r="AL26" s="1036"/>
      <c r="AM26" s="1036"/>
      <c r="AN26" s="1036"/>
      <c r="AO26" s="1036"/>
      <c r="AP26" s="1036"/>
      <c r="AQ26" s="1036"/>
      <c r="AR26" s="1036"/>
      <c r="AS26" s="1036"/>
      <c r="AT26" s="1036"/>
      <c r="AU26" s="1036"/>
      <c r="AV26" s="1036"/>
      <c r="AW26" s="1036"/>
      <c r="AX26" s="1036"/>
    </row>
    <row r="27" spans="2:50" ht="15" customHeight="1">
      <c r="E27" s="1041" t="str">
        <f>Translate!$E$401</f>
        <v>Total sales</v>
      </c>
      <c r="F27" s="1041">
        <f xml:space="preserve"> SUM(K12:AX12)</f>
        <v>2000</v>
      </c>
      <c r="G27" s="1041" t="str">
        <f xml:space="preserve"> G12</f>
        <v>Thousand ounce</v>
      </c>
      <c r="H27" s="1041"/>
      <c r="I27" s="1041"/>
      <c r="J27" s="1036"/>
      <c r="K27" s="1036"/>
      <c r="L27" s="1036"/>
      <c r="M27" s="1036"/>
      <c r="N27" s="1036"/>
      <c r="O27" s="1036"/>
      <c r="P27" s="1036"/>
      <c r="Q27" s="1036"/>
      <c r="R27" s="1036"/>
      <c r="S27" s="1036"/>
      <c r="T27" s="1036"/>
      <c r="U27" s="1036"/>
      <c r="V27" s="1036"/>
      <c r="W27" s="1036"/>
      <c r="X27" s="1036"/>
      <c r="Y27" s="1036"/>
      <c r="Z27" s="1036"/>
      <c r="AA27" s="1036"/>
      <c r="AB27" s="1036"/>
      <c r="AC27" s="1036"/>
      <c r="AD27" s="1036"/>
      <c r="AE27" s="1036"/>
      <c r="AF27" s="1036"/>
      <c r="AG27" s="1036"/>
      <c r="AH27" s="1036"/>
      <c r="AI27" s="1036"/>
      <c r="AJ27" s="1036"/>
      <c r="AK27" s="1036"/>
      <c r="AL27" s="1036"/>
      <c r="AM27" s="1036"/>
      <c r="AN27" s="1036"/>
      <c r="AO27" s="1036"/>
      <c r="AP27" s="1036"/>
      <c r="AQ27" s="1036"/>
      <c r="AR27" s="1036"/>
      <c r="AS27" s="1036"/>
      <c r="AT27" s="1036"/>
      <c r="AU27" s="1036"/>
      <c r="AV27" s="1036"/>
      <c r="AW27" s="1036"/>
      <c r="AX27" s="1036"/>
    </row>
    <row r="28" spans="2:50" ht="15" customHeight="1">
      <c r="E28" s="219" t="str">
        <f xml:space="preserve"> Inputs!E$76</f>
        <v>one thousand</v>
      </c>
      <c r="F28" s="219">
        <f xml:space="preserve"> Inputs!F$76</f>
        <v>1000</v>
      </c>
      <c r="G28" s="219" t="str">
        <f xml:space="preserve"> Inputs!G$76</f>
        <v>Constant</v>
      </c>
      <c r="H28" s="1041"/>
      <c r="I28" s="1041"/>
      <c r="J28" s="1036"/>
      <c r="K28" s="1036"/>
      <c r="L28" s="1036"/>
      <c r="M28" s="1036"/>
      <c r="N28" s="1036"/>
      <c r="O28" s="1036"/>
      <c r="P28" s="1036"/>
      <c r="Q28" s="1036"/>
      <c r="R28" s="1036"/>
      <c r="S28" s="1036"/>
      <c r="T28" s="1036"/>
      <c r="U28" s="1036"/>
      <c r="V28" s="1036"/>
      <c r="W28" s="1036"/>
      <c r="X28" s="1036"/>
      <c r="Y28" s="1036"/>
      <c r="Z28" s="1036"/>
      <c r="AA28" s="1036"/>
      <c r="AB28" s="1036"/>
      <c r="AC28" s="1036"/>
      <c r="AD28" s="1036"/>
      <c r="AE28" s="1036"/>
      <c r="AF28" s="1036"/>
      <c r="AG28" s="1036"/>
      <c r="AH28" s="1036"/>
      <c r="AI28" s="1036"/>
      <c r="AJ28" s="1036"/>
      <c r="AK28" s="1036"/>
      <c r="AL28" s="1036"/>
      <c r="AM28" s="1036"/>
      <c r="AN28" s="1036"/>
      <c r="AO28" s="1036"/>
      <c r="AP28" s="1036"/>
      <c r="AQ28" s="1036"/>
      <c r="AR28" s="1036"/>
      <c r="AS28" s="1036"/>
      <c r="AT28" s="1036"/>
      <c r="AU28" s="1036"/>
      <c r="AV28" s="1036"/>
      <c r="AW28" s="1036"/>
      <c r="AX28" s="1036"/>
    </row>
    <row r="29" spans="2:50" ht="15" customHeight="1">
      <c r="E29" s="219"/>
      <c r="F29" s="219"/>
      <c r="G29" s="219"/>
      <c r="H29" s="1041"/>
      <c r="I29" s="1041"/>
      <c r="J29" s="1036"/>
      <c r="K29" s="1036"/>
      <c r="L29" s="1036"/>
      <c r="M29" s="1036"/>
      <c r="N29" s="1036"/>
      <c r="O29" s="1036"/>
      <c r="P29" s="1036"/>
      <c r="Q29" s="1036"/>
      <c r="R29" s="1036"/>
      <c r="S29" s="1036"/>
      <c r="T29" s="1036"/>
      <c r="U29" s="1036"/>
      <c r="V29" s="1036"/>
      <c r="W29" s="1036"/>
      <c r="X29" s="1036"/>
      <c r="Y29" s="1036"/>
      <c r="Z29" s="1036"/>
      <c r="AA29" s="1036"/>
      <c r="AB29" s="1036"/>
      <c r="AC29" s="1036"/>
      <c r="AD29" s="1036"/>
      <c r="AE29" s="1036"/>
      <c r="AF29" s="1036"/>
      <c r="AG29" s="1036"/>
      <c r="AH29" s="1036"/>
      <c r="AI29" s="1036"/>
      <c r="AJ29" s="1036"/>
      <c r="AK29" s="1036"/>
      <c r="AL29" s="1036"/>
      <c r="AM29" s="1036"/>
      <c r="AN29" s="1036"/>
      <c r="AO29" s="1036"/>
      <c r="AP29" s="1036"/>
      <c r="AQ29" s="1036"/>
      <c r="AR29" s="1036"/>
      <c r="AS29" s="1036"/>
      <c r="AT29" s="1036"/>
      <c r="AU29" s="1036"/>
      <c r="AV29" s="1036"/>
      <c r="AW29" s="1036"/>
      <c r="AX29" s="1036"/>
    </row>
    <row r="30" spans="2:50" ht="15" customHeight="1">
      <c r="E30" s="1041" t="str">
        <f t="shared" ref="E30:E36" si="4" xml:space="preserve"> E14</f>
        <v>Transport and refining costs post-fiscal point</v>
      </c>
      <c r="F30" s="1133">
        <f t="shared" ref="F30:F35" si="5" xml:space="preserve"> SUM(K14:AX14) / F$27 * F$28</f>
        <v>25</v>
      </c>
      <c r="G30" s="1041" t="str">
        <f xml:space="preserve"> Inputs!F$52 &amp; " / " &amp; F$10</f>
        <v>US$ 2021 / ounce</v>
      </c>
      <c r="H30" s="1041"/>
      <c r="I30" s="1041"/>
      <c r="J30" s="1036"/>
      <c r="K30" s="1036"/>
      <c r="L30" s="1036"/>
      <c r="M30" s="1036"/>
      <c r="N30" s="1036"/>
      <c r="O30" s="1036"/>
      <c r="P30" s="1036"/>
      <c r="Q30" s="1036"/>
      <c r="R30" s="1036"/>
      <c r="S30" s="1036"/>
      <c r="T30" s="1036"/>
      <c r="U30" s="1036"/>
      <c r="V30" s="1036"/>
      <c r="W30" s="1036"/>
      <c r="X30" s="1036"/>
      <c r="Y30" s="1036"/>
      <c r="Z30" s="1036"/>
      <c r="AA30" s="1036"/>
      <c r="AB30" s="1036"/>
      <c r="AC30" s="1036"/>
      <c r="AD30" s="1036"/>
      <c r="AE30" s="1036"/>
      <c r="AF30" s="1036"/>
      <c r="AG30" s="1036"/>
      <c r="AH30" s="1036"/>
      <c r="AI30" s="1036"/>
      <c r="AJ30" s="1036"/>
      <c r="AK30" s="1036"/>
      <c r="AL30" s="1036"/>
      <c r="AM30" s="1036"/>
      <c r="AN30" s="1036"/>
      <c r="AO30" s="1036"/>
      <c r="AP30" s="1036"/>
      <c r="AQ30" s="1036"/>
      <c r="AR30" s="1036"/>
      <c r="AS30" s="1036"/>
      <c r="AT30" s="1036"/>
      <c r="AU30" s="1036"/>
      <c r="AV30" s="1036"/>
      <c r="AW30" s="1036"/>
      <c r="AX30" s="1036"/>
    </row>
    <row r="31" spans="2:50" ht="15" customHeight="1">
      <c r="E31" s="1041" t="str">
        <f t="shared" si="4"/>
        <v>Exploration costs</v>
      </c>
      <c r="F31" s="1133">
        <f t="shared" si="5"/>
        <v>15</v>
      </c>
      <c r="G31" s="1041" t="str">
        <f xml:space="preserve"> Inputs!F$52 &amp; " / " &amp; F$10</f>
        <v>US$ 2021 / ounce</v>
      </c>
      <c r="H31" s="1041"/>
      <c r="I31" s="1041"/>
      <c r="J31" s="1036"/>
      <c r="K31" s="1036"/>
      <c r="L31" s="1036"/>
      <c r="M31" s="1036"/>
      <c r="N31" s="1036"/>
      <c r="O31" s="1036"/>
      <c r="P31" s="1036"/>
      <c r="Q31" s="1036"/>
      <c r="R31" s="1036"/>
      <c r="S31" s="1036"/>
      <c r="T31" s="1036"/>
      <c r="U31" s="1036"/>
      <c r="V31" s="1036"/>
      <c r="W31" s="1036"/>
      <c r="X31" s="1036"/>
      <c r="Y31" s="1036"/>
      <c r="Z31" s="1036"/>
      <c r="AA31" s="1036"/>
      <c r="AB31" s="1036"/>
      <c r="AC31" s="1036"/>
      <c r="AD31" s="1036"/>
      <c r="AE31" s="1036"/>
      <c r="AF31" s="1036"/>
      <c r="AG31" s="1036"/>
      <c r="AH31" s="1036"/>
      <c r="AI31" s="1036"/>
      <c r="AJ31" s="1036"/>
      <c r="AK31" s="1036"/>
      <c r="AL31" s="1036"/>
      <c r="AM31" s="1036"/>
      <c r="AN31" s="1036"/>
      <c r="AO31" s="1036"/>
      <c r="AP31" s="1036"/>
      <c r="AQ31" s="1036"/>
      <c r="AR31" s="1036"/>
      <c r="AS31" s="1036"/>
      <c r="AT31" s="1036"/>
      <c r="AU31" s="1036"/>
      <c r="AV31" s="1036"/>
      <c r="AW31" s="1036"/>
      <c r="AX31" s="1036"/>
    </row>
    <row r="32" spans="2:50" ht="15" customHeight="1">
      <c r="E32" s="1041" t="str">
        <f t="shared" si="4"/>
        <v>Development costs</v>
      </c>
      <c r="F32" s="1133">
        <f t="shared" si="5"/>
        <v>200</v>
      </c>
      <c r="G32" s="1041" t="str">
        <f xml:space="preserve"> Inputs!F$52 &amp; " / " &amp; F$10</f>
        <v>US$ 2021 / ounce</v>
      </c>
      <c r="H32" s="1041"/>
      <c r="I32" s="1041"/>
      <c r="J32" s="1036"/>
      <c r="K32" s="1036"/>
      <c r="L32" s="1036"/>
      <c r="M32" s="1036"/>
      <c r="N32" s="1036"/>
      <c r="O32" s="1036"/>
      <c r="P32" s="1036"/>
      <c r="Q32" s="1036"/>
      <c r="R32" s="1036"/>
      <c r="S32" s="1036"/>
      <c r="T32" s="1036"/>
      <c r="U32" s="1036"/>
      <c r="V32" s="1036"/>
      <c r="W32" s="1036"/>
      <c r="X32" s="1036"/>
      <c r="Y32" s="1036"/>
      <c r="Z32" s="1036"/>
      <c r="AA32" s="1036"/>
      <c r="AB32" s="1036"/>
      <c r="AC32" s="1036"/>
      <c r="AD32" s="1036"/>
      <c r="AE32" s="1036"/>
      <c r="AF32" s="1036"/>
      <c r="AG32" s="1036"/>
      <c r="AH32" s="1036"/>
      <c r="AI32" s="1036"/>
      <c r="AJ32" s="1036"/>
      <c r="AK32" s="1036"/>
      <c r="AL32" s="1036"/>
      <c r="AM32" s="1036"/>
      <c r="AN32" s="1036"/>
      <c r="AO32" s="1036"/>
      <c r="AP32" s="1036"/>
      <c r="AQ32" s="1036"/>
      <c r="AR32" s="1036"/>
      <c r="AS32" s="1036"/>
      <c r="AT32" s="1036"/>
      <c r="AU32" s="1036"/>
      <c r="AV32" s="1036"/>
      <c r="AW32" s="1036"/>
      <c r="AX32" s="1036"/>
    </row>
    <row r="33" spans="1:50" ht="15" customHeight="1">
      <c r="E33" s="1041" t="str">
        <f t="shared" si="4"/>
        <v>Replacement capital costs</v>
      </c>
      <c r="F33" s="1133">
        <f t="shared" si="5"/>
        <v>48</v>
      </c>
      <c r="G33" s="1041" t="str">
        <f xml:space="preserve"> Inputs!F$52 &amp; " / " &amp; F$10</f>
        <v>US$ 2021 / ounce</v>
      </c>
      <c r="H33" s="1041"/>
      <c r="I33" s="1041"/>
      <c r="J33" s="1036"/>
      <c r="K33" s="1036"/>
      <c r="L33" s="1036"/>
      <c r="M33" s="1036"/>
      <c r="N33" s="1036"/>
      <c r="O33" s="1036"/>
      <c r="P33" s="1036"/>
      <c r="Q33" s="1036"/>
      <c r="R33" s="1036"/>
      <c r="S33" s="1036"/>
      <c r="T33" s="1036"/>
      <c r="U33" s="1036"/>
      <c r="V33" s="1036"/>
      <c r="W33" s="1036"/>
      <c r="X33" s="1036"/>
      <c r="Y33" s="1036"/>
      <c r="Z33" s="1036"/>
      <c r="AA33" s="1036"/>
      <c r="AB33" s="1036"/>
      <c r="AC33" s="1036"/>
      <c r="AD33" s="1036"/>
      <c r="AE33" s="1036"/>
      <c r="AF33" s="1036"/>
      <c r="AG33" s="1036"/>
      <c r="AH33" s="1036"/>
      <c r="AI33" s="1036"/>
      <c r="AJ33" s="1036"/>
      <c r="AK33" s="1036"/>
      <c r="AL33" s="1036"/>
      <c r="AM33" s="1036"/>
      <c r="AN33" s="1036"/>
      <c r="AO33" s="1036"/>
      <c r="AP33" s="1036"/>
      <c r="AQ33" s="1036"/>
      <c r="AR33" s="1036"/>
      <c r="AS33" s="1036"/>
      <c r="AT33" s="1036"/>
      <c r="AU33" s="1036"/>
      <c r="AV33" s="1036"/>
      <c r="AW33" s="1036"/>
      <c r="AX33" s="1036"/>
    </row>
    <row r="34" spans="1:50" ht="15" customHeight="1">
      <c r="E34" s="1041" t="str">
        <f t="shared" si="4"/>
        <v>Operating costs</v>
      </c>
      <c r="F34" s="1133">
        <f t="shared" si="5"/>
        <v>450</v>
      </c>
      <c r="G34" s="1041" t="str">
        <f xml:space="preserve"> Inputs!F$52 &amp; " / " &amp; F$10</f>
        <v>US$ 2021 / ounce</v>
      </c>
      <c r="H34" s="1041"/>
      <c r="I34" s="1041"/>
      <c r="J34" s="1036"/>
      <c r="K34" s="1036"/>
      <c r="L34" s="1036"/>
      <c r="M34" s="1036"/>
      <c r="N34" s="1036"/>
      <c r="O34" s="1036"/>
      <c r="P34" s="1036"/>
      <c r="Q34" s="1036"/>
      <c r="R34" s="1036"/>
      <c r="S34" s="1036"/>
      <c r="T34" s="1036"/>
      <c r="U34" s="1036"/>
      <c r="V34" s="1036"/>
      <c r="W34" s="1036"/>
      <c r="X34" s="1036"/>
      <c r="Y34" s="1036"/>
      <c r="Z34" s="1036"/>
      <c r="AA34" s="1036"/>
      <c r="AB34" s="1036"/>
      <c r="AC34" s="1036"/>
      <c r="AD34" s="1036"/>
      <c r="AE34" s="1036"/>
      <c r="AF34" s="1036"/>
      <c r="AG34" s="1036"/>
      <c r="AH34" s="1036"/>
      <c r="AI34" s="1036"/>
      <c r="AJ34" s="1036"/>
      <c r="AK34" s="1036"/>
      <c r="AL34" s="1036"/>
      <c r="AM34" s="1036"/>
      <c r="AN34" s="1036"/>
      <c r="AO34" s="1036"/>
      <c r="AP34" s="1036"/>
      <c r="AQ34" s="1036"/>
      <c r="AR34" s="1036"/>
      <c r="AS34" s="1036"/>
      <c r="AT34" s="1036"/>
      <c r="AU34" s="1036"/>
      <c r="AV34" s="1036"/>
      <c r="AW34" s="1036"/>
      <c r="AX34" s="1036"/>
    </row>
    <row r="35" spans="1:50" ht="15" customHeight="1">
      <c r="E35" s="1041" t="str">
        <f t="shared" si="4"/>
        <v>Decommissioning costs</v>
      </c>
      <c r="F35" s="1133">
        <f t="shared" si="5"/>
        <v>10</v>
      </c>
      <c r="G35" s="1041" t="str">
        <f xml:space="preserve"> Inputs!F$52 &amp; " / " &amp; F$10</f>
        <v>US$ 2021 / ounce</v>
      </c>
      <c r="H35" s="1041"/>
      <c r="I35" s="1041"/>
      <c r="J35" s="1036"/>
      <c r="K35" s="1036"/>
      <c r="L35" s="1036"/>
      <c r="M35" s="1036"/>
      <c r="N35" s="1036"/>
      <c r="O35" s="1036"/>
      <c r="P35" s="1036"/>
      <c r="Q35" s="1036"/>
      <c r="R35" s="1036"/>
      <c r="S35" s="1036"/>
      <c r="T35" s="1036"/>
      <c r="U35" s="1036"/>
      <c r="V35" s="1036"/>
      <c r="W35" s="1036"/>
      <c r="X35" s="1036"/>
      <c r="Y35" s="1036"/>
      <c r="Z35" s="1036"/>
      <c r="AA35" s="1036"/>
      <c r="AB35" s="1036"/>
      <c r="AC35" s="1036"/>
      <c r="AD35" s="1036"/>
      <c r="AE35" s="1036"/>
      <c r="AF35" s="1036"/>
      <c r="AG35" s="1036"/>
      <c r="AH35" s="1036"/>
      <c r="AI35" s="1036"/>
      <c r="AJ35" s="1036"/>
      <c r="AK35" s="1036"/>
      <c r="AL35" s="1036"/>
      <c r="AM35" s="1036"/>
      <c r="AN35" s="1036"/>
      <c r="AO35" s="1036"/>
      <c r="AP35" s="1036"/>
      <c r="AQ35" s="1036"/>
      <c r="AR35" s="1036"/>
      <c r="AS35" s="1036"/>
      <c r="AT35" s="1036"/>
      <c r="AU35" s="1036"/>
      <c r="AV35" s="1036"/>
      <c r="AW35" s="1036"/>
      <c r="AX35" s="1036"/>
    </row>
    <row r="36" spans="1:50" ht="15" customHeight="1">
      <c r="E36" s="1041" t="str">
        <f t="shared" si="4"/>
        <v>Total costs</v>
      </c>
      <c r="F36" s="1133">
        <f>SUM(F30:F35)</f>
        <v>748</v>
      </c>
      <c r="G36" s="1041" t="str">
        <f xml:space="preserve"> Inputs!F$52 &amp; " / " &amp; F$10</f>
        <v>US$ 2021 / ounce</v>
      </c>
      <c r="H36" s="1041"/>
      <c r="I36" s="1041"/>
      <c r="J36" s="1036"/>
      <c r="K36" s="1036"/>
      <c r="L36" s="1036"/>
      <c r="M36" s="1036"/>
      <c r="N36" s="1036"/>
      <c r="O36" s="1036"/>
      <c r="P36" s="1036"/>
      <c r="Q36" s="1036"/>
      <c r="R36" s="1036"/>
      <c r="S36" s="1036"/>
      <c r="T36" s="1036"/>
      <c r="U36" s="1036"/>
      <c r="V36" s="1036"/>
      <c r="W36" s="1036"/>
      <c r="X36" s="1036"/>
      <c r="Y36" s="1036"/>
      <c r="Z36" s="1036"/>
      <c r="AA36" s="1036"/>
      <c r="AB36" s="1036"/>
      <c r="AC36" s="1036"/>
      <c r="AD36" s="1036"/>
      <c r="AE36" s="1036"/>
      <c r="AF36" s="1036"/>
      <c r="AG36" s="1036"/>
      <c r="AH36" s="1036"/>
      <c r="AI36" s="1036"/>
      <c r="AJ36" s="1036"/>
      <c r="AK36" s="1036"/>
      <c r="AL36" s="1036"/>
      <c r="AM36" s="1036"/>
      <c r="AN36" s="1036"/>
      <c r="AO36" s="1036"/>
      <c r="AP36" s="1036"/>
      <c r="AQ36" s="1036"/>
      <c r="AR36" s="1036"/>
      <c r="AS36" s="1036"/>
      <c r="AT36" s="1036"/>
      <c r="AU36" s="1036"/>
      <c r="AV36" s="1036"/>
      <c r="AW36" s="1036"/>
      <c r="AX36" s="1036"/>
    </row>
    <row r="37" spans="1:50" ht="15" customHeight="1">
      <c r="E37" s="474"/>
      <c r="F37" s="1041"/>
      <c r="G37" s="1041"/>
      <c r="H37" s="1041"/>
      <c r="I37" s="1041"/>
      <c r="J37" s="1036"/>
      <c r="K37" s="1036"/>
      <c r="L37" s="1036"/>
      <c r="M37" s="1036"/>
      <c r="N37" s="1036"/>
      <c r="O37" s="1036"/>
      <c r="P37" s="1036"/>
      <c r="Q37" s="1036"/>
      <c r="R37" s="1036"/>
      <c r="S37" s="1036"/>
      <c r="T37" s="1036"/>
      <c r="U37" s="1036"/>
      <c r="V37" s="1036"/>
      <c r="W37" s="1036"/>
      <c r="X37" s="1036"/>
      <c r="Y37" s="1036"/>
      <c r="Z37" s="1036"/>
      <c r="AA37" s="1036"/>
      <c r="AB37" s="1036"/>
      <c r="AC37" s="1036"/>
      <c r="AD37" s="1036"/>
      <c r="AE37" s="1036"/>
      <c r="AF37" s="1036"/>
      <c r="AG37" s="1036"/>
      <c r="AH37" s="1036"/>
      <c r="AI37" s="1036"/>
      <c r="AJ37" s="1036"/>
      <c r="AK37" s="1036"/>
      <c r="AL37" s="1036"/>
      <c r="AM37" s="1036"/>
      <c r="AN37" s="1036"/>
      <c r="AO37" s="1036"/>
      <c r="AP37" s="1036"/>
      <c r="AQ37" s="1036"/>
      <c r="AR37" s="1036"/>
      <c r="AS37" s="1036"/>
      <c r="AT37" s="1036"/>
      <c r="AU37" s="1036"/>
      <c r="AV37" s="1036"/>
      <c r="AW37" s="1036"/>
      <c r="AX37" s="1036"/>
    </row>
    <row r="38" spans="1:50" s="4" customFormat="1" ht="15" customHeight="1">
      <c r="A38" s="76"/>
      <c r="B38" s="74" t="str">
        <f>Translate!$E$603</f>
        <v>Check project data in correct row</v>
      </c>
      <c r="C38" s="76"/>
      <c r="D38" s="76"/>
      <c r="E38" s="76"/>
      <c r="F38" s="474"/>
      <c r="G38" s="77"/>
      <c r="H38" s="76"/>
      <c r="I38" s="76"/>
      <c r="J38" s="76"/>
      <c r="K38" s="7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row>
    <row r="39" spans="1:50" s="4" customFormat="1" ht="15" customHeight="1">
      <c r="A39" s="76"/>
      <c r="B39" s="76"/>
      <c r="C39" s="76"/>
      <c r="D39" s="76"/>
      <c r="E39" s="106" t="str">
        <f xml:space="preserve"> Inputs!E$15</f>
        <v>First row of project data</v>
      </c>
      <c r="F39" s="106">
        <f xml:space="preserve"> Inputs!F$15</f>
        <v>12</v>
      </c>
      <c r="G39" s="106" t="str">
        <f xml:space="preserve"> Inputs!G$15</f>
        <v>row</v>
      </c>
      <c r="H39" s="76"/>
      <c r="I39" s="76"/>
      <c r="J39" s="76"/>
      <c r="K39" s="7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row>
    <row r="40" spans="1:50" s="4" customFormat="1" ht="15" customHeight="1">
      <c r="A40" s="76"/>
      <c r="B40" s="76"/>
      <c r="C40" s="76"/>
      <c r="D40" s="76"/>
      <c r="E40" s="76" t="str">
        <f>Translate!$E$402</f>
        <v>First row of project data</v>
      </c>
      <c r="F40" s="307">
        <f xml:space="preserve"> ROW(F12)</f>
        <v>12</v>
      </c>
      <c r="G40" s="857" t="str">
        <f xml:space="preserve"> Translate!E$587</f>
        <v>row</v>
      </c>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row>
    <row r="41" spans="1:50" s="4" customFormat="1" ht="15" customHeight="1">
      <c r="A41" s="76"/>
      <c r="B41" s="76"/>
      <c r="C41" s="76"/>
      <c r="D41" s="76"/>
      <c r="E41" s="76" t="str">
        <f xml:space="preserve"> Translate!$E$444 &amp; ": " &amp; Translate!$E$402</f>
        <v>Check: First row of project data</v>
      </c>
      <c r="F41" s="128">
        <f xml:space="preserve"> IF( ABS(F39 - F40) &lt;&gt; 0, 1, 0)</f>
        <v>0</v>
      </c>
      <c r="G41" s="311" t="str">
        <f xml:space="preserve"> Translate!E$444</f>
        <v>Check</v>
      </c>
      <c r="H41" s="76"/>
      <c r="I41" s="76"/>
      <c r="J41" s="76"/>
      <c r="K41" s="7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row>
    <row r="42" spans="1:50" ht="15" customHeight="1">
      <c r="E42" s="474"/>
      <c r="F42" s="1041"/>
      <c r="G42" s="1041"/>
      <c r="H42" s="1041"/>
      <c r="I42" s="1041"/>
      <c r="J42" s="1036"/>
      <c r="K42" s="1036"/>
      <c r="L42" s="1036"/>
      <c r="M42" s="1036"/>
      <c r="N42" s="1036"/>
      <c r="O42" s="1036"/>
      <c r="P42" s="1036"/>
      <c r="Q42" s="1036"/>
      <c r="R42" s="1036"/>
      <c r="S42" s="1036"/>
      <c r="T42" s="1036"/>
      <c r="U42" s="1036"/>
      <c r="V42" s="1036"/>
      <c r="W42" s="1036"/>
      <c r="X42" s="1036"/>
      <c r="Y42" s="1036"/>
      <c r="Z42" s="1036"/>
      <c r="AA42" s="1036"/>
      <c r="AB42" s="1036"/>
      <c r="AC42" s="1036"/>
      <c r="AD42" s="1036"/>
      <c r="AE42" s="1036"/>
      <c r="AF42" s="1036"/>
      <c r="AG42" s="1036"/>
      <c r="AH42" s="1036"/>
      <c r="AI42" s="1036"/>
      <c r="AJ42" s="1036"/>
      <c r="AK42" s="1036"/>
      <c r="AL42" s="1036"/>
      <c r="AM42" s="1036"/>
      <c r="AN42" s="1036"/>
      <c r="AO42" s="1036"/>
      <c r="AP42" s="1036"/>
      <c r="AQ42" s="1036"/>
      <c r="AR42" s="1036"/>
      <c r="AS42" s="1036"/>
      <c r="AT42" s="1036"/>
      <c r="AU42" s="1036"/>
      <c r="AV42" s="1036"/>
      <c r="AW42" s="1036"/>
      <c r="AX42" s="1036"/>
    </row>
    <row r="43" spans="1:50" ht="15" customHeight="1">
      <c r="E43" s="474"/>
      <c r="F43" s="1041"/>
      <c r="G43" s="1041"/>
      <c r="H43" s="1041"/>
      <c r="I43" s="1041"/>
      <c r="J43" s="1036"/>
      <c r="K43" s="1036"/>
      <c r="L43" s="1036"/>
      <c r="M43" s="1036"/>
      <c r="N43" s="1036"/>
      <c r="O43" s="1036"/>
      <c r="P43" s="1036"/>
      <c r="Q43" s="1036"/>
      <c r="R43" s="1036"/>
      <c r="S43" s="1036"/>
      <c r="T43" s="1036"/>
      <c r="U43" s="1036"/>
      <c r="V43" s="1036"/>
      <c r="W43" s="1036"/>
      <c r="X43" s="1036"/>
      <c r="Y43" s="1036"/>
      <c r="Z43" s="1036"/>
      <c r="AA43" s="1036"/>
      <c r="AB43" s="1036"/>
      <c r="AC43" s="1036"/>
      <c r="AD43" s="1036"/>
      <c r="AE43" s="1036"/>
      <c r="AF43" s="1036"/>
      <c r="AG43" s="1036"/>
      <c r="AH43" s="1036"/>
      <c r="AI43" s="1036"/>
      <c r="AJ43" s="1036"/>
      <c r="AK43" s="1036"/>
      <c r="AL43" s="1036"/>
      <c r="AM43" s="1036"/>
      <c r="AN43" s="1036"/>
      <c r="AO43" s="1036"/>
      <c r="AP43" s="1036"/>
      <c r="AQ43" s="1036"/>
      <c r="AR43" s="1036"/>
      <c r="AS43" s="1036"/>
      <c r="AT43" s="1036"/>
      <c r="AU43" s="1036"/>
      <c r="AV43" s="1036"/>
      <c r="AW43" s="1036"/>
      <c r="AX43" s="1036"/>
    </row>
    <row r="44" spans="1:50" ht="15" customHeight="1">
      <c r="A44" s="86" t="str">
        <f xml:space="preserve"> Translate!E$602</f>
        <v>Unit costs</v>
      </c>
      <c r="B44" s="86"/>
      <c r="C44" s="86"/>
      <c r="D44" s="86"/>
      <c r="E44" s="88"/>
      <c r="F44" s="86"/>
      <c r="G44" s="86"/>
      <c r="H44" s="86"/>
      <c r="I44" s="86"/>
      <c r="J44" s="86"/>
      <c r="K44" s="86"/>
      <c r="L44" s="86"/>
      <c r="M44" s="86"/>
      <c r="N44" s="86"/>
      <c r="O44" s="86"/>
      <c r="P44" s="86"/>
      <c r="Q44" s="86"/>
      <c r="R44" s="86"/>
      <c r="S44" s="86"/>
      <c r="T44" s="86"/>
      <c r="U44" s="86"/>
      <c r="V44" s="86"/>
      <c r="W44" s="86"/>
      <c r="X44" s="86"/>
      <c r="Y44" s="86"/>
      <c r="Z44" s="86"/>
      <c r="AA44" s="86"/>
      <c r="AB44" s="86"/>
      <c r="AC44" s="86"/>
      <c r="AD44" s="86"/>
      <c r="AE44" s="86"/>
      <c r="AF44" s="86"/>
      <c r="AG44" s="86"/>
      <c r="AH44" s="86"/>
      <c r="AI44" s="86"/>
      <c r="AJ44" s="86"/>
      <c r="AK44" s="86"/>
      <c r="AL44" s="86"/>
      <c r="AM44" s="86"/>
      <c r="AN44" s="86"/>
      <c r="AO44" s="86"/>
      <c r="AP44" s="86"/>
      <c r="AQ44" s="86"/>
      <c r="AR44" s="86"/>
      <c r="AS44" s="86"/>
      <c r="AT44" s="86"/>
      <c r="AU44" s="86"/>
      <c r="AV44" s="86"/>
      <c r="AW44" s="86"/>
      <c r="AX44" s="86"/>
    </row>
    <row r="45" spans="1:50" ht="15" customHeight="1">
      <c r="E45" s="1041"/>
      <c r="F45" s="1041"/>
      <c r="G45" s="1041"/>
      <c r="H45" s="1041"/>
      <c r="I45" s="1041"/>
      <c r="J45" s="1041"/>
      <c r="K45" s="1041"/>
      <c r="L45" s="1041"/>
      <c r="M45" s="1041"/>
      <c r="N45" s="1041"/>
      <c r="O45" s="1041"/>
      <c r="P45" s="1041"/>
      <c r="Q45" s="1041"/>
      <c r="R45" s="1041"/>
      <c r="S45" s="1041"/>
      <c r="T45" s="1041"/>
      <c r="U45" s="1041"/>
      <c r="V45" s="1041"/>
      <c r="W45" s="1041"/>
      <c r="X45" s="1041"/>
      <c r="Y45" s="1041"/>
      <c r="Z45" s="1041"/>
      <c r="AA45" s="1041"/>
      <c r="AB45" s="1041"/>
      <c r="AC45" s="1041"/>
      <c r="AD45" s="1041"/>
      <c r="AE45" s="1041"/>
      <c r="AF45" s="1041"/>
      <c r="AG45" s="1041"/>
      <c r="AH45" s="1041"/>
      <c r="AI45" s="1041"/>
      <c r="AJ45" s="1041"/>
      <c r="AK45" s="1041"/>
      <c r="AL45" s="1041"/>
      <c r="AM45" s="1041"/>
      <c r="AN45" s="1041"/>
      <c r="AO45" s="1041"/>
      <c r="AP45" s="1041"/>
      <c r="AQ45" s="1041"/>
      <c r="AR45" s="1041"/>
      <c r="AS45" s="1041"/>
      <c r="AT45" s="1041"/>
      <c r="AU45" s="1041"/>
      <c r="AV45" s="1041"/>
      <c r="AW45" s="1041"/>
      <c r="AX45" s="1041"/>
    </row>
    <row r="46" spans="1:50" ht="15" customHeight="1">
      <c r="E46" s="1041" t="str">
        <f xml:space="preserve"> E$12</f>
        <v>Gold Production</v>
      </c>
      <c r="F46" s="1041">
        <f t="shared" ref="F46:AX46" si="6" xml:space="preserve"> F$12</f>
        <v>0</v>
      </c>
      <c r="G46" s="1041" t="str">
        <f t="shared" si="6"/>
        <v>Thousand ounce</v>
      </c>
      <c r="H46" s="1041">
        <f t="shared" si="6"/>
        <v>0</v>
      </c>
      <c r="I46" s="1041">
        <f t="shared" si="6"/>
        <v>2000</v>
      </c>
      <c r="J46" s="1041">
        <f t="shared" si="6"/>
        <v>0</v>
      </c>
      <c r="K46" s="1041">
        <f t="shared" si="6"/>
        <v>0</v>
      </c>
      <c r="L46" s="1041">
        <f t="shared" si="6"/>
        <v>0</v>
      </c>
      <c r="M46" s="1041">
        <f t="shared" si="6"/>
        <v>0</v>
      </c>
      <c r="N46" s="1041">
        <f t="shared" si="6"/>
        <v>0</v>
      </c>
      <c r="O46" s="1041">
        <f t="shared" si="6"/>
        <v>10</v>
      </c>
      <c r="P46" s="1041">
        <f t="shared" si="6"/>
        <v>75</v>
      </c>
      <c r="Q46" s="1041">
        <f t="shared" si="6"/>
        <v>150</v>
      </c>
      <c r="R46" s="1041">
        <f t="shared" si="6"/>
        <v>150</v>
      </c>
      <c r="S46" s="1041">
        <f t="shared" si="6"/>
        <v>150</v>
      </c>
      <c r="T46" s="1041">
        <f t="shared" si="6"/>
        <v>150</v>
      </c>
      <c r="U46" s="1041">
        <f t="shared" si="6"/>
        <v>150</v>
      </c>
      <c r="V46" s="1041">
        <f t="shared" si="6"/>
        <v>150</v>
      </c>
      <c r="W46" s="1041">
        <f t="shared" si="6"/>
        <v>150</v>
      </c>
      <c r="X46" s="1041">
        <f t="shared" si="6"/>
        <v>150</v>
      </c>
      <c r="Y46" s="1041">
        <f t="shared" si="6"/>
        <v>150</v>
      </c>
      <c r="Z46" s="1041">
        <f t="shared" si="6"/>
        <v>150</v>
      </c>
      <c r="AA46" s="1041">
        <f t="shared" si="6"/>
        <v>125</v>
      </c>
      <c r="AB46" s="1041">
        <f t="shared" si="6"/>
        <v>100</v>
      </c>
      <c r="AC46" s="1041">
        <f t="shared" si="6"/>
        <v>75</v>
      </c>
      <c r="AD46" s="1041">
        <f t="shared" si="6"/>
        <v>65</v>
      </c>
      <c r="AE46" s="1041">
        <f t="shared" si="6"/>
        <v>50</v>
      </c>
      <c r="AF46" s="1041">
        <f t="shared" si="6"/>
        <v>0</v>
      </c>
      <c r="AG46" s="1041">
        <f t="shared" si="6"/>
        <v>0</v>
      </c>
      <c r="AH46" s="1041">
        <f t="shared" si="6"/>
        <v>0</v>
      </c>
      <c r="AI46" s="1041">
        <f t="shared" si="6"/>
        <v>0</v>
      </c>
      <c r="AJ46" s="1041">
        <f t="shared" si="6"/>
        <v>0</v>
      </c>
      <c r="AK46" s="1041">
        <f t="shared" si="6"/>
        <v>0</v>
      </c>
      <c r="AL46" s="1041">
        <f t="shared" si="6"/>
        <v>0</v>
      </c>
      <c r="AM46" s="1041">
        <f t="shared" si="6"/>
        <v>0</v>
      </c>
      <c r="AN46" s="1041">
        <f t="shared" si="6"/>
        <v>0</v>
      </c>
      <c r="AO46" s="1041">
        <f t="shared" si="6"/>
        <v>0</v>
      </c>
      <c r="AP46" s="1041">
        <f t="shared" si="6"/>
        <v>0</v>
      </c>
      <c r="AQ46" s="1041">
        <f t="shared" si="6"/>
        <v>0</v>
      </c>
      <c r="AR46" s="1041">
        <f t="shared" si="6"/>
        <v>0</v>
      </c>
      <c r="AS46" s="1041">
        <f t="shared" si="6"/>
        <v>0</v>
      </c>
      <c r="AT46" s="1041">
        <f t="shared" si="6"/>
        <v>0</v>
      </c>
      <c r="AU46" s="1041">
        <f t="shared" si="6"/>
        <v>0</v>
      </c>
      <c r="AV46" s="1041">
        <f t="shared" si="6"/>
        <v>0</v>
      </c>
      <c r="AW46" s="1041">
        <f t="shared" si="6"/>
        <v>0</v>
      </c>
      <c r="AX46" s="1041">
        <f t="shared" si="6"/>
        <v>0</v>
      </c>
    </row>
    <row r="47" spans="1:50" ht="15" customHeight="1">
      <c r="E47" s="219" t="str">
        <f xml:space="preserve"> Inputs!E$76</f>
        <v>one thousand</v>
      </c>
      <c r="F47" s="219">
        <f xml:space="preserve"> Inputs!F$76</f>
        <v>1000</v>
      </c>
      <c r="G47" s="219" t="str">
        <f xml:space="preserve"> Inputs!G$76</f>
        <v>Constant</v>
      </c>
      <c r="H47" s="1041"/>
      <c r="I47" s="1041"/>
      <c r="J47" s="1041"/>
      <c r="K47" s="1041"/>
      <c r="L47" s="1041"/>
      <c r="M47" s="1041"/>
      <c r="N47" s="1041"/>
      <c r="O47" s="1041"/>
      <c r="P47" s="1041"/>
      <c r="Q47" s="1041"/>
      <c r="R47" s="1041"/>
      <c r="S47" s="1041"/>
      <c r="T47" s="1041"/>
      <c r="U47" s="1041"/>
      <c r="V47" s="1041"/>
      <c r="W47" s="1041"/>
      <c r="X47" s="1041"/>
      <c r="Y47" s="1041"/>
      <c r="Z47" s="1041"/>
      <c r="AA47" s="1041"/>
      <c r="AB47" s="1041"/>
      <c r="AC47" s="1041"/>
      <c r="AD47" s="1041"/>
      <c r="AE47" s="1041"/>
      <c r="AF47" s="1041"/>
      <c r="AG47" s="1041"/>
      <c r="AH47" s="1041"/>
      <c r="AI47" s="1041"/>
      <c r="AJ47" s="1041"/>
      <c r="AK47" s="1041"/>
      <c r="AL47" s="1041"/>
      <c r="AM47" s="1041"/>
      <c r="AN47" s="1041"/>
      <c r="AO47" s="1041"/>
      <c r="AP47" s="1041"/>
      <c r="AQ47" s="1041"/>
      <c r="AR47" s="1041"/>
      <c r="AS47" s="1041"/>
      <c r="AT47" s="1041"/>
      <c r="AU47" s="1041"/>
      <c r="AV47" s="1041"/>
      <c r="AW47" s="1041"/>
      <c r="AX47" s="1041"/>
    </row>
    <row r="48" spans="1:50" ht="15" customHeight="1">
      <c r="E48" s="219"/>
      <c r="F48" s="219"/>
      <c r="G48" s="219"/>
      <c r="H48" s="1041"/>
      <c r="I48" s="1041"/>
      <c r="J48" s="1041"/>
      <c r="K48" s="1041"/>
      <c r="L48" s="1041"/>
      <c r="M48" s="1041"/>
      <c r="N48" s="1041"/>
      <c r="O48" s="1041"/>
      <c r="P48" s="1041"/>
      <c r="Q48" s="1041"/>
      <c r="R48" s="1041"/>
      <c r="S48" s="1041"/>
      <c r="T48" s="1041"/>
      <c r="U48" s="1041"/>
      <c r="V48" s="1041"/>
      <c r="W48" s="1041"/>
      <c r="X48" s="1041"/>
      <c r="Y48" s="1041"/>
      <c r="Z48" s="1041"/>
      <c r="AA48" s="1041"/>
      <c r="AB48" s="1041"/>
      <c r="AC48" s="1041"/>
      <c r="AD48" s="1041"/>
      <c r="AE48" s="1041"/>
      <c r="AF48" s="1041"/>
      <c r="AG48" s="1041"/>
      <c r="AH48" s="1041"/>
      <c r="AI48" s="1041"/>
      <c r="AJ48" s="1041"/>
      <c r="AK48" s="1041"/>
      <c r="AL48" s="1041"/>
      <c r="AM48" s="1041"/>
      <c r="AN48" s="1041"/>
      <c r="AO48" s="1041"/>
      <c r="AP48" s="1041"/>
      <c r="AQ48" s="1041"/>
      <c r="AR48" s="1041"/>
      <c r="AS48" s="1041"/>
      <c r="AT48" s="1041"/>
      <c r="AU48" s="1041"/>
      <c r="AV48" s="1041"/>
      <c r="AW48" s="1041"/>
      <c r="AX48" s="1041"/>
    </row>
    <row r="49" spans="1:50" ht="15" customHeight="1">
      <c r="E49" s="260" t="str">
        <f xml:space="preserve"> E$18</f>
        <v>Operating costs</v>
      </c>
      <c r="F49" s="260">
        <f t="shared" ref="F49:AX49" si="7" xml:space="preserve"> F$18</f>
        <v>0</v>
      </c>
      <c r="G49" s="311" t="str">
        <f xml:space="preserve"> Inputs!F$53</f>
        <v>US$ mn 2021</v>
      </c>
      <c r="H49" s="260">
        <f t="shared" si="7"/>
        <v>0</v>
      </c>
      <c r="I49" s="260">
        <f t="shared" si="7"/>
        <v>900</v>
      </c>
      <c r="J49" s="260">
        <f t="shared" si="7"/>
        <v>0</v>
      </c>
      <c r="K49" s="260">
        <f t="shared" si="7"/>
        <v>0</v>
      </c>
      <c r="L49" s="260">
        <f t="shared" si="7"/>
        <v>0</v>
      </c>
      <c r="M49" s="260">
        <f t="shared" si="7"/>
        <v>0</v>
      </c>
      <c r="N49" s="260">
        <f t="shared" si="7"/>
        <v>0</v>
      </c>
      <c r="O49" s="260">
        <f t="shared" si="7"/>
        <v>4.5</v>
      </c>
      <c r="P49" s="260">
        <f t="shared" si="7"/>
        <v>33.75</v>
      </c>
      <c r="Q49" s="260">
        <f t="shared" si="7"/>
        <v>67.5</v>
      </c>
      <c r="R49" s="260">
        <f t="shared" si="7"/>
        <v>67.5</v>
      </c>
      <c r="S49" s="260">
        <f t="shared" si="7"/>
        <v>67.5</v>
      </c>
      <c r="T49" s="260">
        <f t="shared" si="7"/>
        <v>67.5</v>
      </c>
      <c r="U49" s="260">
        <f t="shared" si="7"/>
        <v>67.5</v>
      </c>
      <c r="V49" s="260">
        <f t="shared" si="7"/>
        <v>67.5</v>
      </c>
      <c r="W49" s="260">
        <f t="shared" si="7"/>
        <v>67.5</v>
      </c>
      <c r="X49" s="260">
        <f t="shared" si="7"/>
        <v>67.5</v>
      </c>
      <c r="Y49" s="260">
        <f t="shared" si="7"/>
        <v>67.5</v>
      </c>
      <c r="Z49" s="260">
        <f t="shared" si="7"/>
        <v>67.5</v>
      </c>
      <c r="AA49" s="260">
        <f t="shared" si="7"/>
        <v>56.25</v>
      </c>
      <c r="AB49" s="260">
        <f t="shared" si="7"/>
        <v>45</v>
      </c>
      <c r="AC49" s="260">
        <f t="shared" si="7"/>
        <v>33.75</v>
      </c>
      <c r="AD49" s="260">
        <f t="shared" si="7"/>
        <v>29.25</v>
      </c>
      <c r="AE49" s="260">
        <f t="shared" si="7"/>
        <v>22.5</v>
      </c>
      <c r="AF49" s="260">
        <f t="shared" si="7"/>
        <v>0</v>
      </c>
      <c r="AG49" s="260">
        <f t="shared" si="7"/>
        <v>0</v>
      </c>
      <c r="AH49" s="260">
        <f t="shared" si="7"/>
        <v>0</v>
      </c>
      <c r="AI49" s="260">
        <f t="shared" si="7"/>
        <v>0</v>
      </c>
      <c r="AJ49" s="260">
        <f t="shared" si="7"/>
        <v>0</v>
      </c>
      <c r="AK49" s="260">
        <f t="shared" si="7"/>
        <v>0</v>
      </c>
      <c r="AL49" s="260">
        <f t="shared" si="7"/>
        <v>0</v>
      </c>
      <c r="AM49" s="260">
        <f t="shared" si="7"/>
        <v>0</v>
      </c>
      <c r="AN49" s="260">
        <f t="shared" si="7"/>
        <v>0</v>
      </c>
      <c r="AO49" s="260">
        <f t="shared" si="7"/>
        <v>0</v>
      </c>
      <c r="AP49" s="260">
        <f t="shared" si="7"/>
        <v>0</v>
      </c>
      <c r="AQ49" s="260">
        <f t="shared" si="7"/>
        <v>0</v>
      </c>
      <c r="AR49" s="260">
        <f t="shared" si="7"/>
        <v>0</v>
      </c>
      <c r="AS49" s="260">
        <f t="shared" si="7"/>
        <v>0</v>
      </c>
      <c r="AT49" s="260">
        <f t="shared" si="7"/>
        <v>0</v>
      </c>
      <c r="AU49" s="260">
        <f t="shared" si="7"/>
        <v>0</v>
      </c>
      <c r="AV49" s="260">
        <f t="shared" si="7"/>
        <v>0</v>
      </c>
      <c r="AW49" s="260">
        <f t="shared" si="7"/>
        <v>0</v>
      </c>
      <c r="AX49" s="260">
        <f t="shared" si="7"/>
        <v>0</v>
      </c>
    </row>
    <row r="50" spans="1:50" ht="15" customHeight="1">
      <c r="E50" s="1041" t="e">
        <f ca="1">A1 &amp; " " &amp; Translate!E610</f>
        <v>#VALUE!</v>
      </c>
      <c r="F50" s="1041"/>
      <c r="G50" s="1041" t="str">
        <f xml:space="preserve"> Inputs!F$52 &amp; " / " &amp; F$10</f>
        <v>US$ 2021 / ounce</v>
      </c>
      <c r="H50" s="1041"/>
      <c r="I50" s="1041"/>
      <c r="J50" s="1041"/>
      <c r="K50" s="1041">
        <f t="shared" ref="K50:AX50" si="8" xml:space="preserve"> IFERROR(K49 / K46 * $F47, 0)</f>
        <v>0</v>
      </c>
      <c r="L50" s="1041">
        <f t="shared" si="8"/>
        <v>0</v>
      </c>
      <c r="M50" s="1041">
        <f t="shared" si="8"/>
        <v>0</v>
      </c>
      <c r="N50" s="1041">
        <f t="shared" si="8"/>
        <v>0</v>
      </c>
      <c r="O50" s="1041">
        <f t="shared" si="8"/>
        <v>450</v>
      </c>
      <c r="P50" s="1041">
        <f t="shared" si="8"/>
        <v>450</v>
      </c>
      <c r="Q50" s="1041">
        <f t="shared" si="8"/>
        <v>450</v>
      </c>
      <c r="R50" s="1041">
        <f t="shared" si="8"/>
        <v>450</v>
      </c>
      <c r="S50" s="1041">
        <f t="shared" si="8"/>
        <v>450</v>
      </c>
      <c r="T50" s="1041">
        <f t="shared" si="8"/>
        <v>450</v>
      </c>
      <c r="U50" s="1041">
        <f t="shared" si="8"/>
        <v>450</v>
      </c>
      <c r="V50" s="1041">
        <f t="shared" si="8"/>
        <v>450</v>
      </c>
      <c r="W50" s="1041">
        <f t="shared" si="8"/>
        <v>450</v>
      </c>
      <c r="X50" s="1041">
        <f t="shared" si="8"/>
        <v>450</v>
      </c>
      <c r="Y50" s="1041">
        <f t="shared" si="8"/>
        <v>450</v>
      </c>
      <c r="Z50" s="1041">
        <f t="shared" si="8"/>
        <v>450</v>
      </c>
      <c r="AA50" s="1041">
        <f t="shared" si="8"/>
        <v>450</v>
      </c>
      <c r="AB50" s="1041">
        <f t="shared" si="8"/>
        <v>450</v>
      </c>
      <c r="AC50" s="1041">
        <f t="shared" si="8"/>
        <v>450</v>
      </c>
      <c r="AD50" s="1041">
        <f t="shared" si="8"/>
        <v>450</v>
      </c>
      <c r="AE50" s="1041">
        <f t="shared" si="8"/>
        <v>450</v>
      </c>
      <c r="AF50" s="1041">
        <f t="shared" si="8"/>
        <v>0</v>
      </c>
      <c r="AG50" s="1041">
        <f t="shared" si="8"/>
        <v>0</v>
      </c>
      <c r="AH50" s="1041">
        <f t="shared" si="8"/>
        <v>0</v>
      </c>
      <c r="AI50" s="1041">
        <f t="shared" si="8"/>
        <v>0</v>
      </c>
      <c r="AJ50" s="1041">
        <f t="shared" si="8"/>
        <v>0</v>
      </c>
      <c r="AK50" s="1041">
        <f t="shared" si="8"/>
        <v>0</v>
      </c>
      <c r="AL50" s="1041">
        <f t="shared" si="8"/>
        <v>0</v>
      </c>
      <c r="AM50" s="1041">
        <f t="shared" si="8"/>
        <v>0</v>
      </c>
      <c r="AN50" s="1041">
        <f t="shared" si="8"/>
        <v>0</v>
      </c>
      <c r="AO50" s="1041">
        <f t="shared" si="8"/>
        <v>0</v>
      </c>
      <c r="AP50" s="1041">
        <f t="shared" si="8"/>
        <v>0</v>
      </c>
      <c r="AQ50" s="1041">
        <f t="shared" si="8"/>
        <v>0</v>
      </c>
      <c r="AR50" s="1041">
        <f t="shared" si="8"/>
        <v>0</v>
      </c>
      <c r="AS50" s="1041">
        <f t="shared" si="8"/>
        <v>0</v>
      </c>
      <c r="AT50" s="1041">
        <f t="shared" si="8"/>
        <v>0</v>
      </c>
      <c r="AU50" s="1041">
        <f t="shared" si="8"/>
        <v>0</v>
      </c>
      <c r="AV50" s="1041">
        <f t="shared" si="8"/>
        <v>0</v>
      </c>
      <c r="AW50" s="1041">
        <f t="shared" si="8"/>
        <v>0</v>
      </c>
      <c r="AX50" s="1041">
        <f t="shared" si="8"/>
        <v>0</v>
      </c>
    </row>
    <row r="51" spans="1:50" ht="15" customHeight="1">
      <c r="E51" s="1041"/>
      <c r="F51" s="1041"/>
      <c r="G51" s="1041"/>
      <c r="H51" s="1041"/>
      <c r="I51" s="1041"/>
      <c r="J51" s="1041"/>
      <c r="K51" s="1041"/>
      <c r="L51" s="1041"/>
      <c r="M51" s="1041"/>
      <c r="N51" s="1041"/>
      <c r="O51" s="1041"/>
      <c r="P51" s="1041"/>
      <c r="Q51" s="1041"/>
      <c r="R51" s="1041"/>
      <c r="S51" s="1041"/>
      <c r="T51" s="1041"/>
      <c r="U51" s="1041"/>
      <c r="V51" s="1041"/>
      <c r="W51" s="1041"/>
      <c r="X51" s="1041"/>
      <c r="Y51" s="1041"/>
      <c r="Z51" s="1041"/>
      <c r="AA51" s="1041"/>
      <c r="AB51" s="1041"/>
      <c r="AC51" s="1041"/>
      <c r="AD51" s="1041"/>
      <c r="AE51" s="1041"/>
      <c r="AF51" s="1041"/>
      <c r="AG51" s="1041"/>
      <c r="AH51" s="1041"/>
      <c r="AI51" s="1041"/>
      <c r="AJ51" s="1041"/>
      <c r="AK51" s="1041"/>
      <c r="AL51" s="1041"/>
      <c r="AM51" s="1041"/>
      <c r="AN51" s="1041"/>
      <c r="AO51" s="1041"/>
      <c r="AP51" s="1041"/>
      <c r="AQ51" s="1041"/>
      <c r="AR51" s="1041"/>
      <c r="AS51" s="1041"/>
      <c r="AT51" s="1041"/>
      <c r="AU51" s="1041"/>
      <c r="AV51" s="1041"/>
      <c r="AW51" s="1041"/>
      <c r="AX51" s="1041"/>
    </row>
    <row r="52" spans="1:50" ht="15" customHeight="1">
      <c r="E52" s="1041"/>
      <c r="F52" s="1041"/>
      <c r="G52" s="1041"/>
      <c r="H52" s="1041"/>
      <c r="I52" s="1041"/>
      <c r="J52" s="1041"/>
      <c r="K52" s="1041"/>
      <c r="L52" s="1041"/>
      <c r="M52" s="1041"/>
      <c r="N52" s="1041"/>
      <c r="O52" s="1041"/>
      <c r="P52" s="1041"/>
      <c r="Q52" s="1041"/>
      <c r="R52" s="1041"/>
      <c r="S52" s="1041"/>
      <c r="T52" s="1041"/>
      <c r="U52" s="1041"/>
      <c r="V52" s="1041"/>
      <c r="W52" s="1041"/>
      <c r="X52" s="1041"/>
      <c r="Y52" s="1041"/>
      <c r="Z52" s="1041"/>
      <c r="AA52" s="1041"/>
      <c r="AB52" s="1041"/>
      <c r="AC52" s="1041"/>
      <c r="AD52" s="1041"/>
      <c r="AE52" s="1041"/>
      <c r="AF52" s="1041"/>
      <c r="AG52" s="1041"/>
      <c r="AH52" s="1041"/>
      <c r="AI52" s="1041"/>
      <c r="AJ52" s="1041"/>
      <c r="AK52" s="1041"/>
      <c r="AL52" s="1041"/>
      <c r="AM52" s="1041"/>
      <c r="AN52" s="1041"/>
      <c r="AO52" s="1041"/>
      <c r="AP52" s="1041"/>
      <c r="AQ52" s="1041"/>
      <c r="AR52" s="1041"/>
      <c r="AS52" s="1041"/>
      <c r="AT52" s="1041"/>
      <c r="AU52" s="1041"/>
      <c r="AV52" s="1041"/>
      <c r="AW52" s="1041"/>
      <c r="AX52" s="1041"/>
    </row>
    <row r="53" spans="1:50" ht="15" customHeight="1">
      <c r="A53" s="86" t="str">
        <f xml:space="preserve"> Translate!E$757</f>
        <v>Charts</v>
      </c>
      <c r="B53" s="86"/>
      <c r="C53" s="86"/>
      <c r="D53" s="86"/>
      <c r="E53" s="88"/>
      <c r="F53" s="86"/>
      <c r="G53" s="86"/>
      <c r="H53" s="86"/>
      <c r="I53" s="86"/>
      <c r="J53" s="86"/>
      <c r="K53" s="86"/>
      <c r="L53" s="86"/>
      <c r="M53" s="86"/>
      <c r="N53" s="86"/>
      <c r="O53" s="86"/>
      <c r="P53" s="86"/>
      <c r="Q53" s="86"/>
      <c r="R53" s="86"/>
      <c r="S53" s="86"/>
      <c r="T53" s="86"/>
      <c r="U53" s="86"/>
      <c r="V53" s="86"/>
      <c r="W53" s="86"/>
      <c r="X53" s="86"/>
      <c r="Y53" s="86"/>
      <c r="Z53" s="86"/>
      <c r="AA53" s="86"/>
      <c r="AB53" s="86"/>
      <c r="AC53" s="86"/>
      <c r="AD53" s="86"/>
      <c r="AE53" s="86"/>
      <c r="AF53" s="86"/>
      <c r="AG53" s="86"/>
      <c r="AH53" s="86"/>
      <c r="AI53" s="86"/>
      <c r="AJ53" s="86"/>
      <c r="AK53" s="86"/>
      <c r="AL53" s="86"/>
      <c r="AM53" s="86"/>
      <c r="AN53" s="86"/>
      <c r="AO53" s="86"/>
      <c r="AP53" s="86"/>
      <c r="AQ53" s="86"/>
      <c r="AR53" s="86"/>
      <c r="AS53" s="86"/>
      <c r="AT53" s="86"/>
      <c r="AU53" s="86"/>
      <c r="AV53" s="86"/>
      <c r="AW53" s="86"/>
      <c r="AX53" s="86"/>
    </row>
    <row r="54" spans="1:50" ht="15" customHeight="1">
      <c r="E54" s="1041"/>
      <c r="F54" s="1041"/>
      <c r="G54" s="1041"/>
      <c r="H54" s="1041"/>
      <c r="I54" s="1041"/>
      <c r="J54" s="1041"/>
      <c r="K54" s="1041"/>
      <c r="L54" s="1041"/>
      <c r="M54" s="1041"/>
      <c r="N54" s="1041"/>
      <c r="O54" s="1041"/>
      <c r="P54" s="1041"/>
      <c r="Q54" s="1041"/>
      <c r="R54" s="1041"/>
      <c r="S54" s="1041"/>
      <c r="T54" s="1041"/>
      <c r="U54" s="1041"/>
      <c r="V54" s="1041"/>
      <c r="W54" s="1041"/>
      <c r="X54" s="1041"/>
      <c r="Y54" s="1041"/>
      <c r="Z54" s="1041"/>
      <c r="AA54" s="1041"/>
      <c r="AB54" s="1041"/>
      <c r="AC54" s="1041"/>
      <c r="AD54" s="1041"/>
      <c r="AE54" s="1041"/>
      <c r="AF54" s="1041"/>
      <c r="AG54" s="1041"/>
      <c r="AH54" s="1041"/>
      <c r="AI54" s="1041"/>
      <c r="AJ54" s="1041"/>
      <c r="AK54" s="1041"/>
      <c r="AL54" s="1041"/>
      <c r="AM54" s="1041"/>
      <c r="AN54" s="1041"/>
      <c r="AO54" s="1041"/>
      <c r="AP54" s="1041"/>
      <c r="AQ54" s="1041"/>
      <c r="AR54" s="1041"/>
      <c r="AS54" s="1041"/>
      <c r="AT54" s="1041"/>
      <c r="AU54" s="1041"/>
      <c r="AV54" s="1041"/>
      <c r="AW54" s="1041"/>
      <c r="AX54" s="1041"/>
    </row>
    <row r="55" spans="1:50" ht="15" customHeight="1">
      <c r="E55" s="1041"/>
      <c r="F55" s="1041"/>
      <c r="G55" s="1041"/>
      <c r="H55" s="1041"/>
      <c r="I55" s="1041"/>
      <c r="J55" s="1041"/>
      <c r="K55" s="1041"/>
      <c r="L55" s="1041"/>
      <c r="M55" s="1041"/>
      <c r="N55" s="1041"/>
      <c r="O55" s="1041"/>
      <c r="P55" s="1041"/>
      <c r="Q55" s="1041"/>
      <c r="R55" s="1041"/>
      <c r="S55" s="1041"/>
      <c r="T55" s="1041"/>
      <c r="U55" s="1041"/>
      <c r="V55" s="1041"/>
      <c r="W55" s="1041"/>
      <c r="X55" s="1041"/>
      <c r="Y55" s="1041"/>
      <c r="Z55" s="1041"/>
      <c r="AA55" s="1041"/>
      <c r="AB55" s="1041"/>
      <c r="AC55" s="1041"/>
      <c r="AD55" s="1041"/>
      <c r="AE55" s="1041"/>
      <c r="AF55" s="1041"/>
      <c r="AG55" s="1041"/>
      <c r="AH55" s="1041"/>
      <c r="AI55" s="1041"/>
      <c r="AJ55" s="1041"/>
      <c r="AK55" s="1041"/>
      <c r="AL55" s="1041"/>
      <c r="AM55" s="1041"/>
      <c r="AN55" s="1041"/>
      <c r="AO55" s="1041"/>
      <c r="AP55" s="1041"/>
      <c r="AQ55" s="1041"/>
      <c r="AR55" s="1041"/>
      <c r="AS55" s="1041"/>
      <c r="AT55" s="1041"/>
      <c r="AU55" s="1041"/>
      <c r="AV55" s="1041"/>
      <c r="AW55" s="1041"/>
      <c r="AX55" s="1041"/>
    </row>
    <row r="56" spans="1:50" ht="15" customHeight="1">
      <c r="E56" s="1041"/>
      <c r="F56" s="1041"/>
      <c r="G56" s="1041"/>
      <c r="H56" s="1041"/>
      <c r="I56" s="1041"/>
      <c r="J56" s="1041"/>
      <c r="K56" s="1041"/>
      <c r="L56" s="1041"/>
      <c r="M56" s="1041"/>
      <c r="N56" s="1041"/>
      <c r="O56" s="1041"/>
      <c r="P56" s="1041"/>
      <c r="Q56" s="1041"/>
      <c r="R56" s="1041"/>
      <c r="S56" s="1041"/>
      <c r="T56" s="1041"/>
      <c r="U56" s="1041"/>
      <c r="V56" s="1041"/>
      <c r="W56" s="1041"/>
      <c r="X56" s="1041"/>
      <c r="Y56" s="1041"/>
      <c r="Z56" s="1041"/>
      <c r="AA56" s="1041"/>
      <c r="AB56" s="1041"/>
      <c r="AC56" s="1041"/>
      <c r="AD56" s="1041"/>
      <c r="AE56" s="1041"/>
      <c r="AF56" s="1041"/>
      <c r="AG56" s="1041"/>
      <c r="AH56" s="1041"/>
      <c r="AI56" s="1041"/>
      <c r="AJ56" s="1041"/>
      <c r="AK56" s="1041"/>
      <c r="AL56" s="1041"/>
      <c r="AM56" s="1041"/>
      <c r="AN56" s="1041"/>
      <c r="AO56" s="1041"/>
      <c r="AP56" s="1041"/>
      <c r="AQ56" s="1041"/>
      <c r="AR56" s="1041"/>
      <c r="AS56" s="1041"/>
      <c r="AT56" s="1041"/>
      <c r="AU56" s="1041"/>
      <c r="AV56" s="1041"/>
      <c r="AW56" s="1041"/>
      <c r="AX56" s="1041"/>
    </row>
    <row r="57" spans="1:50" ht="15" customHeight="1">
      <c r="E57" s="1041"/>
      <c r="F57" s="1041"/>
      <c r="G57" s="1041"/>
      <c r="H57" s="1041"/>
      <c r="I57" s="1041"/>
      <c r="J57" s="1041"/>
      <c r="K57" s="1041"/>
      <c r="L57" s="1041"/>
      <c r="M57" s="1041"/>
      <c r="N57" s="1041"/>
      <c r="O57" s="1041"/>
      <c r="P57" s="1041"/>
      <c r="Q57" s="1041"/>
      <c r="R57" s="1041"/>
      <c r="S57" s="1041"/>
      <c r="T57" s="1041"/>
      <c r="U57" s="1041"/>
      <c r="V57" s="1041"/>
      <c r="W57" s="1041"/>
      <c r="X57" s="1041"/>
      <c r="Y57" s="1041"/>
      <c r="Z57" s="1041"/>
      <c r="AA57" s="1041"/>
      <c r="AB57" s="1041"/>
      <c r="AC57" s="1041"/>
      <c r="AD57" s="1041"/>
      <c r="AE57" s="1041"/>
      <c r="AF57" s="1041"/>
      <c r="AG57" s="1041"/>
      <c r="AH57" s="1041"/>
      <c r="AI57" s="1041"/>
      <c r="AJ57" s="1041"/>
      <c r="AK57" s="1041"/>
      <c r="AL57" s="1041"/>
      <c r="AM57" s="1041"/>
      <c r="AN57" s="1041"/>
      <c r="AO57" s="1041"/>
      <c r="AP57" s="1041"/>
      <c r="AQ57" s="1041"/>
      <c r="AR57" s="1041"/>
      <c r="AS57" s="1041"/>
      <c r="AT57" s="1041"/>
      <c r="AU57" s="1041"/>
      <c r="AV57" s="1041"/>
      <c r="AW57" s="1041"/>
      <c r="AX57" s="1041"/>
    </row>
    <row r="58" spans="1:50" ht="15" customHeight="1">
      <c r="E58" s="1041"/>
      <c r="F58" s="1041"/>
      <c r="G58" s="1041"/>
      <c r="H58" s="1041"/>
      <c r="I58" s="1041"/>
      <c r="J58" s="1041"/>
      <c r="K58" s="1041"/>
      <c r="L58" s="1041"/>
      <c r="M58" s="1041"/>
      <c r="N58" s="1041"/>
      <c r="O58" s="1041"/>
      <c r="P58" s="1041"/>
      <c r="Q58" s="1041"/>
      <c r="R58" s="1041"/>
      <c r="S58" s="1041"/>
      <c r="T58" s="1041"/>
      <c r="U58" s="1041"/>
      <c r="V58" s="1041"/>
      <c r="W58" s="1041"/>
      <c r="X58" s="1041"/>
      <c r="Y58" s="1041"/>
      <c r="Z58" s="1041"/>
      <c r="AA58" s="1041"/>
      <c r="AB58" s="1041"/>
      <c r="AC58" s="1041"/>
      <c r="AD58" s="1041"/>
      <c r="AE58" s="1041"/>
      <c r="AF58" s="1041"/>
      <c r="AG58" s="1041"/>
      <c r="AH58" s="1041"/>
      <c r="AI58" s="1041"/>
      <c r="AJ58" s="1041"/>
      <c r="AK58" s="1041"/>
      <c r="AL58" s="1041"/>
      <c r="AM58" s="1041"/>
      <c r="AN58" s="1041"/>
      <c r="AO58" s="1041"/>
      <c r="AP58" s="1041"/>
      <c r="AQ58" s="1041"/>
      <c r="AR58" s="1041"/>
      <c r="AS58" s="1041"/>
      <c r="AT58" s="1041"/>
      <c r="AU58" s="1041"/>
      <c r="AV58" s="1041"/>
      <c r="AW58" s="1041"/>
      <c r="AX58" s="1041"/>
    </row>
    <row r="59" spans="1:50" ht="15" customHeight="1">
      <c r="E59" s="1041"/>
      <c r="F59" s="1041"/>
      <c r="G59" s="1041"/>
      <c r="H59" s="1041"/>
      <c r="I59" s="1041"/>
      <c r="J59" s="1041"/>
      <c r="K59" s="1041"/>
      <c r="L59" s="1041"/>
      <c r="M59" s="1041"/>
      <c r="N59" s="1041"/>
      <c r="O59" s="1041"/>
      <c r="P59" s="1041"/>
      <c r="Q59" s="1041"/>
      <c r="R59" s="1041"/>
      <c r="S59" s="1041"/>
      <c r="T59" s="1041"/>
      <c r="U59" s="1041"/>
      <c r="V59" s="1041"/>
      <c r="W59" s="1041"/>
      <c r="X59" s="1041"/>
      <c r="Y59" s="1041"/>
      <c r="Z59" s="1041"/>
      <c r="AA59" s="1041"/>
      <c r="AB59" s="1041"/>
      <c r="AC59" s="1041"/>
      <c r="AD59" s="1041"/>
      <c r="AE59" s="1041"/>
      <c r="AF59" s="1041"/>
      <c r="AG59" s="1041"/>
      <c r="AH59" s="1041"/>
      <c r="AI59" s="1041"/>
      <c r="AJ59" s="1041"/>
      <c r="AK59" s="1041"/>
      <c r="AL59" s="1041"/>
      <c r="AM59" s="1041"/>
      <c r="AN59" s="1041"/>
      <c r="AO59" s="1041"/>
      <c r="AP59" s="1041"/>
      <c r="AQ59" s="1041"/>
      <c r="AR59" s="1041"/>
      <c r="AS59" s="1041"/>
      <c r="AT59" s="1041"/>
      <c r="AU59" s="1041"/>
      <c r="AV59" s="1041"/>
      <c r="AW59" s="1041"/>
      <c r="AX59" s="1041"/>
    </row>
    <row r="60" spans="1:50" ht="15" customHeight="1">
      <c r="E60" s="1041"/>
      <c r="F60" s="1041"/>
      <c r="G60" s="1041"/>
      <c r="H60" s="1041"/>
      <c r="I60" s="1041"/>
      <c r="J60" s="1041"/>
      <c r="K60" s="1041"/>
      <c r="L60" s="1041"/>
      <c r="M60" s="1041"/>
      <c r="N60" s="1041"/>
      <c r="O60" s="1041"/>
      <c r="P60" s="1041"/>
      <c r="Q60" s="1041"/>
      <c r="R60" s="1041"/>
      <c r="S60" s="1041"/>
      <c r="T60" s="1041"/>
      <c r="U60" s="1041"/>
      <c r="V60" s="1041"/>
      <c r="W60" s="1041"/>
      <c r="X60" s="1041"/>
      <c r="Y60" s="1041"/>
      <c r="Z60" s="1041"/>
      <c r="AA60" s="1041"/>
      <c r="AB60" s="1041"/>
      <c r="AC60" s="1041"/>
      <c r="AD60" s="1041"/>
      <c r="AE60" s="1041"/>
      <c r="AF60" s="1041"/>
      <c r="AG60" s="1041"/>
      <c r="AH60" s="1041"/>
      <c r="AI60" s="1041"/>
      <c r="AJ60" s="1041"/>
      <c r="AK60" s="1041"/>
      <c r="AL60" s="1041"/>
      <c r="AM60" s="1041"/>
      <c r="AN60" s="1041"/>
      <c r="AO60" s="1041"/>
      <c r="AP60" s="1041"/>
      <c r="AQ60" s="1041"/>
      <c r="AR60" s="1041"/>
      <c r="AS60" s="1041"/>
      <c r="AT60" s="1041"/>
      <c r="AU60" s="1041"/>
      <c r="AV60" s="1041"/>
      <c r="AW60" s="1041"/>
      <c r="AX60" s="1041"/>
    </row>
    <row r="61" spans="1:50" ht="15" customHeight="1">
      <c r="E61" s="1041"/>
      <c r="F61" s="1041"/>
      <c r="G61" s="1041"/>
      <c r="H61" s="1041"/>
      <c r="I61" s="1041"/>
      <c r="J61" s="1041"/>
      <c r="K61" s="1041"/>
      <c r="L61" s="1041"/>
      <c r="M61" s="1041"/>
      <c r="N61" s="1041"/>
      <c r="O61" s="1041"/>
      <c r="P61" s="1041"/>
      <c r="Q61" s="1041"/>
      <c r="R61" s="1041"/>
      <c r="S61" s="1041"/>
      <c r="T61" s="1041"/>
      <c r="U61" s="1041"/>
      <c r="V61" s="1041"/>
      <c r="W61" s="1041"/>
      <c r="X61" s="1041"/>
      <c r="Y61" s="1041"/>
      <c r="Z61" s="1041"/>
      <c r="AA61" s="1041"/>
      <c r="AB61" s="1041"/>
      <c r="AC61" s="1041"/>
      <c r="AD61" s="1041"/>
      <c r="AE61" s="1041"/>
      <c r="AF61" s="1041"/>
      <c r="AG61" s="1041"/>
      <c r="AH61" s="1041"/>
      <c r="AI61" s="1041"/>
      <c r="AJ61" s="1041"/>
      <c r="AK61" s="1041"/>
      <c r="AL61" s="1041"/>
      <c r="AM61" s="1041"/>
      <c r="AN61" s="1041"/>
      <c r="AO61" s="1041"/>
      <c r="AP61" s="1041"/>
      <c r="AQ61" s="1041"/>
      <c r="AR61" s="1041"/>
      <c r="AS61" s="1041"/>
      <c r="AT61" s="1041"/>
      <c r="AU61" s="1041"/>
      <c r="AV61" s="1041"/>
      <c r="AW61" s="1041"/>
      <c r="AX61" s="1041"/>
    </row>
    <row r="62" spans="1:50" ht="15" customHeight="1">
      <c r="E62" s="1041"/>
      <c r="F62" s="1041"/>
      <c r="G62" s="1041"/>
      <c r="H62" s="1041"/>
      <c r="I62" s="1041"/>
      <c r="J62" s="1041"/>
      <c r="K62" s="1041"/>
      <c r="L62" s="1041"/>
      <c r="M62" s="1041"/>
      <c r="N62" s="1041"/>
      <c r="O62" s="1041"/>
      <c r="P62" s="1041"/>
      <c r="Q62" s="1041"/>
      <c r="R62" s="1041"/>
      <c r="S62" s="1041"/>
      <c r="T62" s="1041"/>
      <c r="U62" s="1041"/>
      <c r="V62" s="1041"/>
      <c r="W62" s="1041"/>
      <c r="X62" s="1041"/>
      <c r="Y62" s="1041"/>
      <c r="Z62" s="1041"/>
      <c r="AA62" s="1041"/>
      <c r="AB62" s="1041"/>
      <c r="AC62" s="1041"/>
      <c r="AD62" s="1041"/>
      <c r="AE62" s="1041"/>
      <c r="AF62" s="1041"/>
      <c r="AG62" s="1041"/>
      <c r="AH62" s="1041"/>
      <c r="AI62" s="1041"/>
      <c r="AJ62" s="1041"/>
      <c r="AK62" s="1041"/>
      <c r="AL62" s="1041"/>
      <c r="AM62" s="1041"/>
      <c r="AN62" s="1041"/>
      <c r="AO62" s="1041"/>
      <c r="AP62" s="1041"/>
      <c r="AQ62" s="1041"/>
      <c r="AR62" s="1041"/>
      <c r="AS62" s="1041"/>
      <c r="AT62" s="1041"/>
      <c r="AU62" s="1041"/>
      <c r="AV62" s="1041"/>
      <c r="AW62" s="1041"/>
      <c r="AX62" s="1041"/>
    </row>
    <row r="63" spans="1:50" ht="15" customHeight="1">
      <c r="E63" s="1041"/>
      <c r="F63" s="1041"/>
      <c r="G63" s="1041"/>
      <c r="H63" s="1041"/>
      <c r="I63" s="1041"/>
      <c r="J63" s="1041"/>
      <c r="K63" s="1041"/>
      <c r="L63" s="1041"/>
      <c r="M63" s="1041"/>
      <c r="N63" s="1041"/>
      <c r="O63" s="1041"/>
      <c r="P63" s="1041"/>
      <c r="Q63" s="1041"/>
      <c r="R63" s="1041"/>
      <c r="S63" s="1041"/>
      <c r="T63" s="1041"/>
      <c r="U63" s="1041"/>
      <c r="V63" s="1041"/>
      <c r="W63" s="1041"/>
      <c r="X63" s="1041"/>
      <c r="Y63" s="1041"/>
      <c r="Z63" s="1041"/>
      <c r="AA63" s="1041"/>
      <c r="AB63" s="1041"/>
      <c r="AC63" s="1041"/>
      <c r="AD63" s="1041"/>
      <c r="AE63" s="1041"/>
      <c r="AF63" s="1041"/>
      <c r="AG63" s="1041"/>
      <c r="AH63" s="1041"/>
      <c r="AI63" s="1041"/>
      <c r="AJ63" s="1041"/>
      <c r="AK63" s="1041"/>
      <c r="AL63" s="1041"/>
      <c r="AM63" s="1041"/>
      <c r="AN63" s="1041"/>
      <c r="AO63" s="1041"/>
      <c r="AP63" s="1041"/>
      <c r="AQ63" s="1041"/>
      <c r="AR63" s="1041"/>
      <c r="AS63" s="1041"/>
      <c r="AT63" s="1041"/>
      <c r="AU63" s="1041"/>
      <c r="AV63" s="1041"/>
      <c r="AW63" s="1041"/>
      <c r="AX63" s="1041"/>
    </row>
    <row r="64" spans="1:50" ht="15" customHeight="1">
      <c r="E64" s="1041"/>
      <c r="F64" s="1041"/>
      <c r="G64" s="1041"/>
      <c r="H64" s="1041"/>
      <c r="I64" s="1041"/>
      <c r="J64" s="1041"/>
      <c r="K64" s="1041"/>
      <c r="L64" s="1041"/>
      <c r="M64" s="1041"/>
      <c r="N64" s="1041"/>
      <c r="O64" s="1041"/>
      <c r="P64" s="1041"/>
      <c r="Q64" s="1041"/>
      <c r="R64" s="1041"/>
      <c r="S64" s="1041"/>
      <c r="T64" s="1041"/>
      <c r="U64" s="1041"/>
      <c r="V64" s="1041"/>
      <c r="W64" s="1041"/>
      <c r="X64" s="1041"/>
      <c r="Y64" s="1041"/>
      <c r="Z64" s="1041"/>
      <c r="AA64" s="1041"/>
      <c r="AB64" s="1041"/>
      <c r="AC64" s="1041"/>
      <c r="AD64" s="1041"/>
      <c r="AE64" s="1041"/>
      <c r="AF64" s="1041"/>
      <c r="AG64" s="1041"/>
      <c r="AH64" s="1041"/>
      <c r="AI64" s="1041"/>
      <c r="AJ64" s="1041"/>
      <c r="AK64" s="1041"/>
      <c r="AL64" s="1041"/>
      <c r="AM64" s="1041"/>
      <c r="AN64" s="1041"/>
      <c r="AO64" s="1041"/>
      <c r="AP64" s="1041"/>
      <c r="AQ64" s="1041"/>
      <c r="AR64" s="1041"/>
      <c r="AS64" s="1041"/>
      <c r="AT64" s="1041"/>
      <c r="AU64" s="1041"/>
      <c r="AV64" s="1041"/>
      <c r="AW64" s="1041"/>
      <c r="AX64" s="1041"/>
    </row>
    <row r="65" spans="1:50" ht="15" customHeight="1">
      <c r="E65" s="1041"/>
      <c r="F65" s="1041"/>
      <c r="G65" s="1041"/>
      <c r="H65" s="1041"/>
      <c r="I65" s="1041"/>
      <c r="J65" s="1041"/>
      <c r="K65" s="1041"/>
      <c r="L65" s="1041"/>
      <c r="M65" s="1041"/>
      <c r="N65" s="1041"/>
      <c r="O65" s="1041"/>
      <c r="P65" s="1041"/>
      <c r="Q65" s="1041"/>
      <c r="R65" s="1041"/>
      <c r="S65" s="1041"/>
      <c r="T65" s="1041"/>
      <c r="U65" s="1041"/>
      <c r="V65" s="1041"/>
      <c r="W65" s="1041"/>
      <c r="X65" s="1041"/>
      <c r="Y65" s="1041"/>
      <c r="Z65" s="1041"/>
      <c r="AA65" s="1041"/>
      <c r="AB65" s="1041"/>
      <c r="AC65" s="1041"/>
      <c r="AD65" s="1041"/>
      <c r="AE65" s="1041"/>
      <c r="AF65" s="1041"/>
      <c r="AG65" s="1041"/>
      <c r="AH65" s="1041"/>
      <c r="AI65" s="1041"/>
      <c r="AJ65" s="1041"/>
      <c r="AK65" s="1041"/>
      <c r="AL65" s="1041"/>
      <c r="AM65" s="1041"/>
      <c r="AN65" s="1041"/>
      <c r="AO65" s="1041"/>
      <c r="AP65" s="1041"/>
      <c r="AQ65" s="1041"/>
      <c r="AR65" s="1041"/>
      <c r="AS65" s="1041"/>
      <c r="AT65" s="1041"/>
      <c r="AU65" s="1041"/>
      <c r="AV65" s="1041"/>
      <c r="AW65" s="1041"/>
      <c r="AX65" s="1041"/>
    </row>
    <row r="66" spans="1:50" ht="15" customHeight="1">
      <c r="E66" s="1041"/>
      <c r="F66" s="1041"/>
      <c r="G66" s="1041"/>
      <c r="H66" s="1041"/>
      <c r="I66" s="1041"/>
      <c r="J66" s="1041"/>
      <c r="K66" s="1041"/>
      <c r="L66" s="1041"/>
      <c r="M66" s="1041"/>
      <c r="N66" s="1041"/>
      <c r="O66" s="1041"/>
      <c r="P66" s="1041"/>
      <c r="Q66" s="1041"/>
      <c r="R66" s="1041"/>
      <c r="S66" s="1041"/>
      <c r="T66" s="1041"/>
      <c r="U66" s="1041"/>
      <c r="V66" s="1041"/>
      <c r="W66" s="1041"/>
      <c r="X66" s="1041"/>
      <c r="Y66" s="1041"/>
      <c r="Z66" s="1041"/>
      <c r="AA66" s="1041"/>
      <c r="AB66" s="1041"/>
      <c r="AC66" s="1041"/>
      <c r="AD66" s="1041"/>
      <c r="AE66" s="1041"/>
      <c r="AF66" s="1041"/>
      <c r="AG66" s="1041"/>
      <c r="AH66" s="1041"/>
      <c r="AI66" s="1041"/>
      <c r="AJ66" s="1041"/>
      <c r="AK66" s="1041"/>
      <c r="AL66" s="1041"/>
      <c r="AM66" s="1041"/>
      <c r="AN66" s="1041"/>
      <c r="AO66" s="1041"/>
      <c r="AP66" s="1041"/>
      <c r="AQ66" s="1041"/>
      <c r="AR66" s="1041"/>
      <c r="AS66" s="1041"/>
      <c r="AT66" s="1041"/>
      <c r="AU66" s="1041"/>
      <c r="AV66" s="1041"/>
      <c r="AW66" s="1041"/>
      <c r="AX66" s="1041"/>
    </row>
    <row r="67" spans="1:50" ht="15" customHeight="1">
      <c r="E67" s="1041"/>
      <c r="F67" s="1041"/>
      <c r="G67" s="1041"/>
      <c r="H67" s="1041"/>
      <c r="I67" s="1041"/>
      <c r="J67" s="1041"/>
      <c r="K67" s="1041"/>
      <c r="L67" s="1041"/>
      <c r="M67" s="1041"/>
      <c r="N67" s="1041"/>
      <c r="O67" s="1041"/>
      <c r="P67" s="1041"/>
      <c r="Q67" s="1041"/>
      <c r="R67" s="1041"/>
      <c r="S67" s="1041"/>
      <c r="T67" s="1041"/>
      <c r="U67" s="1041"/>
      <c r="V67" s="1041"/>
      <c r="W67" s="1041"/>
      <c r="X67" s="1041"/>
      <c r="Y67" s="1041"/>
      <c r="Z67" s="1041"/>
      <c r="AA67" s="1041"/>
      <c r="AB67" s="1041"/>
      <c r="AC67" s="1041"/>
      <c r="AD67" s="1041"/>
      <c r="AE67" s="1041"/>
      <c r="AF67" s="1041"/>
      <c r="AG67" s="1041"/>
      <c r="AH67" s="1041"/>
      <c r="AI67" s="1041"/>
      <c r="AJ67" s="1041"/>
      <c r="AK67" s="1041"/>
      <c r="AL67" s="1041"/>
      <c r="AM67" s="1041"/>
      <c r="AN67" s="1041"/>
      <c r="AO67" s="1041"/>
      <c r="AP67" s="1041"/>
      <c r="AQ67" s="1041"/>
      <c r="AR67" s="1041"/>
      <c r="AS67" s="1041"/>
      <c r="AT67" s="1041"/>
      <c r="AU67" s="1041"/>
      <c r="AV67" s="1041"/>
      <c r="AW67" s="1041"/>
      <c r="AX67" s="1041"/>
    </row>
    <row r="68" spans="1:50" ht="15" customHeight="1">
      <c r="E68" s="1041"/>
      <c r="F68" s="1041"/>
      <c r="G68" s="1041"/>
      <c r="H68" s="1041"/>
      <c r="I68" s="1041"/>
      <c r="J68" s="1041"/>
      <c r="K68" s="1041"/>
      <c r="L68" s="1041"/>
      <c r="M68" s="1041"/>
      <c r="N68" s="1041"/>
      <c r="O68" s="1041"/>
      <c r="P68" s="1041"/>
      <c r="Q68" s="1041"/>
      <c r="R68" s="1041"/>
      <c r="S68" s="1041"/>
      <c r="T68" s="1041"/>
      <c r="U68" s="1041"/>
      <c r="V68" s="1041"/>
      <c r="W68" s="1041"/>
      <c r="X68" s="1041"/>
      <c r="Y68" s="1041"/>
      <c r="Z68" s="1041"/>
      <c r="AA68" s="1041"/>
      <c r="AB68" s="1041"/>
      <c r="AC68" s="1041"/>
      <c r="AD68" s="1041"/>
      <c r="AE68" s="1041"/>
      <c r="AF68" s="1041"/>
      <c r="AG68" s="1041"/>
      <c r="AH68" s="1041"/>
      <c r="AI68" s="1041"/>
      <c r="AJ68" s="1041"/>
      <c r="AK68" s="1041"/>
      <c r="AL68" s="1041"/>
      <c r="AM68" s="1041"/>
      <c r="AN68" s="1041"/>
      <c r="AO68" s="1041"/>
      <c r="AP68" s="1041"/>
      <c r="AQ68" s="1041"/>
      <c r="AR68" s="1041"/>
      <c r="AS68" s="1041"/>
      <c r="AT68" s="1041"/>
      <c r="AU68" s="1041"/>
      <c r="AV68" s="1041"/>
      <c r="AW68" s="1041"/>
      <c r="AX68" s="1041"/>
    </row>
    <row r="69" spans="1:50" ht="15" customHeight="1">
      <c r="E69" s="1041"/>
      <c r="F69" s="1041"/>
      <c r="G69" s="1041"/>
      <c r="H69" s="1041"/>
      <c r="I69" s="1041"/>
      <c r="J69" s="1041"/>
      <c r="K69" s="1041"/>
      <c r="L69" s="1041"/>
      <c r="M69" s="1041"/>
      <c r="N69" s="1041"/>
      <c r="O69" s="1041"/>
      <c r="P69" s="1041"/>
      <c r="Q69" s="1041"/>
      <c r="R69" s="1041"/>
      <c r="S69" s="1041"/>
      <c r="T69" s="1041"/>
      <c r="U69" s="1041"/>
      <c r="V69" s="1041"/>
      <c r="W69" s="1041"/>
      <c r="X69" s="1041"/>
      <c r="Y69" s="1041"/>
      <c r="Z69" s="1041"/>
      <c r="AA69" s="1041"/>
      <c r="AB69" s="1041"/>
      <c r="AC69" s="1041"/>
      <c r="AD69" s="1041"/>
      <c r="AE69" s="1041"/>
      <c r="AF69" s="1041"/>
      <c r="AG69" s="1041"/>
      <c r="AH69" s="1041"/>
      <c r="AI69" s="1041"/>
      <c r="AJ69" s="1041"/>
      <c r="AK69" s="1041"/>
      <c r="AL69" s="1041"/>
      <c r="AM69" s="1041"/>
      <c r="AN69" s="1041"/>
      <c r="AO69" s="1041"/>
      <c r="AP69" s="1041"/>
      <c r="AQ69" s="1041"/>
      <c r="AR69" s="1041"/>
      <c r="AS69" s="1041"/>
      <c r="AT69" s="1041"/>
      <c r="AU69" s="1041"/>
      <c r="AV69" s="1041"/>
      <c r="AW69" s="1041"/>
      <c r="AX69" s="1041"/>
    </row>
    <row r="70" spans="1:50" ht="15" customHeight="1">
      <c r="E70" s="1041"/>
      <c r="F70" s="1041"/>
      <c r="G70" s="1041"/>
      <c r="H70" s="1041"/>
      <c r="I70" s="1041"/>
      <c r="J70" s="1041"/>
      <c r="K70" s="1041"/>
      <c r="L70" s="1041"/>
      <c r="M70" s="1041"/>
      <c r="N70" s="1041"/>
      <c r="O70" s="1041"/>
      <c r="P70" s="1041"/>
      <c r="Q70" s="1041"/>
      <c r="R70" s="1041"/>
      <c r="S70" s="1041"/>
      <c r="T70" s="1041"/>
      <c r="U70" s="1041"/>
      <c r="V70" s="1041"/>
      <c r="W70" s="1041"/>
      <c r="X70" s="1041"/>
      <c r="Y70" s="1041"/>
      <c r="Z70" s="1041"/>
      <c r="AA70" s="1041"/>
      <c r="AB70" s="1041"/>
      <c r="AC70" s="1041"/>
      <c r="AD70" s="1041"/>
      <c r="AE70" s="1041"/>
      <c r="AF70" s="1041"/>
      <c r="AG70" s="1041"/>
      <c r="AH70" s="1041"/>
      <c r="AI70" s="1041"/>
      <c r="AJ70" s="1041"/>
      <c r="AK70" s="1041"/>
      <c r="AL70" s="1041"/>
      <c r="AM70" s="1041"/>
      <c r="AN70" s="1041"/>
      <c r="AO70" s="1041"/>
      <c r="AP70" s="1041"/>
      <c r="AQ70" s="1041"/>
      <c r="AR70" s="1041"/>
      <c r="AS70" s="1041"/>
      <c r="AT70" s="1041"/>
      <c r="AU70" s="1041"/>
      <c r="AV70" s="1041"/>
      <c r="AW70" s="1041"/>
      <c r="AX70" s="1041"/>
    </row>
    <row r="71" spans="1:50" ht="15" customHeight="1">
      <c r="E71" s="1041"/>
      <c r="F71" s="1041"/>
      <c r="G71" s="1041"/>
      <c r="H71" s="1041"/>
      <c r="I71" s="1041"/>
      <c r="J71" s="1041"/>
      <c r="K71" s="1041"/>
      <c r="L71" s="1041"/>
      <c r="M71" s="1041"/>
      <c r="N71" s="1041"/>
      <c r="O71" s="1041"/>
      <c r="P71" s="1041"/>
      <c r="Q71" s="1041"/>
      <c r="R71" s="1041"/>
      <c r="S71" s="1041"/>
      <c r="T71" s="1041"/>
      <c r="U71" s="1041"/>
      <c r="V71" s="1041"/>
      <c r="W71" s="1041"/>
      <c r="X71" s="1041"/>
      <c r="Y71" s="1041"/>
      <c r="Z71" s="1041"/>
      <c r="AA71" s="1041"/>
      <c r="AB71" s="1041"/>
      <c r="AC71" s="1041"/>
      <c r="AD71" s="1041"/>
      <c r="AE71" s="1041"/>
      <c r="AF71" s="1041"/>
      <c r="AG71" s="1041"/>
      <c r="AH71" s="1041"/>
      <c r="AI71" s="1041"/>
      <c r="AJ71" s="1041"/>
      <c r="AK71" s="1041"/>
      <c r="AL71" s="1041"/>
      <c r="AM71" s="1041"/>
      <c r="AN71" s="1041"/>
      <c r="AO71" s="1041"/>
      <c r="AP71" s="1041"/>
      <c r="AQ71" s="1041"/>
      <c r="AR71" s="1041"/>
      <c r="AS71" s="1041"/>
      <c r="AT71" s="1041"/>
      <c r="AU71" s="1041"/>
      <c r="AV71" s="1041"/>
      <c r="AW71" s="1041"/>
      <c r="AX71" s="1041"/>
    </row>
    <row r="72" spans="1:50" ht="15" customHeight="1">
      <c r="E72" s="1041"/>
      <c r="F72" s="1041"/>
      <c r="G72" s="1041"/>
      <c r="H72" s="1041"/>
      <c r="I72" s="1041"/>
      <c r="J72" s="1041"/>
      <c r="K72" s="1041"/>
      <c r="L72" s="1041"/>
      <c r="M72" s="1041"/>
      <c r="N72" s="1041"/>
      <c r="O72" s="1041"/>
      <c r="P72" s="1041"/>
      <c r="Q72" s="1041"/>
      <c r="R72" s="1041"/>
      <c r="S72" s="1041"/>
      <c r="T72" s="1041"/>
      <c r="U72" s="1041"/>
      <c r="V72" s="1041"/>
      <c r="W72" s="1041"/>
      <c r="X72" s="1041"/>
      <c r="Y72" s="1041"/>
      <c r="Z72" s="1041"/>
      <c r="AA72" s="1041"/>
      <c r="AB72" s="1041"/>
      <c r="AC72" s="1041"/>
      <c r="AD72" s="1041"/>
      <c r="AE72" s="1041"/>
      <c r="AF72" s="1041"/>
      <c r="AG72" s="1041"/>
      <c r="AH72" s="1041"/>
      <c r="AI72" s="1041"/>
      <c r="AJ72" s="1041"/>
      <c r="AK72" s="1041"/>
      <c r="AL72" s="1041"/>
      <c r="AM72" s="1041"/>
      <c r="AN72" s="1041"/>
      <c r="AO72" s="1041"/>
      <c r="AP72" s="1041"/>
      <c r="AQ72" s="1041"/>
      <c r="AR72" s="1041"/>
      <c r="AS72" s="1041"/>
      <c r="AT72" s="1041"/>
      <c r="AU72" s="1041"/>
      <c r="AV72" s="1041"/>
      <c r="AW72" s="1041"/>
      <c r="AX72" s="1041"/>
    </row>
    <row r="73" spans="1:50" ht="15" customHeight="1">
      <c r="E73" s="1041"/>
      <c r="F73" s="1041"/>
      <c r="G73" s="1041"/>
      <c r="H73" s="1041"/>
      <c r="I73" s="1041"/>
      <c r="J73" s="1041"/>
      <c r="K73" s="1041"/>
      <c r="L73" s="1041"/>
      <c r="M73" s="1041"/>
      <c r="N73" s="1041"/>
      <c r="O73" s="1041"/>
      <c r="P73" s="1041"/>
      <c r="Q73" s="1041"/>
      <c r="R73" s="1041"/>
      <c r="S73" s="1041"/>
      <c r="T73" s="1041"/>
      <c r="U73" s="1041"/>
      <c r="V73" s="1041"/>
      <c r="W73" s="1041"/>
      <c r="X73" s="1041"/>
      <c r="Y73" s="1041"/>
      <c r="Z73" s="1041"/>
      <c r="AA73" s="1041"/>
      <c r="AB73" s="1041"/>
      <c r="AC73" s="1041"/>
      <c r="AD73" s="1041"/>
      <c r="AE73" s="1041"/>
      <c r="AF73" s="1041"/>
      <c r="AG73" s="1041"/>
      <c r="AH73" s="1041"/>
      <c r="AI73" s="1041"/>
      <c r="AJ73" s="1041"/>
      <c r="AK73" s="1041"/>
      <c r="AL73" s="1041"/>
      <c r="AM73" s="1041"/>
      <c r="AN73" s="1041"/>
      <c r="AO73" s="1041"/>
      <c r="AP73" s="1041"/>
      <c r="AQ73" s="1041"/>
      <c r="AR73" s="1041"/>
      <c r="AS73" s="1041"/>
      <c r="AT73" s="1041"/>
      <c r="AU73" s="1041"/>
      <c r="AV73" s="1041"/>
      <c r="AW73" s="1041"/>
      <c r="AX73" s="1041"/>
    </row>
    <row r="74" spans="1:50" ht="15" customHeight="1">
      <c r="E74" s="1041"/>
      <c r="F74" s="1041"/>
      <c r="G74" s="1041"/>
      <c r="H74" s="1041"/>
      <c r="I74" s="1041"/>
      <c r="J74" s="1041"/>
      <c r="K74" s="1041"/>
      <c r="L74" s="1041"/>
      <c r="M74" s="1041"/>
      <c r="N74" s="1041"/>
      <c r="O74" s="1041"/>
      <c r="P74" s="1041"/>
      <c r="Q74" s="1041"/>
      <c r="R74" s="1041"/>
      <c r="S74" s="1041"/>
      <c r="T74" s="1041"/>
      <c r="U74" s="1041"/>
      <c r="V74" s="1041"/>
      <c r="W74" s="1041"/>
      <c r="X74" s="1041"/>
      <c r="Y74" s="1041"/>
      <c r="Z74" s="1041"/>
      <c r="AA74" s="1041"/>
      <c r="AB74" s="1041"/>
      <c r="AC74" s="1041"/>
      <c r="AD74" s="1041"/>
      <c r="AE74" s="1041"/>
      <c r="AF74" s="1041"/>
      <c r="AG74" s="1041"/>
      <c r="AH74" s="1041"/>
      <c r="AI74" s="1041"/>
      <c r="AJ74" s="1041"/>
      <c r="AK74" s="1041"/>
      <c r="AL74" s="1041"/>
      <c r="AM74" s="1041"/>
      <c r="AN74" s="1041"/>
      <c r="AO74" s="1041"/>
      <c r="AP74" s="1041"/>
      <c r="AQ74" s="1041"/>
      <c r="AR74" s="1041"/>
      <c r="AS74" s="1041"/>
      <c r="AT74" s="1041"/>
      <c r="AU74" s="1041"/>
      <c r="AV74" s="1041"/>
      <c r="AW74" s="1041"/>
      <c r="AX74" s="1041"/>
    </row>
    <row r="75" spans="1:50" ht="15" customHeight="1">
      <c r="E75" s="1041"/>
      <c r="F75" s="1041"/>
      <c r="G75" s="1041"/>
      <c r="H75" s="1041"/>
      <c r="I75" s="1041"/>
      <c r="J75" s="1041"/>
      <c r="K75" s="1041"/>
      <c r="L75" s="1041"/>
      <c r="M75" s="1041"/>
      <c r="N75" s="1041"/>
      <c r="O75" s="1041"/>
      <c r="P75" s="1041"/>
      <c r="Q75" s="1041"/>
      <c r="R75" s="1041"/>
      <c r="S75" s="1041"/>
      <c r="T75" s="1041"/>
      <c r="U75" s="1041"/>
      <c r="V75" s="1041"/>
      <c r="W75" s="1041"/>
      <c r="X75" s="1041"/>
      <c r="Y75" s="1041"/>
      <c r="Z75" s="1041"/>
      <c r="AA75" s="1041"/>
      <c r="AB75" s="1041"/>
      <c r="AC75" s="1041"/>
      <c r="AD75" s="1041"/>
      <c r="AE75" s="1041"/>
      <c r="AF75" s="1041"/>
      <c r="AG75" s="1041"/>
      <c r="AH75" s="1041"/>
      <c r="AI75" s="1041"/>
      <c r="AJ75" s="1041"/>
      <c r="AK75" s="1041"/>
      <c r="AL75" s="1041"/>
      <c r="AM75" s="1041"/>
      <c r="AN75" s="1041"/>
      <c r="AO75" s="1041"/>
      <c r="AP75" s="1041"/>
      <c r="AQ75" s="1041"/>
      <c r="AR75" s="1041"/>
      <c r="AS75" s="1041"/>
      <c r="AT75" s="1041"/>
      <c r="AU75" s="1041"/>
      <c r="AV75" s="1041"/>
      <c r="AW75" s="1041"/>
      <c r="AX75" s="1041"/>
    </row>
    <row r="76" spans="1:50" ht="15" customHeight="1">
      <c r="E76" s="1041"/>
      <c r="F76" s="1041"/>
      <c r="G76" s="1041"/>
      <c r="H76" s="1041"/>
      <c r="I76" s="1041"/>
      <c r="J76" s="1041"/>
      <c r="K76" s="1041"/>
      <c r="L76" s="1041"/>
      <c r="M76" s="1041"/>
      <c r="N76" s="1041"/>
      <c r="O76" s="1041"/>
      <c r="P76" s="1041"/>
      <c r="Q76" s="1041"/>
      <c r="R76" s="1041"/>
      <c r="S76" s="1041"/>
      <c r="T76" s="1041"/>
      <c r="U76" s="1041"/>
      <c r="V76" s="1041"/>
      <c r="W76" s="1041"/>
      <c r="X76" s="1041"/>
      <c r="Y76" s="1041"/>
      <c r="Z76" s="1041"/>
      <c r="AA76" s="1041"/>
      <c r="AB76" s="1041"/>
      <c r="AC76" s="1041"/>
      <c r="AD76" s="1041"/>
      <c r="AE76" s="1041"/>
      <c r="AF76" s="1041"/>
      <c r="AG76" s="1041"/>
      <c r="AH76" s="1041"/>
      <c r="AI76" s="1041"/>
      <c r="AJ76" s="1041"/>
      <c r="AK76" s="1041"/>
      <c r="AL76" s="1041"/>
      <c r="AM76" s="1041"/>
      <c r="AN76" s="1041"/>
      <c r="AO76" s="1041"/>
      <c r="AP76" s="1041"/>
      <c r="AQ76" s="1041"/>
      <c r="AR76" s="1041"/>
      <c r="AS76" s="1041"/>
      <c r="AT76" s="1041"/>
      <c r="AU76" s="1041"/>
      <c r="AV76" s="1041"/>
      <c r="AW76" s="1041"/>
      <c r="AX76" s="1041"/>
    </row>
    <row r="77" spans="1:50" ht="15" customHeight="1">
      <c r="E77" s="1041"/>
      <c r="F77" s="1041"/>
      <c r="G77" s="1041"/>
      <c r="H77" s="1041"/>
      <c r="I77" s="1041"/>
      <c r="J77" s="1041"/>
      <c r="K77" s="1041"/>
      <c r="L77" s="1041"/>
      <c r="M77" s="1041"/>
      <c r="N77" s="1041"/>
      <c r="O77" s="1041"/>
      <c r="P77" s="1041"/>
      <c r="Q77" s="1041"/>
      <c r="R77" s="1041"/>
      <c r="S77" s="1041"/>
      <c r="T77" s="1041"/>
      <c r="U77" s="1041"/>
      <c r="V77" s="1041"/>
      <c r="W77" s="1041"/>
      <c r="X77" s="1041"/>
      <c r="Y77" s="1041"/>
      <c r="Z77" s="1041"/>
      <c r="AA77" s="1041"/>
      <c r="AB77" s="1041"/>
      <c r="AC77" s="1041"/>
      <c r="AD77" s="1041"/>
      <c r="AE77" s="1041"/>
      <c r="AF77" s="1041"/>
      <c r="AG77" s="1041"/>
      <c r="AH77" s="1041"/>
      <c r="AI77" s="1041"/>
      <c r="AJ77" s="1041"/>
      <c r="AK77" s="1041"/>
      <c r="AL77" s="1041"/>
      <c r="AM77" s="1041"/>
      <c r="AN77" s="1041"/>
      <c r="AO77" s="1041"/>
      <c r="AP77" s="1041"/>
      <c r="AQ77" s="1041"/>
      <c r="AR77" s="1041"/>
      <c r="AS77" s="1041"/>
      <c r="AT77" s="1041"/>
      <c r="AU77" s="1041"/>
      <c r="AV77" s="1041"/>
      <c r="AW77" s="1041"/>
      <c r="AX77" s="1041"/>
    </row>
    <row r="78" spans="1:50" ht="15" customHeight="1">
      <c r="A78" s="56" t="e">
        <f ca="1">A$1 &amp; ": " &amp; Translate!$E$609</f>
        <v>#VALUE!</v>
      </c>
      <c r="B78" s="86"/>
      <c r="C78" s="86"/>
      <c r="D78" s="86"/>
      <c r="E78" s="88"/>
      <c r="F78" s="86"/>
      <c r="G78" s="86"/>
      <c r="H78" s="86"/>
      <c r="I78" s="86"/>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row>
    <row r="79" spans="1:50" ht="15" customHeight="1">
      <c r="E79" s="1041"/>
      <c r="F79" s="1041"/>
      <c r="G79" s="1041"/>
      <c r="H79" s="1041"/>
      <c r="I79" s="1041"/>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row>
    <row r="80" spans="1:50" ht="15" customHeight="1">
      <c r="A80" s="57"/>
      <c r="B80" s="58"/>
      <c r="C80" s="201"/>
      <c r="D80" s="59"/>
      <c r="E80" s="57"/>
      <c r="F80" s="851" t="str">
        <f xml:space="preserve"> Translate!E$565</f>
        <v>do not delete row</v>
      </c>
      <c r="G80" s="57"/>
      <c r="H80" s="57"/>
      <c r="I80" s="57"/>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row>
    <row r="81" spans="1:50" ht="15" customHeight="1">
      <c r="A81" s="1041"/>
      <c r="B81" s="1041"/>
      <c r="C81" s="1041"/>
      <c r="D81" s="1041"/>
      <c r="E81" s="223" t="str">
        <f xml:space="preserve"> E$41</f>
        <v>Check: First row of project data</v>
      </c>
      <c r="F81" s="29">
        <f xml:space="preserve"> F$41</f>
        <v>0</v>
      </c>
      <c r="G81" s="223" t="str">
        <f xml:space="preserve"> G$41</f>
        <v>Check</v>
      </c>
      <c r="H81" s="1041"/>
      <c r="I81" s="1041"/>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row>
    <row r="82" spans="1:50" ht="15" customHeight="1">
      <c r="A82" s="57"/>
      <c r="B82" s="58"/>
      <c r="C82" s="201"/>
      <c r="D82" s="59"/>
      <c r="E82" s="57"/>
      <c r="F82" s="851" t="str">
        <f xml:space="preserve"> Translate!E$565</f>
        <v>do not delete row</v>
      </c>
      <c r="G82" s="57"/>
      <c r="H82" s="57"/>
      <c r="I82" s="57"/>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row>
    <row r="83" spans="1:50" ht="15" customHeight="1">
      <c r="E83" s="1041" t="e">
        <f ca="1" xml:space="preserve"> Translate!$E$639 &amp; ": " &amp; $A$1</f>
        <v>#VALUE!</v>
      </c>
      <c r="F83" s="62">
        <f xml:space="preserve"> SUM(F80:F82)</f>
        <v>0</v>
      </c>
      <c r="G83" s="1041" t="str">
        <f xml:space="preserve"> Translate!E$444</f>
        <v>Check</v>
      </c>
      <c r="H83" s="1041"/>
      <c r="I83" s="1041"/>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row>
  </sheetData>
  <conditionalFormatting sqref="F81">
    <cfRule type="cellIs" dxfId="49" priority="11" stopIfTrue="1" operator="notEqual">
      <formula>0</formula>
    </cfRule>
    <cfRule type="cellIs" dxfId="48" priority="12" stopIfTrue="1" operator="equal">
      <formula>""</formula>
    </cfRule>
  </conditionalFormatting>
  <conditionalFormatting sqref="F83">
    <cfRule type="cellIs" dxfId="47" priority="13" stopIfTrue="1" operator="notEqual">
      <formula>0</formula>
    </cfRule>
    <cfRule type="cellIs" dxfId="46" priority="14" stopIfTrue="1" operator="equal">
      <formula>""</formula>
    </cfRule>
  </conditionalFormatting>
  <conditionalFormatting sqref="F3">
    <cfRule type="cellIs" dxfId="45" priority="9" stopIfTrue="1" operator="notEqual">
      <formula>0</formula>
    </cfRule>
    <cfRule type="cellIs" dxfId="44" priority="10" stopIfTrue="1" operator="equal">
      <formula>""</formula>
    </cfRule>
  </conditionalFormatting>
  <conditionalFormatting sqref="F3">
    <cfRule type="cellIs" dxfId="43" priority="7" stopIfTrue="1" operator="notEqual">
      <formula>0</formula>
    </cfRule>
    <cfRule type="cellIs" dxfId="42" priority="8" stopIfTrue="1" operator="equal">
      <formula>""</formula>
    </cfRule>
  </conditionalFormatting>
  <conditionalFormatting sqref="F41">
    <cfRule type="cellIs" dxfId="41" priority="5" stopIfTrue="1" operator="notEqual">
      <formula>0</formula>
    </cfRule>
    <cfRule type="cellIs" dxfId="40" priority="6" stopIfTrue="1" operator="equal">
      <formula>""</formula>
    </cfRule>
  </conditionalFormatting>
  <conditionalFormatting sqref="F41">
    <cfRule type="cellIs" dxfId="39" priority="3" stopIfTrue="1" operator="notEqual">
      <formula>0</formula>
    </cfRule>
    <cfRule type="cellIs" dxfId="38" priority="4" stopIfTrue="1" operator="equal">
      <formula>""</formula>
    </cfRule>
  </conditionalFormatting>
  <printOptions headings="1"/>
  <pageMargins left="0.74803149606299213" right="0.70866141732283472" top="0.98425196850393704" bottom="0.74803149606299213" header="0.51181102362204722" footer="0.31496062992125984"/>
  <pageSetup scale="55" orientation="landscape" blackAndWhite="1" r:id="rId1"/>
  <headerFooter>
    <oddHeader>&amp;LPROJECT BULYANHULU&amp;CSheet:&amp;A&amp;RSTRICTLY CONFIDENTIAL</oddHeader>
    <oddFooter>&amp;L&amp;F ( printed on &amp;D at &amp;T )&amp;RPage &amp;P of &amp;N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BF306-0786-4F92-9DD0-DA9FC05F99ED}">
  <sheetPr codeName="Sheet22">
    <tabColor rgb="FFFFC000"/>
    <outlinePr summaryBelow="0" summaryRight="0"/>
  </sheetPr>
  <dimension ref="A1:AX83"/>
  <sheetViews>
    <sheetView defaultGridColor="0" colorId="22" zoomScale="85" zoomScaleNormal="85" workbookViewId="0">
      <pane xSplit="10" ySplit="3" topLeftCell="K4" activePane="bottomRight" state="frozen"/>
      <selection pane="bottomRight" activeCell="B11" sqref="B11"/>
      <selection pane="bottomLeft" activeCell="H1" sqref="H1:H1048576"/>
      <selection pane="topRight" activeCell="H1" sqref="H1:H1048576"/>
    </sheetView>
  </sheetViews>
  <sheetFormatPr defaultColWidth="0" defaultRowHeight="12.75" customHeight="1" outlineLevelCol="1"/>
  <cols>
    <col min="1" max="2" width="1.28515625" style="19" customWidth="1"/>
    <col min="3" max="3" width="1.28515625" style="202" customWidth="1"/>
    <col min="4" max="4" width="1.28515625" style="203" customWidth="1"/>
    <col min="5" max="5" width="50.7109375" style="324" customWidth="1"/>
    <col min="6" max="6" width="12.7109375" style="324" customWidth="1"/>
    <col min="7" max="7" width="20.7109375" style="324" customWidth="1" collapsed="1"/>
    <col min="8" max="8" width="40.7109375" style="324" hidden="1" customWidth="1" outlineLevel="1"/>
    <col min="9" max="9" width="12.7109375" style="324" customWidth="1"/>
    <col min="10" max="10" width="3.7109375" style="324" customWidth="1"/>
    <col min="11" max="50" width="10.7109375" style="324" customWidth="1"/>
    <col min="51" max="16384" width="9.140625" style="324" hidden="1"/>
  </cols>
  <sheetData>
    <row r="1" spans="1:50" ht="15" customHeight="1">
      <c r="A1" s="18" t="e">
        <f ca="1" xml:space="preserve"> RIGHT( CELL("filename",$A$1), LEN( CELL("filename",$A$1)) - SEARCH("]", CELL("filename",$A$1)))</f>
        <v>#VALUE!</v>
      </c>
      <c r="E1" s="1041"/>
      <c r="F1" s="216"/>
      <c r="G1" s="72"/>
      <c r="H1" s="72"/>
      <c r="I1" s="72"/>
      <c r="J1" s="72"/>
      <c r="K1" s="267">
        <f xml:space="preserve"> ProjectCashflows!K$48</f>
        <v>2021</v>
      </c>
      <c r="L1" s="267">
        <f xml:space="preserve"> ProjectCashflows!L$48</f>
        <v>2022</v>
      </c>
      <c r="M1" s="267">
        <f xml:space="preserve"> ProjectCashflows!M$48</f>
        <v>2023</v>
      </c>
      <c r="N1" s="267">
        <f xml:space="preserve"> ProjectCashflows!N$48</f>
        <v>2024</v>
      </c>
      <c r="O1" s="267">
        <f xml:space="preserve"> ProjectCashflows!O$48</f>
        <v>2025</v>
      </c>
      <c r="P1" s="267">
        <f xml:space="preserve"> ProjectCashflows!P$48</f>
        <v>2026</v>
      </c>
      <c r="Q1" s="267">
        <f xml:space="preserve"> ProjectCashflows!Q$48</f>
        <v>2027</v>
      </c>
      <c r="R1" s="267">
        <f xml:space="preserve"> ProjectCashflows!R$48</f>
        <v>2028</v>
      </c>
      <c r="S1" s="267">
        <f xml:space="preserve"> ProjectCashflows!S$48</f>
        <v>2029</v>
      </c>
      <c r="T1" s="267">
        <f xml:space="preserve"> ProjectCashflows!T$48</f>
        <v>2030</v>
      </c>
      <c r="U1" s="267">
        <f xml:space="preserve"> ProjectCashflows!U$48</f>
        <v>2031</v>
      </c>
      <c r="V1" s="267">
        <f xml:space="preserve"> ProjectCashflows!V$48</f>
        <v>2032</v>
      </c>
      <c r="W1" s="267">
        <f xml:space="preserve"> ProjectCashflows!W$48</f>
        <v>2033</v>
      </c>
      <c r="X1" s="267">
        <f xml:space="preserve"> ProjectCashflows!X$48</f>
        <v>2034</v>
      </c>
      <c r="Y1" s="267">
        <f xml:space="preserve"> ProjectCashflows!Y$48</f>
        <v>2035</v>
      </c>
      <c r="Z1" s="267">
        <f xml:space="preserve"> ProjectCashflows!Z$48</f>
        <v>2036</v>
      </c>
      <c r="AA1" s="267">
        <f xml:space="preserve"> ProjectCashflows!AA$48</f>
        <v>2037</v>
      </c>
      <c r="AB1" s="267">
        <f xml:space="preserve"> ProjectCashflows!AB$48</f>
        <v>2038</v>
      </c>
      <c r="AC1" s="267">
        <f xml:space="preserve"> ProjectCashflows!AC$48</f>
        <v>2039</v>
      </c>
      <c r="AD1" s="267">
        <f xml:space="preserve"> ProjectCashflows!AD$48</f>
        <v>2040</v>
      </c>
      <c r="AE1" s="267">
        <f xml:space="preserve"> ProjectCashflows!AE$48</f>
        <v>2041</v>
      </c>
      <c r="AF1" s="267">
        <f xml:space="preserve"> ProjectCashflows!AF$48</f>
        <v>2042</v>
      </c>
      <c r="AG1" s="267">
        <f xml:space="preserve"> ProjectCashflows!AG$48</f>
        <v>2043</v>
      </c>
      <c r="AH1" s="267">
        <f xml:space="preserve"> ProjectCashflows!AH$48</f>
        <v>2044</v>
      </c>
      <c r="AI1" s="267">
        <f xml:space="preserve"> ProjectCashflows!AI$48</f>
        <v>2045</v>
      </c>
      <c r="AJ1" s="267">
        <f xml:space="preserve"> ProjectCashflows!AJ$48</f>
        <v>2046</v>
      </c>
      <c r="AK1" s="267">
        <f xml:space="preserve"> ProjectCashflows!AK$48</f>
        <v>2047</v>
      </c>
      <c r="AL1" s="267">
        <f xml:space="preserve"> ProjectCashflows!AL$48</f>
        <v>2048</v>
      </c>
      <c r="AM1" s="267">
        <f xml:space="preserve"> ProjectCashflows!AM$48</f>
        <v>2049</v>
      </c>
      <c r="AN1" s="267">
        <f xml:space="preserve"> ProjectCashflows!AN$48</f>
        <v>2050</v>
      </c>
      <c r="AO1" s="267">
        <f xml:space="preserve"> ProjectCashflows!AO$48</f>
        <v>2051</v>
      </c>
      <c r="AP1" s="267">
        <f xml:space="preserve"> ProjectCashflows!AP$48</f>
        <v>2052</v>
      </c>
      <c r="AQ1" s="267">
        <f xml:space="preserve"> ProjectCashflows!AQ$48</f>
        <v>2053</v>
      </c>
      <c r="AR1" s="267">
        <f xml:space="preserve"> ProjectCashflows!AR$48</f>
        <v>2054</v>
      </c>
      <c r="AS1" s="267">
        <f xml:space="preserve"> ProjectCashflows!AS$48</f>
        <v>2055</v>
      </c>
      <c r="AT1" s="267">
        <f xml:space="preserve"> ProjectCashflows!AT$48</f>
        <v>2056</v>
      </c>
      <c r="AU1" s="267">
        <f xml:space="preserve"> ProjectCashflows!AU$48</f>
        <v>2057</v>
      </c>
      <c r="AV1" s="267">
        <f xml:space="preserve"> ProjectCashflows!AV$48</f>
        <v>2058</v>
      </c>
      <c r="AW1" s="267">
        <f xml:space="preserve"> ProjectCashflows!AW$48</f>
        <v>2059</v>
      </c>
      <c r="AX1" s="267">
        <f xml:space="preserve"> ProjectCashflows!AX$48</f>
        <v>2060</v>
      </c>
    </row>
    <row r="2" spans="1:50" ht="15" customHeight="1">
      <c r="E2" s="76" t="str">
        <f>Translate!$E$391</f>
        <v>Row description</v>
      </c>
      <c r="F2" s="866" t="str">
        <f xml:space="preserve"> Translate!E$554</f>
        <v>Constant</v>
      </c>
      <c r="G2" s="857" t="str">
        <f xml:space="preserve"> Translate!E$445</f>
        <v>Units</v>
      </c>
      <c r="H2" s="1052" t="str">
        <f>Translate!$E$280</f>
        <v>Comments</v>
      </c>
      <c r="I2" s="857" t="str">
        <f xml:space="preserve"> Translate!E$19</f>
        <v>Total</v>
      </c>
      <c r="J2" s="41"/>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row>
    <row r="3" spans="1:50" s="334" customFormat="1" ht="15" customHeight="1">
      <c r="A3" s="32"/>
      <c r="B3" s="32"/>
      <c r="C3" s="217"/>
      <c r="D3" s="218"/>
      <c r="E3" s="76"/>
      <c r="F3" s="128">
        <f ca="1" xml:space="preserve"> ReadMe!$D$7</f>
        <v>0</v>
      </c>
      <c r="G3" s="77" t="str">
        <f xml:space="preserve"> ReadMe!$E$7</f>
        <v>Checks</v>
      </c>
      <c r="H3" s="77"/>
      <c r="I3" s="77"/>
      <c r="J3" s="41"/>
      <c r="K3" s="219"/>
      <c r="L3" s="219"/>
      <c r="M3" s="219"/>
      <c r="N3" s="219"/>
      <c r="O3" s="219"/>
      <c r="P3" s="219"/>
      <c r="Q3" s="219"/>
      <c r="R3" s="219"/>
      <c r="S3" s="219"/>
      <c r="T3" s="219"/>
      <c r="U3" s="219"/>
      <c r="V3" s="219"/>
      <c r="W3" s="219"/>
      <c r="X3" s="219"/>
      <c r="Y3" s="219"/>
      <c r="Z3" s="219"/>
      <c r="AA3" s="219"/>
      <c r="AB3" s="219"/>
      <c r="AC3" s="219"/>
      <c r="AD3" s="219"/>
      <c r="AE3" s="219"/>
      <c r="AF3" s="219"/>
      <c r="AG3" s="219"/>
      <c r="AH3" s="219"/>
      <c r="AI3" s="219"/>
      <c r="AJ3" s="219"/>
      <c r="AK3" s="219"/>
      <c r="AL3" s="219"/>
      <c r="AM3" s="219"/>
      <c r="AN3" s="219"/>
      <c r="AO3" s="219"/>
      <c r="AP3" s="219"/>
      <c r="AQ3" s="219"/>
      <c r="AR3" s="219"/>
      <c r="AS3" s="219"/>
      <c r="AT3" s="219"/>
      <c r="AU3" s="219"/>
      <c r="AV3" s="219"/>
      <c r="AW3" s="219"/>
      <c r="AX3" s="219"/>
    </row>
    <row r="4" spans="1:50" ht="15" customHeight="1">
      <c r="A4" s="86" t="str">
        <f xml:space="preserve"> Translate!E$698</f>
        <v>Project data</v>
      </c>
      <c r="B4" s="86"/>
      <c r="C4" s="86"/>
      <c r="D4" s="86"/>
      <c r="E4" s="88"/>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row>
    <row r="5" spans="1:50" ht="15" customHeight="1">
      <c r="E5" s="1041"/>
      <c r="F5" s="1041"/>
      <c r="G5" s="1041"/>
      <c r="H5" s="1041"/>
      <c r="I5" s="1041"/>
      <c r="J5" s="1041"/>
      <c r="K5" s="1041"/>
      <c r="L5" s="1041"/>
      <c r="M5" s="1041"/>
      <c r="N5" s="1041"/>
      <c r="O5" s="1041"/>
      <c r="P5" s="1041"/>
      <c r="Q5" s="1041"/>
      <c r="R5" s="1041"/>
      <c r="S5" s="1041"/>
      <c r="T5" s="1041"/>
      <c r="U5" s="1041"/>
      <c r="V5" s="1041"/>
      <c r="W5" s="1041"/>
      <c r="X5" s="1041"/>
      <c r="Y5" s="1041"/>
      <c r="Z5" s="1041"/>
      <c r="AA5" s="1041"/>
      <c r="AB5" s="1041"/>
      <c r="AC5" s="1041"/>
      <c r="AD5" s="1041"/>
      <c r="AE5" s="1041"/>
      <c r="AF5" s="1041"/>
      <c r="AG5" s="1041"/>
      <c r="AH5" s="1041"/>
      <c r="AI5" s="1041"/>
      <c r="AJ5" s="1041"/>
      <c r="AK5" s="1041"/>
      <c r="AL5" s="1041"/>
      <c r="AM5" s="1041"/>
      <c r="AN5" s="1041"/>
      <c r="AO5" s="1041"/>
      <c r="AP5" s="1041"/>
      <c r="AQ5" s="1041"/>
      <c r="AR5" s="1041"/>
      <c r="AS5" s="1041"/>
      <c r="AT5" s="1041"/>
      <c r="AU5" s="1041"/>
      <c r="AV5" s="1041"/>
      <c r="AW5" s="1041"/>
      <c r="AX5" s="1041"/>
    </row>
    <row r="6" spans="1:50" ht="15" customHeight="1">
      <c r="E6" s="258" t="str">
        <f>Translate!E531</f>
        <v>This project example sheet name</v>
      </c>
      <c r="F6" s="259" t="e">
        <f ca="1" xml:space="preserve"> A1</f>
        <v>#VALUE!</v>
      </c>
      <c r="G6" s="306" t="str">
        <f xml:space="preserve"> Translate!E$585</f>
        <v>Label</v>
      </c>
      <c r="H6" s="1041"/>
      <c r="I6" s="1041"/>
      <c r="J6" s="1041"/>
      <c r="K6" s="1041"/>
      <c r="L6" s="1041"/>
      <c r="M6" s="1041"/>
      <c r="N6" s="1041"/>
      <c r="O6" s="1041"/>
      <c r="P6" s="1041"/>
      <c r="Q6" s="1041"/>
      <c r="R6" s="1041"/>
      <c r="S6" s="1041"/>
      <c r="T6" s="1041"/>
      <c r="U6" s="1041"/>
      <c r="V6" s="1041"/>
      <c r="W6" s="1041"/>
      <c r="X6" s="1041"/>
      <c r="Y6" s="1041"/>
      <c r="Z6" s="1041"/>
      <c r="AA6" s="1041"/>
      <c r="AB6" s="1041"/>
      <c r="AC6" s="1041"/>
      <c r="AD6" s="1041"/>
      <c r="AE6" s="1041"/>
      <c r="AF6" s="1041"/>
      <c r="AG6" s="1041"/>
      <c r="AH6" s="1041"/>
      <c r="AI6" s="1041"/>
      <c r="AJ6" s="1041"/>
      <c r="AK6" s="1041"/>
      <c r="AL6" s="1041"/>
      <c r="AM6" s="1041"/>
      <c r="AN6" s="1041"/>
      <c r="AO6" s="1041"/>
      <c r="AP6" s="1041"/>
      <c r="AQ6" s="1041"/>
      <c r="AR6" s="1041"/>
      <c r="AS6" s="1041"/>
      <c r="AT6" s="1041"/>
      <c r="AU6" s="1041"/>
      <c r="AV6" s="1041"/>
      <c r="AW6" s="1041"/>
      <c r="AX6" s="1041"/>
    </row>
    <row r="7" spans="1:50" ht="15" customHeight="1">
      <c r="E7" s="1041"/>
      <c r="F7" s="1041"/>
      <c r="G7" s="1041"/>
      <c r="H7" s="1041"/>
      <c r="I7" s="1041"/>
      <c r="J7" s="1041"/>
      <c r="K7" s="1041"/>
      <c r="L7" s="1041"/>
      <c r="M7" s="1041"/>
      <c r="N7" s="1041"/>
      <c r="O7" s="1041"/>
      <c r="P7" s="1041"/>
      <c r="Q7" s="1041"/>
      <c r="R7" s="1041"/>
      <c r="S7" s="1041"/>
      <c r="T7" s="1041"/>
      <c r="U7" s="1041"/>
      <c r="V7" s="1041"/>
      <c r="W7" s="1041"/>
      <c r="X7" s="1041"/>
      <c r="Y7" s="1041"/>
      <c r="Z7" s="1041"/>
      <c r="AA7" s="1041"/>
      <c r="AB7" s="1041"/>
      <c r="AC7" s="1041"/>
      <c r="AD7" s="1041"/>
      <c r="AE7" s="1041"/>
      <c r="AF7" s="1041"/>
      <c r="AG7" s="1041"/>
      <c r="AH7" s="1041"/>
      <c r="AI7" s="1041"/>
      <c r="AJ7" s="1041"/>
      <c r="AK7" s="1041"/>
      <c r="AL7" s="1041"/>
      <c r="AM7" s="1041"/>
      <c r="AN7" s="1041"/>
      <c r="AO7" s="1041"/>
      <c r="AP7" s="1041"/>
      <c r="AQ7" s="1041"/>
      <c r="AR7" s="1041"/>
      <c r="AS7" s="1041"/>
      <c r="AT7" s="1041"/>
      <c r="AU7" s="1041"/>
      <c r="AV7" s="1041"/>
      <c r="AW7" s="1041"/>
      <c r="AX7" s="1041"/>
    </row>
    <row r="8" spans="1:50" ht="15" customHeight="1">
      <c r="B8" s="19" t="str">
        <f>Translate!$E$600</f>
        <v>Project source data</v>
      </c>
      <c r="E8" s="1041"/>
      <c r="F8" s="1041"/>
      <c r="G8" s="1041"/>
      <c r="H8" s="1041"/>
      <c r="I8" s="1041"/>
      <c r="J8" s="1036"/>
      <c r="K8" s="852" t="str">
        <f xml:space="preserve"> Translate!E$354</f>
        <v>Do not change row of this block</v>
      </c>
      <c r="L8" s="1036"/>
      <c r="M8" s="1036"/>
      <c r="N8" s="1036"/>
      <c r="O8" s="1036"/>
      <c r="P8" s="1036"/>
      <c r="Q8" s="1036"/>
      <c r="R8" s="1036"/>
      <c r="S8" s="1036"/>
      <c r="T8" s="1036"/>
      <c r="U8" s="1036"/>
      <c r="V8" s="1036"/>
      <c r="W8" s="1036"/>
      <c r="X8" s="1036"/>
      <c r="Y8" s="1036"/>
      <c r="Z8" s="1036"/>
      <c r="AA8" s="1036"/>
      <c r="AB8" s="1036"/>
      <c r="AC8" s="1036"/>
      <c r="AD8" s="1036"/>
      <c r="AE8" s="1036"/>
      <c r="AF8" s="1036"/>
      <c r="AG8" s="1036"/>
      <c r="AH8" s="1036"/>
      <c r="AI8" s="1036"/>
      <c r="AJ8" s="1036"/>
      <c r="AK8" s="1036"/>
      <c r="AL8" s="1036"/>
      <c r="AM8" s="1036"/>
      <c r="AN8" s="1036"/>
      <c r="AO8" s="1036"/>
      <c r="AP8" s="1036"/>
      <c r="AQ8" s="1036"/>
      <c r="AR8" s="1036"/>
      <c r="AS8" s="1036"/>
      <c r="AT8" s="1036"/>
      <c r="AU8" s="1036"/>
      <c r="AV8" s="1036"/>
      <c r="AW8" s="1036"/>
      <c r="AX8" s="1036"/>
    </row>
    <row r="9" spans="1:50" ht="15" customHeight="1">
      <c r="E9" s="1041" t="str">
        <f>Translate!$E$392</f>
        <v>Mineral</v>
      </c>
      <c r="F9" s="481" t="str">
        <f>Translate!$E$487</f>
        <v>Iron Ore</v>
      </c>
      <c r="G9" s="306" t="str">
        <f xml:space="preserve"> Translate!E$585</f>
        <v>Label</v>
      </c>
      <c r="H9" s="1041"/>
      <c r="I9" s="1041"/>
      <c r="J9" s="1036"/>
      <c r="K9" s="2"/>
      <c r="L9" s="1036"/>
      <c r="M9" s="1036"/>
      <c r="N9" s="1036"/>
      <c r="O9" s="1036"/>
      <c r="P9" s="1036"/>
      <c r="Q9" s="1036"/>
      <c r="R9" s="1036"/>
      <c r="S9" s="1036"/>
      <c r="T9" s="1036"/>
      <c r="U9" s="1036"/>
      <c r="V9" s="1036"/>
      <c r="W9" s="1036"/>
      <c r="X9" s="1036"/>
      <c r="Y9" s="1036"/>
      <c r="Z9" s="1036"/>
      <c r="AA9" s="1036"/>
      <c r="AB9" s="1036"/>
      <c r="AC9" s="1036"/>
      <c r="AD9" s="1036"/>
      <c r="AE9" s="1036"/>
      <c r="AF9" s="1036"/>
      <c r="AG9" s="1036"/>
      <c r="AH9" s="1036"/>
      <c r="AI9" s="1036"/>
      <c r="AJ9" s="1036"/>
      <c r="AK9" s="1036"/>
      <c r="AL9" s="1036"/>
      <c r="AM9" s="1036"/>
      <c r="AN9" s="1036"/>
      <c r="AO9" s="1036"/>
      <c r="AP9" s="1036"/>
      <c r="AQ9" s="1036"/>
      <c r="AR9" s="1036"/>
      <c r="AS9" s="1036"/>
      <c r="AT9" s="1036"/>
      <c r="AU9" s="1036"/>
      <c r="AV9" s="1036"/>
      <c r="AW9" s="1036"/>
      <c r="AX9" s="1036"/>
    </row>
    <row r="10" spans="1:50" ht="15" customHeight="1">
      <c r="E10" s="1041" t="str">
        <f>Translate!$E$393</f>
        <v>Mineral units</v>
      </c>
      <c r="F10" s="868" t="str">
        <f xml:space="preserve"> Translate!E$597</f>
        <v>DMT</v>
      </c>
      <c r="G10" s="857" t="str">
        <f xml:space="preserve"> Translate!E$445</f>
        <v>Units</v>
      </c>
      <c r="H10" s="1041"/>
      <c r="I10" s="1041"/>
      <c r="J10" s="1036"/>
      <c r="K10" s="2"/>
      <c r="L10" s="1036"/>
      <c r="M10" s="1036"/>
      <c r="N10" s="1036"/>
      <c r="O10" s="1036"/>
      <c r="P10" s="1036"/>
      <c r="Q10" s="1036"/>
      <c r="R10" s="1036"/>
      <c r="S10" s="1036"/>
      <c r="T10" s="1036"/>
      <c r="U10" s="1036"/>
      <c r="V10" s="1036"/>
      <c r="W10" s="1036"/>
      <c r="X10" s="1036"/>
      <c r="Y10" s="1036"/>
      <c r="Z10" s="1036"/>
      <c r="AA10" s="1036"/>
      <c r="AB10" s="1036"/>
      <c r="AC10" s="1036"/>
      <c r="AD10" s="1036"/>
      <c r="AE10" s="1036"/>
      <c r="AF10" s="1036"/>
      <c r="AG10" s="1036"/>
      <c r="AH10" s="1036"/>
      <c r="AI10" s="1036"/>
      <c r="AJ10" s="1036"/>
      <c r="AK10" s="1036"/>
      <c r="AL10" s="1036"/>
      <c r="AM10" s="1036"/>
      <c r="AN10" s="1036"/>
      <c r="AO10" s="1036"/>
      <c r="AP10" s="1036"/>
      <c r="AQ10" s="1036"/>
      <c r="AR10" s="1036"/>
      <c r="AS10" s="1036"/>
      <c r="AT10" s="1036"/>
      <c r="AU10" s="1036"/>
      <c r="AV10" s="1036"/>
      <c r="AW10" s="1036"/>
      <c r="AX10" s="1036"/>
    </row>
    <row r="11" spans="1:50" ht="15" customHeight="1">
      <c r="E11" s="1041"/>
      <c r="F11" s="1041"/>
      <c r="G11" s="1041"/>
      <c r="H11" s="1041"/>
      <c r="I11" s="1041"/>
      <c r="J11" s="1036"/>
      <c r="K11" s="2"/>
      <c r="L11" s="1036"/>
      <c r="M11" s="1036"/>
      <c r="N11" s="1036"/>
      <c r="O11" s="1036"/>
      <c r="P11" s="1036"/>
      <c r="Q11" s="1036"/>
      <c r="R11" s="1036"/>
      <c r="S11" s="1036"/>
      <c r="T11" s="1036"/>
      <c r="U11" s="1036"/>
      <c r="V11" s="1036"/>
      <c r="W11" s="1036"/>
      <c r="X11" s="1036"/>
      <c r="Y11" s="1036"/>
      <c r="Z11" s="1036"/>
      <c r="AA11" s="1036"/>
      <c r="AB11" s="1036"/>
      <c r="AC11" s="1036"/>
      <c r="AD11" s="1036"/>
      <c r="AE11" s="1036"/>
      <c r="AF11" s="1036"/>
      <c r="AG11" s="1036"/>
      <c r="AH11" s="1036"/>
      <c r="AI11" s="1036"/>
      <c r="AJ11" s="1036"/>
      <c r="AK11" s="1036"/>
      <c r="AL11" s="1036"/>
      <c r="AM11" s="1036"/>
      <c r="AN11" s="1036"/>
      <c r="AO11" s="1036"/>
      <c r="AP11" s="1036"/>
      <c r="AQ11" s="1036"/>
      <c r="AR11" s="1036"/>
      <c r="AS11" s="1036"/>
      <c r="AT11" s="1036"/>
      <c r="AU11" s="1036"/>
      <c r="AV11" s="1036"/>
      <c r="AW11" s="1036"/>
      <c r="AX11" s="1036"/>
    </row>
    <row r="12" spans="1:50" ht="15" customHeight="1">
      <c r="E12" s="1041" t="str">
        <f>F$9 &amp; " " &amp; Translate!E564</f>
        <v>Iron Ore Production</v>
      </c>
      <c r="F12" s="1041"/>
      <c r="G12" s="1041" t="str">
        <f xml:space="preserve"> Translate!E596 &amp;" " &amp; F10</f>
        <v>Thousand DMT</v>
      </c>
      <c r="H12" s="1041"/>
      <c r="I12" s="1041">
        <f xml:space="preserve"> SUM(K12:AX12)</f>
        <v>250000</v>
      </c>
      <c r="J12" s="1036"/>
      <c r="K12" s="1045">
        <v>0</v>
      </c>
      <c r="L12" s="1045">
        <v>0</v>
      </c>
      <c r="M12" s="1045">
        <v>0</v>
      </c>
      <c r="N12" s="1045">
        <v>0</v>
      </c>
      <c r="O12" s="1045">
        <v>0</v>
      </c>
      <c r="P12" s="1045">
        <v>0</v>
      </c>
      <c r="Q12" s="1045">
        <v>5000</v>
      </c>
      <c r="R12" s="1045">
        <v>10000</v>
      </c>
      <c r="S12" s="1045">
        <v>10000</v>
      </c>
      <c r="T12" s="1045">
        <v>12500</v>
      </c>
      <c r="U12" s="1045">
        <v>12500</v>
      </c>
      <c r="V12" s="1045">
        <v>12500</v>
      </c>
      <c r="W12" s="1045">
        <v>12500</v>
      </c>
      <c r="X12" s="1045">
        <v>12500</v>
      </c>
      <c r="Y12" s="1045">
        <v>12500</v>
      </c>
      <c r="Z12" s="1045">
        <v>12500</v>
      </c>
      <c r="AA12" s="1045">
        <v>12500</v>
      </c>
      <c r="AB12" s="1045">
        <v>12500</v>
      </c>
      <c r="AC12" s="1045">
        <v>12500</v>
      </c>
      <c r="AD12" s="1045">
        <v>12500</v>
      </c>
      <c r="AE12" s="1045">
        <v>12500</v>
      </c>
      <c r="AF12" s="1045">
        <v>12500</v>
      </c>
      <c r="AG12" s="1045">
        <v>12500</v>
      </c>
      <c r="AH12" s="1045">
        <v>12500</v>
      </c>
      <c r="AI12" s="1045">
        <v>12500</v>
      </c>
      <c r="AJ12" s="1045">
        <v>12500</v>
      </c>
      <c r="AK12" s="1045">
        <v>12500</v>
      </c>
      <c r="AL12" s="1135"/>
      <c r="AM12" s="1135"/>
      <c r="AN12" s="1135"/>
      <c r="AO12" s="1135"/>
      <c r="AP12" s="1135"/>
      <c r="AQ12" s="1135"/>
      <c r="AR12" s="1135"/>
      <c r="AS12" s="1135"/>
      <c r="AT12" s="1135"/>
      <c r="AU12" s="1135"/>
      <c r="AV12" s="1135"/>
      <c r="AW12" s="1135"/>
      <c r="AX12" s="1135"/>
    </row>
    <row r="13" spans="1:50" ht="15" customHeight="1">
      <c r="E13" s="1041"/>
      <c r="F13" s="1041"/>
      <c r="G13" s="1041"/>
      <c r="H13" s="1041"/>
      <c r="I13" s="1041"/>
      <c r="J13" s="1036"/>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row>
    <row r="14" spans="1:50" ht="15" customHeight="1">
      <c r="E14" s="1041" t="str">
        <f>Translate!E532</f>
        <v>Transport and refining costs post-fiscal point</v>
      </c>
      <c r="F14" s="1041"/>
      <c r="G14" s="311" t="str">
        <f xml:space="preserve"> Inputs!F$53</f>
        <v>US$ mn 2021</v>
      </c>
      <c r="H14" s="1041"/>
      <c r="I14" s="1041">
        <f t="shared" ref="I14:I19" si="0" xml:space="preserve"> SUM(K14:AX14)</f>
        <v>2500</v>
      </c>
      <c r="J14" s="1036"/>
      <c r="K14" s="1045">
        <f t="shared" ref="K14:AX14" si="1" xml:space="preserve"> K12 * $F23 / $F28</f>
        <v>0</v>
      </c>
      <c r="L14" s="1045">
        <f t="shared" si="1"/>
        <v>0</v>
      </c>
      <c r="M14" s="1045">
        <f t="shared" si="1"/>
        <v>0</v>
      </c>
      <c r="N14" s="1045">
        <f t="shared" si="1"/>
        <v>0</v>
      </c>
      <c r="O14" s="1045">
        <f t="shared" si="1"/>
        <v>0</v>
      </c>
      <c r="P14" s="1045">
        <f t="shared" si="1"/>
        <v>0</v>
      </c>
      <c r="Q14" s="1045">
        <f t="shared" si="1"/>
        <v>50</v>
      </c>
      <c r="R14" s="1045">
        <f t="shared" si="1"/>
        <v>100</v>
      </c>
      <c r="S14" s="1045">
        <f t="shared" si="1"/>
        <v>100</v>
      </c>
      <c r="T14" s="1045">
        <f t="shared" si="1"/>
        <v>125</v>
      </c>
      <c r="U14" s="1045">
        <f t="shared" si="1"/>
        <v>125</v>
      </c>
      <c r="V14" s="1045">
        <f t="shared" si="1"/>
        <v>125</v>
      </c>
      <c r="W14" s="1045">
        <f t="shared" si="1"/>
        <v>125</v>
      </c>
      <c r="X14" s="1045">
        <f t="shared" si="1"/>
        <v>125</v>
      </c>
      <c r="Y14" s="1045">
        <f t="shared" si="1"/>
        <v>125</v>
      </c>
      <c r="Z14" s="1045">
        <f t="shared" si="1"/>
        <v>125</v>
      </c>
      <c r="AA14" s="1045">
        <f t="shared" si="1"/>
        <v>125</v>
      </c>
      <c r="AB14" s="1045">
        <f t="shared" si="1"/>
        <v>125</v>
      </c>
      <c r="AC14" s="1045">
        <f t="shared" si="1"/>
        <v>125</v>
      </c>
      <c r="AD14" s="1045">
        <f t="shared" si="1"/>
        <v>125</v>
      </c>
      <c r="AE14" s="1045">
        <f t="shared" si="1"/>
        <v>125</v>
      </c>
      <c r="AF14" s="1045">
        <f t="shared" si="1"/>
        <v>125</v>
      </c>
      <c r="AG14" s="1045">
        <f t="shared" si="1"/>
        <v>125</v>
      </c>
      <c r="AH14" s="1045">
        <f t="shared" si="1"/>
        <v>125</v>
      </c>
      <c r="AI14" s="1045">
        <f t="shared" si="1"/>
        <v>125</v>
      </c>
      <c r="AJ14" s="1045">
        <f t="shared" si="1"/>
        <v>125</v>
      </c>
      <c r="AK14" s="1045">
        <f t="shared" si="1"/>
        <v>125</v>
      </c>
      <c r="AL14" s="1045">
        <f t="shared" si="1"/>
        <v>0</v>
      </c>
      <c r="AM14" s="1045">
        <f t="shared" si="1"/>
        <v>0</v>
      </c>
      <c r="AN14" s="1045">
        <f t="shared" si="1"/>
        <v>0</v>
      </c>
      <c r="AO14" s="1045">
        <f t="shared" si="1"/>
        <v>0</v>
      </c>
      <c r="AP14" s="1045">
        <f t="shared" si="1"/>
        <v>0</v>
      </c>
      <c r="AQ14" s="1045">
        <f t="shared" si="1"/>
        <v>0</v>
      </c>
      <c r="AR14" s="1045">
        <f t="shared" si="1"/>
        <v>0</v>
      </c>
      <c r="AS14" s="1045">
        <f t="shared" si="1"/>
        <v>0</v>
      </c>
      <c r="AT14" s="1045">
        <f t="shared" si="1"/>
        <v>0</v>
      </c>
      <c r="AU14" s="1045">
        <f t="shared" si="1"/>
        <v>0</v>
      </c>
      <c r="AV14" s="1045">
        <f t="shared" si="1"/>
        <v>0</v>
      </c>
      <c r="AW14" s="1045">
        <f t="shared" si="1"/>
        <v>0</v>
      </c>
      <c r="AX14" s="1045">
        <f t="shared" si="1"/>
        <v>0</v>
      </c>
    </row>
    <row r="15" spans="1:50" ht="15" customHeight="1">
      <c r="E15" s="45" t="str">
        <f>Translate!$E$395</f>
        <v>Exploration costs</v>
      </c>
      <c r="F15" s="1133"/>
      <c r="G15" s="311" t="str">
        <f xml:space="preserve"> Inputs!F$53</f>
        <v>US$ mn 2021</v>
      </c>
      <c r="H15" s="1041"/>
      <c r="I15" s="1041">
        <f t="shared" si="0"/>
        <v>30</v>
      </c>
      <c r="J15" s="1036"/>
      <c r="K15" s="1045">
        <v>10</v>
      </c>
      <c r="L15" s="1045">
        <v>10</v>
      </c>
      <c r="M15" s="1045">
        <v>10</v>
      </c>
      <c r="N15" s="1045"/>
      <c r="O15" s="1045">
        <v>0</v>
      </c>
      <c r="P15" s="1045">
        <v>0</v>
      </c>
      <c r="Q15" s="1045">
        <v>0</v>
      </c>
      <c r="R15" s="1045">
        <v>0</v>
      </c>
      <c r="S15" s="1045">
        <v>0</v>
      </c>
      <c r="T15" s="1045">
        <v>0</v>
      </c>
      <c r="U15" s="1045">
        <v>0</v>
      </c>
      <c r="V15" s="1045">
        <v>0</v>
      </c>
      <c r="W15" s="1045">
        <v>0</v>
      </c>
      <c r="X15" s="1045">
        <v>0</v>
      </c>
      <c r="Y15" s="1045">
        <v>0</v>
      </c>
      <c r="Z15" s="1045">
        <v>0</v>
      </c>
      <c r="AA15" s="1045">
        <v>0</v>
      </c>
      <c r="AB15" s="1045">
        <v>0</v>
      </c>
      <c r="AC15" s="1045">
        <v>0</v>
      </c>
      <c r="AD15" s="1045">
        <v>0</v>
      </c>
      <c r="AE15" s="1045">
        <v>0</v>
      </c>
      <c r="AF15" s="1045"/>
      <c r="AG15" s="1045"/>
      <c r="AH15" s="1045"/>
      <c r="AI15" s="1045"/>
      <c r="AJ15" s="1045"/>
      <c r="AK15" s="1045"/>
      <c r="AL15" s="1045"/>
      <c r="AM15" s="1045"/>
      <c r="AN15" s="1045"/>
      <c r="AO15" s="1045"/>
      <c r="AP15" s="1045"/>
      <c r="AQ15" s="1045"/>
      <c r="AR15" s="1045"/>
      <c r="AS15" s="1045"/>
      <c r="AT15" s="1045"/>
      <c r="AU15" s="1045"/>
      <c r="AV15" s="1045"/>
      <c r="AW15" s="1045"/>
      <c r="AX15" s="1045"/>
    </row>
    <row r="16" spans="1:50" ht="15" customHeight="1">
      <c r="E16" s="45" t="str">
        <f>Translate!$E$396</f>
        <v>Development costs</v>
      </c>
      <c r="F16" s="1133"/>
      <c r="G16" s="311" t="str">
        <f xml:space="preserve"> Inputs!F$53</f>
        <v>US$ mn 2021</v>
      </c>
      <c r="H16" s="1041"/>
      <c r="I16" s="1041">
        <f t="shared" si="0"/>
        <v>2575</v>
      </c>
      <c r="J16" s="1036"/>
      <c r="K16" s="1045">
        <v>0</v>
      </c>
      <c r="L16" s="1045">
        <v>0</v>
      </c>
      <c r="M16" s="1045">
        <v>0</v>
      </c>
      <c r="N16" s="1045">
        <v>400</v>
      </c>
      <c r="O16" s="1045">
        <v>500</v>
      </c>
      <c r="P16" s="1045">
        <v>1000</v>
      </c>
      <c r="Q16" s="1045">
        <v>500</v>
      </c>
      <c r="R16" s="1045">
        <v>150</v>
      </c>
      <c r="S16" s="1045">
        <v>25</v>
      </c>
      <c r="T16" s="1045"/>
      <c r="U16" s="1045"/>
      <c r="V16" s="1045"/>
      <c r="W16" s="1045"/>
      <c r="X16" s="1045"/>
      <c r="Y16" s="1045"/>
      <c r="Z16" s="1045"/>
      <c r="AA16" s="1045"/>
      <c r="AB16" s="1045"/>
      <c r="AC16" s="1045"/>
      <c r="AD16" s="1045"/>
      <c r="AE16" s="1045"/>
      <c r="AF16" s="1045"/>
      <c r="AG16" s="1045"/>
      <c r="AH16" s="1045"/>
      <c r="AI16" s="1045"/>
      <c r="AJ16" s="1045"/>
      <c r="AK16" s="1045"/>
      <c r="AL16" s="1045"/>
      <c r="AM16" s="1045"/>
      <c r="AN16" s="1045"/>
      <c r="AO16" s="1045"/>
      <c r="AP16" s="1045"/>
      <c r="AQ16" s="1045"/>
      <c r="AR16" s="1045"/>
      <c r="AS16" s="1045"/>
      <c r="AT16" s="1045"/>
      <c r="AU16" s="1045"/>
      <c r="AV16" s="1045"/>
      <c r="AW16" s="1045"/>
      <c r="AX16" s="1045"/>
    </row>
    <row r="17" spans="2:50" ht="15" customHeight="1">
      <c r="E17" s="45" t="str">
        <f>Translate!$E$397</f>
        <v>Replacement capital costs</v>
      </c>
      <c r="F17" s="1133"/>
      <c r="G17" s="311" t="str">
        <f xml:space="preserve"> Inputs!F$53</f>
        <v>US$ mn 2021</v>
      </c>
      <c r="H17" s="1041"/>
      <c r="I17" s="1041">
        <f t="shared" si="0"/>
        <v>463.5</v>
      </c>
      <c r="J17" s="1036"/>
      <c r="K17" s="1045"/>
      <c r="L17" s="1045"/>
      <c r="M17" s="1045"/>
      <c r="N17" s="1045"/>
      <c r="O17" s="1045"/>
      <c r="P17" s="1045"/>
      <c r="Q17" s="1045"/>
      <c r="R17" s="1045">
        <v>25.75</v>
      </c>
      <c r="S17" s="1045">
        <v>25.75</v>
      </c>
      <c r="T17" s="1045">
        <v>25.75</v>
      </c>
      <c r="U17" s="1045">
        <v>25.75</v>
      </c>
      <c r="V17" s="1045">
        <v>25.75</v>
      </c>
      <c r="W17" s="1045">
        <v>25.75</v>
      </c>
      <c r="X17" s="1045">
        <v>25.75</v>
      </c>
      <c r="Y17" s="1045">
        <v>25.75</v>
      </c>
      <c r="Z17" s="1045">
        <v>25.75</v>
      </c>
      <c r="AA17" s="1045">
        <v>25.75</v>
      </c>
      <c r="AB17" s="1045">
        <v>25.75</v>
      </c>
      <c r="AC17" s="1045">
        <v>25.75</v>
      </c>
      <c r="AD17" s="1045">
        <v>25.75</v>
      </c>
      <c r="AE17" s="1045">
        <v>25.75</v>
      </c>
      <c r="AF17" s="1045">
        <v>25.75</v>
      </c>
      <c r="AG17" s="1045">
        <v>25.75</v>
      </c>
      <c r="AH17" s="1045">
        <v>25.75</v>
      </c>
      <c r="AI17" s="1045">
        <v>25.75</v>
      </c>
      <c r="AJ17" s="1045"/>
      <c r="AK17" s="1045"/>
      <c r="AL17" s="1045"/>
      <c r="AM17" s="1045"/>
      <c r="AN17" s="1045"/>
      <c r="AO17" s="1045"/>
      <c r="AP17" s="1045"/>
      <c r="AQ17" s="1045"/>
      <c r="AR17" s="1045"/>
      <c r="AS17" s="1045"/>
      <c r="AT17" s="1045"/>
      <c r="AU17" s="1045"/>
      <c r="AV17" s="1045"/>
      <c r="AW17" s="1045"/>
      <c r="AX17" s="1045"/>
    </row>
    <row r="18" spans="2:50" ht="15" customHeight="1">
      <c r="E18" s="45" t="str">
        <f>Translate!$E$398</f>
        <v>Operating costs</v>
      </c>
      <c r="F18" s="1133"/>
      <c r="G18" s="311" t="str">
        <f xml:space="preserve"> Inputs!F$53</f>
        <v>US$ mn 2021</v>
      </c>
      <c r="H18" s="1041"/>
      <c r="I18" s="1041">
        <f t="shared" si="0"/>
        <v>7500</v>
      </c>
      <c r="J18" s="1036"/>
      <c r="K18" s="1045">
        <f t="shared" ref="K18:AX18" si="2" xml:space="preserve"> K12 * $F24 / $F28</f>
        <v>0</v>
      </c>
      <c r="L18" s="1045">
        <f t="shared" si="2"/>
        <v>0</v>
      </c>
      <c r="M18" s="1045">
        <f t="shared" si="2"/>
        <v>0</v>
      </c>
      <c r="N18" s="1045">
        <f t="shared" si="2"/>
        <v>0</v>
      </c>
      <c r="O18" s="1045">
        <f t="shared" si="2"/>
        <v>0</v>
      </c>
      <c r="P18" s="1045">
        <f t="shared" si="2"/>
        <v>0</v>
      </c>
      <c r="Q18" s="1045">
        <f t="shared" si="2"/>
        <v>150</v>
      </c>
      <c r="R18" s="1045">
        <f t="shared" si="2"/>
        <v>300</v>
      </c>
      <c r="S18" s="1045">
        <f t="shared" si="2"/>
        <v>300</v>
      </c>
      <c r="T18" s="1045">
        <f t="shared" si="2"/>
        <v>375</v>
      </c>
      <c r="U18" s="1045">
        <f t="shared" si="2"/>
        <v>375</v>
      </c>
      <c r="V18" s="1045">
        <f t="shared" si="2"/>
        <v>375</v>
      </c>
      <c r="W18" s="1045">
        <f t="shared" si="2"/>
        <v>375</v>
      </c>
      <c r="X18" s="1045">
        <f t="shared" si="2"/>
        <v>375</v>
      </c>
      <c r="Y18" s="1045">
        <f t="shared" si="2"/>
        <v>375</v>
      </c>
      <c r="Z18" s="1045">
        <f t="shared" si="2"/>
        <v>375</v>
      </c>
      <c r="AA18" s="1045">
        <f t="shared" si="2"/>
        <v>375</v>
      </c>
      <c r="AB18" s="1045">
        <f t="shared" si="2"/>
        <v>375</v>
      </c>
      <c r="AC18" s="1045">
        <f t="shared" si="2"/>
        <v>375</v>
      </c>
      <c r="AD18" s="1045">
        <f t="shared" si="2"/>
        <v>375</v>
      </c>
      <c r="AE18" s="1045">
        <f t="shared" si="2"/>
        <v>375</v>
      </c>
      <c r="AF18" s="1045">
        <f t="shared" si="2"/>
        <v>375</v>
      </c>
      <c r="AG18" s="1045">
        <f t="shared" si="2"/>
        <v>375</v>
      </c>
      <c r="AH18" s="1045">
        <f t="shared" si="2"/>
        <v>375</v>
      </c>
      <c r="AI18" s="1045">
        <f t="shared" si="2"/>
        <v>375</v>
      </c>
      <c r="AJ18" s="1045">
        <f t="shared" si="2"/>
        <v>375</v>
      </c>
      <c r="AK18" s="1045">
        <f t="shared" si="2"/>
        <v>375</v>
      </c>
      <c r="AL18" s="1045">
        <f t="shared" si="2"/>
        <v>0</v>
      </c>
      <c r="AM18" s="1045">
        <f t="shared" si="2"/>
        <v>0</v>
      </c>
      <c r="AN18" s="1045">
        <f t="shared" si="2"/>
        <v>0</v>
      </c>
      <c r="AO18" s="1045">
        <f t="shared" si="2"/>
        <v>0</v>
      </c>
      <c r="AP18" s="1045">
        <f t="shared" si="2"/>
        <v>0</v>
      </c>
      <c r="AQ18" s="1045">
        <f t="shared" si="2"/>
        <v>0</v>
      </c>
      <c r="AR18" s="1045">
        <f t="shared" si="2"/>
        <v>0</v>
      </c>
      <c r="AS18" s="1045">
        <f t="shared" si="2"/>
        <v>0</v>
      </c>
      <c r="AT18" s="1045">
        <f t="shared" si="2"/>
        <v>0</v>
      </c>
      <c r="AU18" s="1045">
        <f t="shared" si="2"/>
        <v>0</v>
      </c>
      <c r="AV18" s="1045">
        <f t="shared" si="2"/>
        <v>0</v>
      </c>
      <c r="AW18" s="1045">
        <f t="shared" si="2"/>
        <v>0</v>
      </c>
      <c r="AX18" s="1045">
        <f t="shared" si="2"/>
        <v>0</v>
      </c>
    </row>
    <row r="19" spans="2:50" ht="15" customHeight="1">
      <c r="E19" s="45" t="str">
        <f>Translate!$E$399</f>
        <v>Decommissioning costs</v>
      </c>
      <c r="F19" s="1133"/>
      <c r="G19" s="311" t="str">
        <f xml:space="preserve"> Inputs!F$53</f>
        <v>US$ mn 2021</v>
      </c>
      <c r="H19" s="1041"/>
      <c r="I19" s="1041">
        <f t="shared" si="0"/>
        <v>257.5</v>
      </c>
      <c r="J19" s="1041"/>
      <c r="K19" s="1045">
        <v>0</v>
      </c>
      <c r="L19" s="1045">
        <v>0</v>
      </c>
      <c r="M19" s="1045">
        <v>0</v>
      </c>
      <c r="N19" s="1045">
        <v>0</v>
      </c>
      <c r="O19" s="1045">
        <v>0</v>
      </c>
      <c r="P19" s="1045">
        <v>0</v>
      </c>
      <c r="Q19" s="1045">
        <v>0</v>
      </c>
      <c r="R19" s="1045">
        <v>0</v>
      </c>
      <c r="S19" s="1045">
        <v>0</v>
      </c>
      <c r="T19" s="1045">
        <v>0</v>
      </c>
      <c r="U19" s="1045">
        <v>0</v>
      </c>
      <c r="V19" s="1045">
        <v>0</v>
      </c>
      <c r="W19" s="1045">
        <v>0</v>
      </c>
      <c r="X19" s="1045">
        <v>0</v>
      </c>
      <c r="Y19" s="1045">
        <v>0</v>
      </c>
      <c r="Z19" s="1045">
        <v>0</v>
      </c>
      <c r="AA19" s="1045">
        <v>0</v>
      </c>
      <c r="AB19" s="1045">
        <v>0</v>
      </c>
      <c r="AC19" s="1045">
        <v>0</v>
      </c>
      <c r="AD19" s="1045">
        <v>0</v>
      </c>
      <c r="AE19" s="1045">
        <v>0</v>
      </c>
      <c r="AF19" s="1045">
        <v>0</v>
      </c>
      <c r="AG19" s="1045">
        <v>0</v>
      </c>
      <c r="AH19" s="1045">
        <v>0</v>
      </c>
      <c r="AI19" s="1045">
        <v>0</v>
      </c>
      <c r="AJ19" s="1045">
        <v>0</v>
      </c>
      <c r="AK19" s="1045">
        <v>0</v>
      </c>
      <c r="AL19" s="1045">
        <v>257.5</v>
      </c>
      <c r="AM19" s="1045">
        <v>0</v>
      </c>
      <c r="AN19" s="1045">
        <v>0</v>
      </c>
      <c r="AO19" s="1045">
        <v>0</v>
      </c>
      <c r="AP19" s="1045">
        <v>0</v>
      </c>
      <c r="AQ19" s="1045">
        <v>0</v>
      </c>
      <c r="AR19" s="1045">
        <v>0</v>
      </c>
      <c r="AS19" s="1045">
        <v>0</v>
      </c>
      <c r="AT19" s="1045">
        <v>0</v>
      </c>
      <c r="AU19" s="1045">
        <v>0</v>
      </c>
      <c r="AV19" s="1045">
        <v>0</v>
      </c>
      <c r="AW19" s="1045">
        <v>0</v>
      </c>
      <c r="AX19" s="1045">
        <v>0</v>
      </c>
    </row>
    <row r="20" spans="2:50" ht="15" customHeight="1">
      <c r="E20" s="303" t="str">
        <f>Translate!$E$400</f>
        <v>Total costs</v>
      </c>
      <c r="F20" s="1133"/>
      <c r="G20" s="311" t="str">
        <f xml:space="preserve"> Inputs!F$53</f>
        <v>US$ mn 2021</v>
      </c>
      <c r="H20" s="1041"/>
      <c r="I20" s="1041">
        <f xml:space="preserve"> SUM(K20:AX20)</f>
        <v>13326</v>
      </c>
      <c r="J20" s="1036"/>
      <c r="K20" s="1036">
        <f t="shared" ref="K20:AX20" si="3">SUM(K14:K19)</f>
        <v>10</v>
      </c>
      <c r="L20" s="1036">
        <f t="shared" si="3"/>
        <v>10</v>
      </c>
      <c r="M20" s="1036">
        <f t="shared" si="3"/>
        <v>10</v>
      </c>
      <c r="N20" s="1036">
        <f t="shared" si="3"/>
        <v>400</v>
      </c>
      <c r="O20" s="1036">
        <f t="shared" si="3"/>
        <v>500</v>
      </c>
      <c r="P20" s="1036">
        <f t="shared" si="3"/>
        <v>1000</v>
      </c>
      <c r="Q20" s="1036">
        <f t="shared" si="3"/>
        <v>700</v>
      </c>
      <c r="R20" s="1036">
        <f t="shared" si="3"/>
        <v>575.75</v>
      </c>
      <c r="S20" s="1036">
        <f t="shared" si="3"/>
        <v>450.75</v>
      </c>
      <c r="T20" s="1036">
        <f t="shared" si="3"/>
        <v>525.75</v>
      </c>
      <c r="U20" s="1036">
        <f t="shared" si="3"/>
        <v>525.75</v>
      </c>
      <c r="V20" s="1036">
        <f t="shared" si="3"/>
        <v>525.75</v>
      </c>
      <c r="W20" s="1036">
        <f t="shared" si="3"/>
        <v>525.75</v>
      </c>
      <c r="X20" s="1036">
        <f t="shared" si="3"/>
        <v>525.75</v>
      </c>
      <c r="Y20" s="1036">
        <f t="shared" si="3"/>
        <v>525.75</v>
      </c>
      <c r="Z20" s="1036">
        <f t="shared" si="3"/>
        <v>525.75</v>
      </c>
      <c r="AA20" s="1036">
        <f t="shared" si="3"/>
        <v>525.75</v>
      </c>
      <c r="AB20" s="1036">
        <f t="shared" si="3"/>
        <v>525.75</v>
      </c>
      <c r="AC20" s="1036">
        <f t="shared" si="3"/>
        <v>525.75</v>
      </c>
      <c r="AD20" s="1036">
        <f t="shared" si="3"/>
        <v>525.75</v>
      </c>
      <c r="AE20" s="1036">
        <f t="shared" si="3"/>
        <v>525.75</v>
      </c>
      <c r="AF20" s="1036">
        <f t="shared" si="3"/>
        <v>525.75</v>
      </c>
      <c r="AG20" s="1036">
        <f t="shared" si="3"/>
        <v>525.75</v>
      </c>
      <c r="AH20" s="1036">
        <f t="shared" si="3"/>
        <v>525.75</v>
      </c>
      <c r="AI20" s="1036">
        <f t="shared" si="3"/>
        <v>525.75</v>
      </c>
      <c r="AJ20" s="1036">
        <f t="shared" si="3"/>
        <v>500</v>
      </c>
      <c r="AK20" s="1036">
        <f t="shared" si="3"/>
        <v>500</v>
      </c>
      <c r="AL20" s="1036">
        <f t="shared" si="3"/>
        <v>257.5</v>
      </c>
      <c r="AM20" s="1036">
        <f t="shared" si="3"/>
        <v>0</v>
      </c>
      <c r="AN20" s="1036">
        <f t="shared" si="3"/>
        <v>0</v>
      </c>
      <c r="AO20" s="1036">
        <f t="shared" si="3"/>
        <v>0</v>
      </c>
      <c r="AP20" s="1036">
        <f t="shared" si="3"/>
        <v>0</v>
      </c>
      <c r="AQ20" s="1036">
        <f t="shared" si="3"/>
        <v>0</v>
      </c>
      <c r="AR20" s="1036">
        <f t="shared" si="3"/>
        <v>0</v>
      </c>
      <c r="AS20" s="1036">
        <f t="shared" si="3"/>
        <v>0</v>
      </c>
      <c r="AT20" s="1036">
        <f t="shared" si="3"/>
        <v>0</v>
      </c>
      <c r="AU20" s="1036">
        <f t="shared" si="3"/>
        <v>0</v>
      </c>
      <c r="AV20" s="1036">
        <f t="shared" si="3"/>
        <v>0</v>
      </c>
      <c r="AW20" s="1036">
        <f t="shared" si="3"/>
        <v>0</v>
      </c>
      <c r="AX20" s="1036">
        <f t="shared" si="3"/>
        <v>0</v>
      </c>
    </row>
    <row r="21" spans="2:50" ht="15" customHeight="1">
      <c r="E21" s="1041"/>
      <c r="F21" s="1041"/>
      <c r="G21" s="1041"/>
      <c r="H21" s="1041"/>
      <c r="I21" s="1041"/>
      <c r="J21" s="1036"/>
      <c r="K21" s="1036"/>
      <c r="L21" s="1036"/>
      <c r="M21" s="1036"/>
      <c r="N21" s="1036"/>
      <c r="O21" s="1036"/>
      <c r="P21" s="1036"/>
      <c r="Q21" s="1036"/>
      <c r="R21" s="1036"/>
      <c r="S21" s="1036"/>
      <c r="T21" s="1036"/>
      <c r="U21" s="1036"/>
      <c r="V21" s="1036"/>
      <c r="W21" s="1036"/>
      <c r="X21" s="1036"/>
      <c r="Y21" s="1036"/>
      <c r="Z21" s="1036"/>
      <c r="AA21" s="1036"/>
      <c r="AB21" s="1036"/>
      <c r="AC21" s="1036"/>
      <c r="AD21" s="1036"/>
      <c r="AE21" s="1036"/>
      <c r="AF21" s="1036"/>
      <c r="AG21" s="1036"/>
      <c r="AH21" s="1036"/>
      <c r="AI21" s="1036"/>
      <c r="AJ21" s="1036"/>
      <c r="AK21" s="1036"/>
      <c r="AL21" s="1036"/>
      <c r="AM21" s="1036"/>
      <c r="AN21" s="1036"/>
      <c r="AO21" s="1036"/>
      <c r="AP21" s="1036"/>
      <c r="AQ21" s="1036"/>
      <c r="AR21" s="1036"/>
      <c r="AS21" s="1036"/>
      <c r="AT21" s="1036"/>
      <c r="AU21" s="1036"/>
      <c r="AV21" s="1036"/>
      <c r="AW21" s="1036"/>
      <c r="AX21" s="1036"/>
    </row>
    <row r="22" spans="2:50" ht="15" customHeight="1">
      <c r="B22" s="19" t="str">
        <f>Translate!$E$601</f>
        <v>Cost inputs</v>
      </c>
      <c r="E22" s="1041"/>
      <c r="F22" s="1041"/>
      <c r="G22" s="1041"/>
      <c r="H22" s="1041"/>
      <c r="I22" s="1041"/>
      <c r="J22" s="1036"/>
      <c r="K22" s="1036"/>
      <c r="L22" s="1036"/>
      <c r="M22" s="1036"/>
      <c r="N22" s="1036"/>
      <c r="O22" s="1036"/>
      <c r="P22" s="1036"/>
      <c r="Q22" s="1036"/>
      <c r="R22" s="1036"/>
      <c r="S22" s="1036"/>
      <c r="T22" s="1036"/>
      <c r="U22" s="1036"/>
      <c r="V22" s="1036"/>
      <c r="W22" s="1036"/>
      <c r="X22" s="1036"/>
      <c r="Y22" s="1036"/>
      <c r="Z22" s="1036"/>
      <c r="AA22" s="1036"/>
      <c r="AB22" s="1036"/>
      <c r="AC22" s="1036"/>
      <c r="AD22" s="1036"/>
      <c r="AE22" s="1036"/>
      <c r="AF22" s="1036"/>
      <c r="AG22" s="1036"/>
      <c r="AH22" s="1036"/>
      <c r="AI22" s="1036"/>
      <c r="AJ22" s="1036"/>
      <c r="AK22" s="1036"/>
      <c r="AL22" s="1036"/>
      <c r="AM22" s="1036"/>
      <c r="AN22" s="1036"/>
      <c r="AO22" s="1036"/>
      <c r="AP22" s="1036"/>
      <c r="AQ22" s="1036"/>
      <c r="AR22" s="1036"/>
      <c r="AS22" s="1036"/>
      <c r="AT22" s="1036"/>
      <c r="AU22" s="1036"/>
      <c r="AV22" s="1036"/>
      <c r="AW22" s="1036"/>
      <c r="AX22" s="1036"/>
    </row>
    <row r="23" spans="2:50" ht="15" customHeight="1">
      <c r="E23" s="1041" t="str">
        <f xml:space="preserve"> E14</f>
        <v>Transport and refining costs post-fiscal point</v>
      </c>
      <c r="F23" s="1134">
        <v>10</v>
      </c>
      <c r="G23" s="1041" t="str">
        <f xml:space="preserve"> Inputs!F$52 &amp; " / " &amp; F$10</f>
        <v>US$ 2021 / DMT</v>
      </c>
      <c r="H23" s="1041"/>
      <c r="I23" s="1041"/>
      <c r="J23" s="1036"/>
      <c r="K23" s="1036"/>
      <c r="L23" s="1036"/>
      <c r="M23" s="1036"/>
      <c r="N23" s="1036"/>
      <c r="O23" s="1036"/>
      <c r="P23" s="1036"/>
      <c r="Q23" s="1036"/>
      <c r="R23" s="1036"/>
      <c r="S23" s="1036"/>
      <c r="T23" s="1036"/>
      <c r="U23" s="1036"/>
      <c r="V23" s="1036"/>
      <c r="W23" s="1036"/>
      <c r="X23" s="1036"/>
      <c r="Y23" s="1036"/>
      <c r="Z23" s="1036"/>
      <c r="AA23" s="1036"/>
      <c r="AB23" s="1036"/>
      <c r="AC23" s="1036"/>
      <c r="AD23" s="1036"/>
      <c r="AE23" s="1036"/>
      <c r="AF23" s="1036"/>
      <c r="AG23" s="1036"/>
      <c r="AH23" s="1036"/>
      <c r="AI23" s="1036"/>
      <c r="AJ23" s="1036"/>
      <c r="AK23" s="1036"/>
      <c r="AL23" s="1036"/>
      <c r="AM23" s="1036"/>
      <c r="AN23" s="1036"/>
      <c r="AO23" s="1036"/>
      <c r="AP23" s="1036"/>
      <c r="AQ23" s="1036"/>
      <c r="AR23" s="1036"/>
      <c r="AS23" s="1036"/>
      <c r="AT23" s="1036"/>
      <c r="AU23" s="1036"/>
      <c r="AV23" s="1036"/>
      <c r="AW23" s="1036"/>
      <c r="AX23" s="1036"/>
    </row>
    <row r="24" spans="2:50" ht="15" customHeight="1">
      <c r="E24" s="1041" t="str">
        <f xml:space="preserve"> E18</f>
        <v>Operating costs</v>
      </c>
      <c r="F24" s="1134">
        <v>30</v>
      </c>
      <c r="G24" s="1041" t="str">
        <f xml:space="preserve"> Inputs!F$52 &amp; " / " &amp; F$10</f>
        <v>US$ 2021 / DMT</v>
      </c>
      <c r="H24" s="1041"/>
      <c r="I24" s="1041"/>
      <c r="J24" s="1036"/>
      <c r="K24" s="1036"/>
      <c r="L24" s="1036"/>
      <c r="M24" s="1036"/>
      <c r="N24" s="1036"/>
      <c r="O24" s="1036"/>
      <c r="P24" s="1036"/>
      <c r="Q24" s="1036"/>
      <c r="R24" s="1036"/>
      <c r="S24" s="1036"/>
      <c r="T24" s="1036"/>
      <c r="U24" s="1036"/>
      <c r="V24" s="1036"/>
      <c r="W24" s="1036"/>
      <c r="X24" s="1036"/>
      <c r="Y24" s="1036"/>
      <c r="Z24" s="1036"/>
      <c r="AA24" s="1036"/>
      <c r="AB24" s="1036"/>
      <c r="AC24" s="1036"/>
      <c r="AD24" s="1036"/>
      <c r="AE24" s="1036"/>
      <c r="AF24" s="1036"/>
      <c r="AG24" s="1036"/>
      <c r="AH24" s="1036"/>
      <c r="AI24" s="1036"/>
      <c r="AJ24" s="1036"/>
      <c r="AK24" s="1036"/>
      <c r="AL24" s="1036"/>
      <c r="AM24" s="1036"/>
      <c r="AN24" s="1036"/>
      <c r="AO24" s="1036"/>
      <c r="AP24" s="1036"/>
      <c r="AQ24" s="1036"/>
      <c r="AR24" s="1036"/>
      <c r="AS24" s="1036"/>
      <c r="AT24" s="1036"/>
      <c r="AU24" s="1036"/>
      <c r="AV24" s="1036"/>
      <c r="AW24" s="1036"/>
      <c r="AX24" s="1036"/>
    </row>
    <row r="25" spans="2:50" ht="15" customHeight="1">
      <c r="E25" s="1041"/>
      <c r="F25" s="1041"/>
      <c r="G25" s="1041"/>
      <c r="H25" s="1041"/>
      <c r="I25" s="1041"/>
      <c r="J25" s="1036"/>
      <c r="K25" s="1036"/>
      <c r="L25" s="1036"/>
      <c r="M25" s="1036"/>
      <c r="N25" s="1036"/>
      <c r="O25" s="1036"/>
      <c r="P25" s="1036"/>
      <c r="Q25" s="1036"/>
      <c r="R25" s="1036"/>
      <c r="S25" s="1036"/>
      <c r="T25" s="1036"/>
      <c r="U25" s="1036"/>
      <c r="V25" s="1036"/>
      <c r="W25" s="1036"/>
      <c r="X25" s="1036"/>
      <c r="Y25" s="1036"/>
      <c r="Z25" s="1036"/>
      <c r="AA25" s="1036"/>
      <c r="AB25" s="1036"/>
      <c r="AC25" s="1036"/>
      <c r="AD25" s="1036"/>
      <c r="AE25" s="1036"/>
      <c r="AF25" s="1036"/>
      <c r="AG25" s="1036"/>
      <c r="AH25" s="1036"/>
      <c r="AI25" s="1036"/>
      <c r="AJ25" s="1036"/>
      <c r="AK25" s="1036"/>
      <c r="AL25" s="1036"/>
      <c r="AM25" s="1036"/>
      <c r="AN25" s="1036"/>
      <c r="AO25" s="1036"/>
      <c r="AP25" s="1036"/>
      <c r="AQ25" s="1036"/>
      <c r="AR25" s="1036"/>
      <c r="AS25" s="1036"/>
      <c r="AT25" s="1036"/>
      <c r="AU25" s="1036"/>
      <c r="AV25" s="1036"/>
      <c r="AW25" s="1036"/>
      <c r="AX25" s="1036"/>
    </row>
    <row r="26" spans="2:50" ht="15" customHeight="1">
      <c r="B26" s="19" t="str">
        <f>Translate!$E$602</f>
        <v>Unit costs</v>
      </c>
      <c r="E26" s="1041"/>
      <c r="F26" s="1041"/>
      <c r="G26" s="1041"/>
      <c r="H26" s="1041"/>
      <c r="I26" s="1041"/>
      <c r="J26" s="1036"/>
      <c r="K26" s="1036"/>
      <c r="L26" s="1036"/>
      <c r="M26" s="1036"/>
      <c r="N26" s="1036"/>
      <c r="O26" s="1036"/>
      <c r="P26" s="1036"/>
      <c r="Q26" s="1036"/>
      <c r="R26" s="1036"/>
      <c r="S26" s="1036"/>
      <c r="T26" s="1036"/>
      <c r="U26" s="1036"/>
      <c r="V26" s="1036"/>
      <c r="W26" s="1036"/>
      <c r="X26" s="1036"/>
      <c r="Y26" s="1036"/>
      <c r="Z26" s="1036"/>
      <c r="AA26" s="1036"/>
      <c r="AB26" s="1036"/>
      <c r="AC26" s="1036"/>
      <c r="AD26" s="1036"/>
      <c r="AE26" s="1036"/>
      <c r="AF26" s="1036"/>
      <c r="AG26" s="1036"/>
      <c r="AH26" s="1036"/>
      <c r="AI26" s="1036"/>
      <c r="AJ26" s="1036"/>
      <c r="AK26" s="1036"/>
      <c r="AL26" s="1036"/>
      <c r="AM26" s="1036"/>
      <c r="AN26" s="1036"/>
      <c r="AO26" s="1036"/>
      <c r="AP26" s="1036"/>
      <c r="AQ26" s="1036"/>
      <c r="AR26" s="1036"/>
      <c r="AS26" s="1036"/>
      <c r="AT26" s="1036"/>
      <c r="AU26" s="1036"/>
      <c r="AV26" s="1036"/>
      <c r="AW26" s="1036"/>
      <c r="AX26" s="1036"/>
    </row>
    <row r="27" spans="2:50" ht="15" customHeight="1">
      <c r="E27" s="1041" t="str">
        <f>Translate!$E$401</f>
        <v>Total sales</v>
      </c>
      <c r="F27" s="1041">
        <f xml:space="preserve"> SUM(K12:AX12)</f>
        <v>250000</v>
      </c>
      <c r="G27" s="1041" t="str">
        <f xml:space="preserve"> G12</f>
        <v>Thousand DMT</v>
      </c>
      <c r="H27" s="1041"/>
      <c r="I27" s="1041"/>
      <c r="J27" s="1036"/>
      <c r="K27" s="1036"/>
      <c r="L27" s="1036"/>
      <c r="M27" s="1036"/>
      <c r="N27" s="1036"/>
      <c r="O27" s="1036"/>
      <c r="P27" s="1036"/>
      <c r="Q27" s="1036"/>
      <c r="R27" s="1036"/>
      <c r="S27" s="1036"/>
      <c r="T27" s="1036"/>
      <c r="U27" s="1036"/>
      <c r="V27" s="1036"/>
      <c r="W27" s="1036"/>
      <c r="X27" s="1036"/>
      <c r="Y27" s="1036"/>
      <c r="Z27" s="1036"/>
      <c r="AA27" s="1036"/>
      <c r="AB27" s="1036"/>
      <c r="AC27" s="1036"/>
      <c r="AD27" s="1036"/>
      <c r="AE27" s="1036"/>
      <c r="AF27" s="1036"/>
      <c r="AG27" s="1036"/>
      <c r="AH27" s="1036"/>
      <c r="AI27" s="1036"/>
      <c r="AJ27" s="1036"/>
      <c r="AK27" s="1036"/>
      <c r="AL27" s="1036"/>
      <c r="AM27" s="1036"/>
      <c r="AN27" s="1036"/>
      <c r="AO27" s="1036"/>
      <c r="AP27" s="1036"/>
      <c r="AQ27" s="1036"/>
      <c r="AR27" s="1036"/>
      <c r="AS27" s="1036"/>
      <c r="AT27" s="1036"/>
      <c r="AU27" s="1036"/>
      <c r="AV27" s="1036"/>
      <c r="AW27" s="1036"/>
      <c r="AX27" s="1036"/>
    </row>
    <row r="28" spans="2:50" ht="15" customHeight="1">
      <c r="E28" s="219" t="str">
        <f xml:space="preserve"> Inputs!E$76</f>
        <v>one thousand</v>
      </c>
      <c r="F28" s="219">
        <f xml:space="preserve"> Inputs!F$76</f>
        <v>1000</v>
      </c>
      <c r="G28" s="219" t="str">
        <f xml:space="preserve"> Inputs!G$76</f>
        <v>Constant</v>
      </c>
      <c r="H28" s="1041"/>
      <c r="I28" s="1041"/>
      <c r="J28" s="1036"/>
      <c r="K28" s="1036"/>
      <c r="L28" s="1036"/>
      <c r="M28" s="1036"/>
      <c r="N28" s="1036"/>
      <c r="O28" s="1036"/>
      <c r="P28" s="1036"/>
      <c r="Q28" s="1036"/>
      <c r="R28" s="1036"/>
      <c r="S28" s="1036"/>
      <c r="T28" s="1036"/>
      <c r="U28" s="1036"/>
      <c r="V28" s="1036"/>
      <c r="W28" s="1036"/>
      <c r="X28" s="1036"/>
      <c r="Y28" s="1036"/>
      <c r="Z28" s="1036"/>
      <c r="AA28" s="1036"/>
      <c r="AB28" s="1036"/>
      <c r="AC28" s="1036"/>
      <c r="AD28" s="1036"/>
      <c r="AE28" s="1036"/>
      <c r="AF28" s="1036"/>
      <c r="AG28" s="1036"/>
      <c r="AH28" s="1036"/>
      <c r="AI28" s="1036"/>
      <c r="AJ28" s="1036"/>
      <c r="AK28" s="1036"/>
      <c r="AL28" s="1036"/>
      <c r="AM28" s="1036"/>
      <c r="AN28" s="1036"/>
      <c r="AO28" s="1036"/>
      <c r="AP28" s="1036"/>
      <c r="AQ28" s="1036"/>
      <c r="AR28" s="1036"/>
      <c r="AS28" s="1036"/>
      <c r="AT28" s="1036"/>
      <c r="AU28" s="1036"/>
      <c r="AV28" s="1036"/>
      <c r="AW28" s="1036"/>
      <c r="AX28" s="1036"/>
    </row>
    <row r="29" spans="2:50" ht="15" customHeight="1">
      <c r="E29" s="219"/>
      <c r="F29" s="219"/>
      <c r="G29" s="219"/>
      <c r="H29" s="1041"/>
      <c r="I29" s="1041"/>
      <c r="J29" s="1036"/>
      <c r="K29" s="1036"/>
      <c r="L29" s="1036"/>
      <c r="M29" s="1036"/>
      <c r="N29" s="1036"/>
      <c r="O29" s="1036"/>
      <c r="P29" s="1036"/>
      <c r="Q29" s="1036"/>
      <c r="R29" s="1036"/>
      <c r="S29" s="1036"/>
      <c r="T29" s="1036"/>
      <c r="U29" s="1036"/>
      <c r="V29" s="1036"/>
      <c r="W29" s="1036"/>
      <c r="X29" s="1036"/>
      <c r="Y29" s="1036"/>
      <c r="Z29" s="1036"/>
      <c r="AA29" s="1036"/>
      <c r="AB29" s="1036"/>
      <c r="AC29" s="1036"/>
      <c r="AD29" s="1036"/>
      <c r="AE29" s="1036"/>
      <c r="AF29" s="1036"/>
      <c r="AG29" s="1036"/>
      <c r="AH29" s="1036"/>
      <c r="AI29" s="1036"/>
      <c r="AJ29" s="1036"/>
      <c r="AK29" s="1036"/>
      <c r="AL29" s="1036"/>
      <c r="AM29" s="1036"/>
      <c r="AN29" s="1036"/>
      <c r="AO29" s="1036"/>
      <c r="AP29" s="1036"/>
      <c r="AQ29" s="1036"/>
      <c r="AR29" s="1036"/>
      <c r="AS29" s="1036"/>
      <c r="AT29" s="1036"/>
      <c r="AU29" s="1036"/>
      <c r="AV29" s="1036"/>
      <c r="AW29" s="1036"/>
      <c r="AX29" s="1036"/>
    </row>
    <row r="30" spans="2:50" ht="15" customHeight="1">
      <c r="E30" s="1041" t="str">
        <f t="shared" ref="E30:E36" si="4" xml:space="preserve"> E14</f>
        <v>Transport and refining costs post-fiscal point</v>
      </c>
      <c r="F30" s="1133">
        <f t="shared" ref="F30:F35" si="5" xml:space="preserve"> SUM(K14:AX14) / F$27 * F$28</f>
        <v>10</v>
      </c>
      <c r="G30" s="1041" t="str">
        <f xml:space="preserve"> Inputs!F$52 &amp; " / " &amp; F$10</f>
        <v>US$ 2021 / DMT</v>
      </c>
      <c r="H30" s="1041"/>
      <c r="I30" s="1041"/>
      <c r="J30" s="1036"/>
      <c r="K30" s="1036"/>
      <c r="L30" s="1036"/>
      <c r="M30" s="1036"/>
      <c r="N30" s="1036"/>
      <c r="O30" s="1036"/>
      <c r="P30" s="1036"/>
      <c r="Q30" s="1036"/>
      <c r="R30" s="1036"/>
      <c r="S30" s="1036"/>
      <c r="T30" s="1036"/>
      <c r="U30" s="1036"/>
      <c r="V30" s="1036"/>
      <c r="W30" s="1036"/>
      <c r="X30" s="1036"/>
      <c r="Y30" s="1036"/>
      <c r="Z30" s="1036"/>
      <c r="AA30" s="1036"/>
      <c r="AB30" s="1036"/>
      <c r="AC30" s="1036"/>
      <c r="AD30" s="1036"/>
      <c r="AE30" s="1036"/>
      <c r="AF30" s="1036"/>
      <c r="AG30" s="1036"/>
      <c r="AH30" s="1036"/>
      <c r="AI30" s="1036"/>
      <c r="AJ30" s="1036"/>
      <c r="AK30" s="1036"/>
      <c r="AL30" s="1036"/>
      <c r="AM30" s="1036"/>
      <c r="AN30" s="1036"/>
      <c r="AO30" s="1036"/>
      <c r="AP30" s="1036"/>
      <c r="AQ30" s="1036"/>
      <c r="AR30" s="1036"/>
      <c r="AS30" s="1036"/>
      <c r="AT30" s="1036"/>
      <c r="AU30" s="1036"/>
      <c r="AV30" s="1036"/>
      <c r="AW30" s="1036"/>
      <c r="AX30" s="1036"/>
    </row>
    <row r="31" spans="2:50" ht="15" customHeight="1">
      <c r="E31" s="1041" t="str">
        <f t="shared" si="4"/>
        <v>Exploration costs</v>
      </c>
      <c r="F31" s="1133">
        <f t="shared" si="5"/>
        <v>0.12000000000000001</v>
      </c>
      <c r="G31" s="1041" t="str">
        <f xml:space="preserve"> Inputs!F$52 &amp; " / " &amp; F$10</f>
        <v>US$ 2021 / DMT</v>
      </c>
      <c r="H31" s="1041"/>
      <c r="I31" s="1041"/>
      <c r="J31" s="1036"/>
      <c r="K31" s="1036"/>
      <c r="L31" s="1036"/>
      <c r="M31" s="1036"/>
      <c r="N31" s="1036"/>
      <c r="O31" s="1036"/>
      <c r="P31" s="1036"/>
      <c r="Q31" s="1036"/>
      <c r="R31" s="1036"/>
      <c r="S31" s="1036"/>
      <c r="T31" s="1036"/>
      <c r="U31" s="1036"/>
      <c r="V31" s="1036"/>
      <c r="W31" s="1036"/>
      <c r="X31" s="1036"/>
      <c r="Y31" s="1036"/>
      <c r="Z31" s="1036"/>
      <c r="AA31" s="1036"/>
      <c r="AB31" s="1036"/>
      <c r="AC31" s="1036"/>
      <c r="AD31" s="1036"/>
      <c r="AE31" s="1036"/>
      <c r="AF31" s="1036"/>
      <c r="AG31" s="1036"/>
      <c r="AH31" s="1036"/>
      <c r="AI31" s="1036"/>
      <c r="AJ31" s="1036"/>
      <c r="AK31" s="1036"/>
      <c r="AL31" s="1036"/>
      <c r="AM31" s="1036"/>
      <c r="AN31" s="1036"/>
      <c r="AO31" s="1036"/>
      <c r="AP31" s="1036"/>
      <c r="AQ31" s="1036"/>
      <c r="AR31" s="1036"/>
      <c r="AS31" s="1036"/>
      <c r="AT31" s="1036"/>
      <c r="AU31" s="1036"/>
      <c r="AV31" s="1036"/>
      <c r="AW31" s="1036"/>
      <c r="AX31" s="1036"/>
    </row>
    <row r="32" spans="2:50" ht="15" customHeight="1">
      <c r="E32" s="1041" t="str">
        <f t="shared" si="4"/>
        <v>Development costs</v>
      </c>
      <c r="F32" s="1133">
        <f t="shared" si="5"/>
        <v>10.3</v>
      </c>
      <c r="G32" s="1041" t="str">
        <f xml:space="preserve"> Inputs!F$52 &amp; " / " &amp; F$10</f>
        <v>US$ 2021 / DMT</v>
      </c>
      <c r="H32" s="1041"/>
      <c r="I32" s="1041"/>
      <c r="J32" s="1036"/>
      <c r="K32" s="1036"/>
      <c r="L32" s="1036"/>
      <c r="M32" s="1036"/>
      <c r="N32" s="1036"/>
      <c r="O32" s="1036"/>
      <c r="P32" s="1036"/>
      <c r="Q32" s="1036"/>
      <c r="R32" s="1036"/>
      <c r="S32" s="1036"/>
      <c r="T32" s="1036"/>
      <c r="U32" s="1036"/>
      <c r="V32" s="1036"/>
      <c r="W32" s="1036"/>
      <c r="X32" s="1036"/>
      <c r="Y32" s="1036"/>
      <c r="Z32" s="1036"/>
      <c r="AA32" s="1036"/>
      <c r="AB32" s="1036"/>
      <c r="AC32" s="1036"/>
      <c r="AD32" s="1036"/>
      <c r="AE32" s="1036"/>
      <c r="AF32" s="1036"/>
      <c r="AG32" s="1036"/>
      <c r="AH32" s="1036"/>
      <c r="AI32" s="1036"/>
      <c r="AJ32" s="1036"/>
      <c r="AK32" s="1036"/>
      <c r="AL32" s="1036"/>
      <c r="AM32" s="1036"/>
      <c r="AN32" s="1036"/>
      <c r="AO32" s="1036"/>
      <c r="AP32" s="1036"/>
      <c r="AQ32" s="1036"/>
      <c r="AR32" s="1036"/>
      <c r="AS32" s="1036"/>
      <c r="AT32" s="1036"/>
      <c r="AU32" s="1036"/>
      <c r="AV32" s="1036"/>
      <c r="AW32" s="1036"/>
      <c r="AX32" s="1036"/>
    </row>
    <row r="33" spans="1:50" ht="15" customHeight="1">
      <c r="E33" s="1041" t="str">
        <f t="shared" si="4"/>
        <v>Replacement capital costs</v>
      </c>
      <c r="F33" s="1133">
        <f t="shared" si="5"/>
        <v>1.8539999999999999</v>
      </c>
      <c r="G33" s="1041" t="str">
        <f xml:space="preserve"> Inputs!F$52 &amp; " / " &amp; F$10</f>
        <v>US$ 2021 / DMT</v>
      </c>
      <c r="H33" s="1041"/>
      <c r="I33" s="1041"/>
      <c r="J33" s="1036"/>
      <c r="K33" s="1036"/>
      <c r="L33" s="1036"/>
      <c r="M33" s="1036"/>
      <c r="N33" s="1036"/>
      <c r="O33" s="1036"/>
      <c r="P33" s="1036"/>
      <c r="Q33" s="1036"/>
      <c r="R33" s="1036"/>
      <c r="S33" s="1036"/>
      <c r="T33" s="1036"/>
      <c r="U33" s="1036"/>
      <c r="V33" s="1036"/>
      <c r="W33" s="1036"/>
      <c r="X33" s="1036"/>
      <c r="Y33" s="1036"/>
      <c r="Z33" s="1036"/>
      <c r="AA33" s="1036"/>
      <c r="AB33" s="1036"/>
      <c r="AC33" s="1036"/>
      <c r="AD33" s="1036"/>
      <c r="AE33" s="1036"/>
      <c r="AF33" s="1036"/>
      <c r="AG33" s="1036"/>
      <c r="AH33" s="1036"/>
      <c r="AI33" s="1036"/>
      <c r="AJ33" s="1036"/>
      <c r="AK33" s="1036"/>
      <c r="AL33" s="1036"/>
      <c r="AM33" s="1036"/>
      <c r="AN33" s="1036"/>
      <c r="AO33" s="1036"/>
      <c r="AP33" s="1036"/>
      <c r="AQ33" s="1036"/>
      <c r="AR33" s="1036"/>
      <c r="AS33" s="1036"/>
      <c r="AT33" s="1036"/>
      <c r="AU33" s="1036"/>
      <c r="AV33" s="1036"/>
      <c r="AW33" s="1036"/>
      <c r="AX33" s="1036"/>
    </row>
    <row r="34" spans="1:50" ht="15" customHeight="1">
      <c r="E34" s="1041" t="str">
        <f t="shared" si="4"/>
        <v>Operating costs</v>
      </c>
      <c r="F34" s="1133">
        <f t="shared" si="5"/>
        <v>30</v>
      </c>
      <c r="G34" s="1041" t="str">
        <f xml:space="preserve"> Inputs!F$52 &amp; " / " &amp; F$10</f>
        <v>US$ 2021 / DMT</v>
      </c>
      <c r="H34" s="1041"/>
      <c r="I34" s="1041"/>
      <c r="J34" s="1036"/>
      <c r="K34" s="1036"/>
      <c r="L34" s="1036"/>
      <c r="M34" s="1036"/>
      <c r="N34" s="1036"/>
      <c r="O34" s="1036"/>
      <c r="P34" s="1036"/>
      <c r="Q34" s="1036"/>
      <c r="R34" s="1036"/>
      <c r="S34" s="1036"/>
      <c r="T34" s="1036"/>
      <c r="U34" s="1036"/>
      <c r="V34" s="1036"/>
      <c r="W34" s="1036"/>
      <c r="X34" s="1036"/>
      <c r="Y34" s="1036"/>
      <c r="Z34" s="1036"/>
      <c r="AA34" s="1036"/>
      <c r="AB34" s="1036"/>
      <c r="AC34" s="1036"/>
      <c r="AD34" s="1036"/>
      <c r="AE34" s="1036"/>
      <c r="AF34" s="1036"/>
      <c r="AG34" s="1036"/>
      <c r="AH34" s="1036"/>
      <c r="AI34" s="1036"/>
      <c r="AJ34" s="1036"/>
      <c r="AK34" s="1036"/>
      <c r="AL34" s="1036"/>
      <c r="AM34" s="1036"/>
      <c r="AN34" s="1036"/>
      <c r="AO34" s="1036"/>
      <c r="AP34" s="1036"/>
      <c r="AQ34" s="1036"/>
      <c r="AR34" s="1036"/>
      <c r="AS34" s="1036"/>
      <c r="AT34" s="1036"/>
      <c r="AU34" s="1036"/>
      <c r="AV34" s="1036"/>
      <c r="AW34" s="1036"/>
      <c r="AX34" s="1036"/>
    </row>
    <row r="35" spans="1:50" ht="15" customHeight="1">
      <c r="E35" s="1041" t="str">
        <f t="shared" si="4"/>
        <v>Decommissioning costs</v>
      </c>
      <c r="F35" s="1133">
        <f t="shared" si="5"/>
        <v>1.03</v>
      </c>
      <c r="G35" s="1041" t="str">
        <f xml:space="preserve"> Inputs!F$52 &amp; " / " &amp; F$10</f>
        <v>US$ 2021 / DMT</v>
      </c>
      <c r="H35" s="1041"/>
      <c r="I35" s="1041"/>
      <c r="J35" s="1036"/>
      <c r="K35" s="1036"/>
      <c r="L35" s="1036"/>
      <c r="M35" s="1036"/>
      <c r="N35" s="1036"/>
      <c r="O35" s="1036"/>
      <c r="P35" s="1036"/>
      <c r="Q35" s="1036"/>
      <c r="R35" s="1036"/>
      <c r="S35" s="1036"/>
      <c r="T35" s="1036"/>
      <c r="U35" s="1036"/>
      <c r="V35" s="1036"/>
      <c r="W35" s="1036"/>
      <c r="X35" s="1036"/>
      <c r="Y35" s="1036"/>
      <c r="Z35" s="1036"/>
      <c r="AA35" s="1036"/>
      <c r="AB35" s="1036"/>
      <c r="AC35" s="1036"/>
      <c r="AD35" s="1036"/>
      <c r="AE35" s="1036"/>
      <c r="AF35" s="1036"/>
      <c r="AG35" s="1036"/>
      <c r="AH35" s="1036"/>
      <c r="AI35" s="1036"/>
      <c r="AJ35" s="1036"/>
      <c r="AK35" s="1036"/>
      <c r="AL35" s="1036"/>
      <c r="AM35" s="1036"/>
      <c r="AN35" s="1036"/>
      <c r="AO35" s="1036"/>
      <c r="AP35" s="1036"/>
      <c r="AQ35" s="1036"/>
      <c r="AR35" s="1036"/>
      <c r="AS35" s="1036"/>
      <c r="AT35" s="1036"/>
      <c r="AU35" s="1036"/>
      <c r="AV35" s="1036"/>
      <c r="AW35" s="1036"/>
      <c r="AX35" s="1036"/>
    </row>
    <row r="36" spans="1:50" ht="15" customHeight="1">
      <c r="E36" s="1041" t="str">
        <f t="shared" si="4"/>
        <v>Total costs</v>
      </c>
      <c r="F36" s="1133">
        <f>SUM(F30:F35)</f>
        <v>53.304000000000002</v>
      </c>
      <c r="G36" s="1041" t="str">
        <f xml:space="preserve"> Inputs!F$52 &amp; " / " &amp; F$10</f>
        <v>US$ 2021 / DMT</v>
      </c>
      <c r="H36" s="1041"/>
      <c r="I36" s="1041"/>
      <c r="J36" s="1036"/>
      <c r="K36" s="1036"/>
      <c r="L36" s="1036"/>
      <c r="M36" s="1036"/>
      <c r="N36" s="1036"/>
      <c r="O36" s="1036"/>
      <c r="P36" s="1036"/>
      <c r="Q36" s="1036"/>
      <c r="R36" s="1036"/>
      <c r="S36" s="1036"/>
      <c r="T36" s="1036"/>
      <c r="U36" s="1036"/>
      <c r="V36" s="1036"/>
      <c r="W36" s="1036"/>
      <c r="X36" s="1036"/>
      <c r="Y36" s="1036"/>
      <c r="Z36" s="1036"/>
      <c r="AA36" s="1036"/>
      <c r="AB36" s="1036"/>
      <c r="AC36" s="1036"/>
      <c r="AD36" s="1036"/>
      <c r="AE36" s="1036"/>
      <c r="AF36" s="1036"/>
      <c r="AG36" s="1036"/>
      <c r="AH36" s="1036"/>
      <c r="AI36" s="1036"/>
      <c r="AJ36" s="1036"/>
      <c r="AK36" s="1036"/>
      <c r="AL36" s="1036"/>
      <c r="AM36" s="1036"/>
      <c r="AN36" s="1036"/>
      <c r="AO36" s="1036"/>
      <c r="AP36" s="1036"/>
      <c r="AQ36" s="1036"/>
      <c r="AR36" s="1036"/>
      <c r="AS36" s="1036"/>
      <c r="AT36" s="1036"/>
      <c r="AU36" s="1036"/>
      <c r="AV36" s="1036"/>
      <c r="AW36" s="1036"/>
      <c r="AX36" s="1036"/>
    </row>
    <row r="37" spans="1:50" ht="15" customHeight="1">
      <c r="E37" s="474"/>
      <c r="F37" s="1041"/>
      <c r="G37" s="1041"/>
      <c r="H37" s="1041"/>
      <c r="I37" s="1041"/>
      <c r="J37" s="1036"/>
      <c r="K37" s="1036"/>
      <c r="L37" s="1036"/>
      <c r="M37" s="1036"/>
      <c r="N37" s="1036"/>
      <c r="O37" s="1036"/>
      <c r="P37" s="1036"/>
      <c r="Q37" s="1036"/>
      <c r="R37" s="1036"/>
      <c r="S37" s="1036"/>
      <c r="T37" s="1036"/>
      <c r="U37" s="1036"/>
      <c r="V37" s="1036"/>
      <c r="W37" s="1036"/>
      <c r="X37" s="1036"/>
      <c r="Y37" s="1036"/>
      <c r="Z37" s="1036"/>
      <c r="AA37" s="1036"/>
      <c r="AB37" s="1036"/>
      <c r="AC37" s="1036"/>
      <c r="AD37" s="1036"/>
      <c r="AE37" s="1036"/>
      <c r="AF37" s="1036"/>
      <c r="AG37" s="1036"/>
      <c r="AH37" s="1036"/>
      <c r="AI37" s="1036"/>
      <c r="AJ37" s="1036"/>
      <c r="AK37" s="1036"/>
      <c r="AL37" s="1036"/>
      <c r="AM37" s="1036"/>
      <c r="AN37" s="1036"/>
      <c r="AO37" s="1036"/>
      <c r="AP37" s="1036"/>
      <c r="AQ37" s="1036"/>
      <c r="AR37" s="1036"/>
      <c r="AS37" s="1036"/>
      <c r="AT37" s="1036"/>
      <c r="AU37" s="1036"/>
      <c r="AV37" s="1036"/>
      <c r="AW37" s="1036"/>
      <c r="AX37" s="1036"/>
    </row>
    <row r="38" spans="1:50" s="4" customFormat="1" ht="15" customHeight="1">
      <c r="A38" s="76"/>
      <c r="B38" s="74" t="str">
        <f>Translate!$E$603</f>
        <v>Check project data in correct row</v>
      </c>
      <c r="C38" s="74"/>
      <c r="D38" s="76"/>
      <c r="E38" s="76"/>
      <c r="F38" s="474"/>
      <c r="G38" s="77"/>
      <c r="H38" s="76"/>
      <c r="I38" s="76"/>
      <c r="J38" s="76"/>
      <c r="K38" s="7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row>
    <row r="39" spans="1:50" s="4" customFormat="1" ht="15" customHeight="1">
      <c r="A39" s="76"/>
      <c r="B39" s="76"/>
      <c r="C39" s="76"/>
      <c r="D39" s="76"/>
      <c r="E39" s="106" t="str">
        <f xml:space="preserve"> Inputs!E$15</f>
        <v>First row of project data</v>
      </c>
      <c r="F39" s="106">
        <f xml:space="preserve"> Inputs!F$15</f>
        <v>12</v>
      </c>
      <c r="G39" s="106" t="str">
        <f xml:space="preserve"> Inputs!G$15</f>
        <v>row</v>
      </c>
      <c r="H39" s="76"/>
      <c r="I39" s="76"/>
      <c r="J39" s="76"/>
      <c r="K39" s="7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row>
    <row r="40" spans="1:50" s="4" customFormat="1" ht="15" customHeight="1">
      <c r="A40" s="76"/>
      <c r="B40" s="76"/>
      <c r="C40" s="76"/>
      <c r="D40" s="76"/>
      <c r="E40" s="76" t="str">
        <f>Translate!$E$402</f>
        <v>First row of project data</v>
      </c>
      <c r="F40" s="307">
        <f xml:space="preserve"> ROW(F12)</f>
        <v>12</v>
      </c>
      <c r="G40" s="857" t="str">
        <f xml:space="preserve"> Translate!E$587</f>
        <v>row</v>
      </c>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row>
    <row r="41" spans="1:50" s="4" customFormat="1" ht="15" customHeight="1">
      <c r="A41" s="76"/>
      <c r="B41" s="76"/>
      <c r="C41" s="76"/>
      <c r="D41" s="76"/>
      <c r="E41" s="76" t="str">
        <f xml:space="preserve"> Translate!$E$444 &amp; ": " &amp; Translate!$E$402</f>
        <v>Check: First row of project data</v>
      </c>
      <c r="F41" s="128">
        <f xml:space="preserve"> IF( ABS(F39 - F40) &lt;&gt; 0, 1, 0)</f>
        <v>0</v>
      </c>
      <c r="G41" s="311" t="str">
        <f xml:space="preserve"> Translate!E$444</f>
        <v>Check</v>
      </c>
      <c r="H41" s="76"/>
      <c r="I41" s="76"/>
      <c r="J41" s="76"/>
      <c r="K41" s="7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row>
    <row r="42" spans="1:50" ht="15" customHeight="1">
      <c r="E42" s="474"/>
      <c r="F42" s="1041"/>
      <c r="G42" s="1041"/>
      <c r="H42" s="1041"/>
      <c r="I42" s="1041"/>
      <c r="J42" s="1036"/>
      <c r="K42" s="1036"/>
      <c r="L42" s="1036"/>
      <c r="M42" s="1036"/>
      <c r="N42" s="1036"/>
      <c r="O42" s="1036"/>
      <c r="P42" s="1036"/>
      <c r="Q42" s="1036"/>
      <c r="R42" s="1036"/>
      <c r="S42" s="1036"/>
      <c r="T42" s="1036"/>
      <c r="U42" s="1036"/>
      <c r="V42" s="1036"/>
      <c r="W42" s="1036"/>
      <c r="X42" s="1036"/>
      <c r="Y42" s="1036"/>
      <c r="Z42" s="1036"/>
      <c r="AA42" s="1036"/>
      <c r="AB42" s="1036"/>
      <c r="AC42" s="1036"/>
      <c r="AD42" s="1036"/>
      <c r="AE42" s="1036"/>
      <c r="AF42" s="1036"/>
      <c r="AG42" s="1036"/>
      <c r="AH42" s="1036"/>
      <c r="AI42" s="1036"/>
      <c r="AJ42" s="1036"/>
      <c r="AK42" s="1036"/>
      <c r="AL42" s="1036"/>
      <c r="AM42" s="1036"/>
      <c r="AN42" s="1036"/>
      <c r="AO42" s="1036"/>
      <c r="AP42" s="1036"/>
      <c r="AQ42" s="1036"/>
      <c r="AR42" s="1036"/>
      <c r="AS42" s="1036"/>
      <c r="AT42" s="1036"/>
      <c r="AU42" s="1036"/>
      <c r="AV42" s="1036"/>
      <c r="AW42" s="1036"/>
      <c r="AX42" s="1036"/>
    </row>
    <row r="43" spans="1:50" ht="15" customHeight="1">
      <c r="E43" s="474"/>
      <c r="F43" s="1041"/>
      <c r="G43" s="1041"/>
      <c r="H43" s="1041"/>
      <c r="I43" s="1041"/>
      <c r="J43" s="1036"/>
      <c r="K43" s="1036"/>
      <c r="L43" s="1036"/>
      <c r="M43" s="1036"/>
      <c r="N43" s="1036"/>
      <c r="O43" s="1036"/>
      <c r="P43" s="1036"/>
      <c r="Q43" s="1036"/>
      <c r="R43" s="1036"/>
      <c r="S43" s="1036"/>
      <c r="T43" s="1036"/>
      <c r="U43" s="1036"/>
      <c r="V43" s="1036"/>
      <c r="W43" s="1036"/>
      <c r="X43" s="1036"/>
      <c r="Y43" s="1036"/>
      <c r="Z43" s="1036"/>
      <c r="AA43" s="1036"/>
      <c r="AB43" s="1036"/>
      <c r="AC43" s="1036"/>
      <c r="AD43" s="1036"/>
      <c r="AE43" s="1036"/>
      <c r="AF43" s="1036"/>
      <c r="AG43" s="1036"/>
      <c r="AH43" s="1036"/>
      <c r="AI43" s="1036"/>
      <c r="AJ43" s="1036"/>
      <c r="AK43" s="1036"/>
      <c r="AL43" s="1036"/>
      <c r="AM43" s="1036"/>
      <c r="AN43" s="1036"/>
      <c r="AO43" s="1036"/>
      <c r="AP43" s="1036"/>
      <c r="AQ43" s="1036"/>
      <c r="AR43" s="1036"/>
      <c r="AS43" s="1036"/>
      <c r="AT43" s="1036"/>
      <c r="AU43" s="1036"/>
      <c r="AV43" s="1036"/>
      <c r="AW43" s="1036"/>
      <c r="AX43" s="1036"/>
    </row>
    <row r="44" spans="1:50" ht="15" customHeight="1">
      <c r="A44" s="86" t="str">
        <f xml:space="preserve"> Translate!E$602</f>
        <v>Unit costs</v>
      </c>
      <c r="B44" s="86"/>
      <c r="C44" s="86"/>
      <c r="D44" s="86"/>
      <c r="E44" s="88"/>
      <c r="F44" s="86"/>
      <c r="G44" s="86"/>
      <c r="H44" s="86"/>
      <c r="I44" s="86"/>
      <c r="J44" s="86"/>
      <c r="K44" s="86"/>
      <c r="L44" s="86"/>
      <c r="M44" s="86"/>
      <c r="N44" s="86"/>
      <c r="O44" s="86"/>
      <c r="P44" s="86"/>
      <c r="Q44" s="86"/>
      <c r="R44" s="86"/>
      <c r="S44" s="86"/>
      <c r="T44" s="86"/>
      <c r="U44" s="86"/>
      <c r="V44" s="86"/>
      <c r="W44" s="86"/>
      <c r="X44" s="86"/>
      <c r="Y44" s="86"/>
      <c r="Z44" s="86"/>
      <c r="AA44" s="86"/>
      <c r="AB44" s="86"/>
      <c r="AC44" s="86"/>
      <c r="AD44" s="86"/>
      <c r="AE44" s="86"/>
      <c r="AF44" s="86"/>
      <c r="AG44" s="86"/>
      <c r="AH44" s="86"/>
      <c r="AI44" s="86"/>
      <c r="AJ44" s="86"/>
      <c r="AK44" s="86"/>
      <c r="AL44" s="86"/>
      <c r="AM44" s="86"/>
      <c r="AN44" s="86"/>
      <c r="AO44" s="86"/>
      <c r="AP44" s="86"/>
      <c r="AQ44" s="86"/>
      <c r="AR44" s="86"/>
      <c r="AS44" s="86"/>
      <c r="AT44" s="86"/>
      <c r="AU44" s="86"/>
      <c r="AV44" s="86"/>
      <c r="AW44" s="86"/>
      <c r="AX44" s="86"/>
    </row>
    <row r="45" spans="1:50" ht="15" customHeight="1">
      <c r="E45" s="1041"/>
      <c r="F45" s="1041"/>
      <c r="G45" s="1041"/>
      <c r="H45" s="1041"/>
      <c r="I45" s="1041"/>
      <c r="J45" s="1041"/>
      <c r="K45" s="1041"/>
      <c r="L45" s="1041"/>
      <c r="M45" s="1041"/>
      <c r="N45" s="1041"/>
      <c r="O45" s="1041"/>
      <c r="P45" s="1041"/>
      <c r="Q45" s="1041"/>
      <c r="R45" s="1041"/>
      <c r="S45" s="1041"/>
      <c r="T45" s="1041"/>
      <c r="U45" s="1041"/>
      <c r="V45" s="1041"/>
      <c r="W45" s="1041"/>
      <c r="X45" s="1041"/>
      <c r="Y45" s="1041"/>
      <c r="Z45" s="1041"/>
      <c r="AA45" s="1041"/>
      <c r="AB45" s="1041"/>
      <c r="AC45" s="1041"/>
      <c r="AD45" s="1041"/>
      <c r="AE45" s="1041"/>
      <c r="AF45" s="1041"/>
      <c r="AG45" s="1041"/>
      <c r="AH45" s="1041"/>
      <c r="AI45" s="1041"/>
      <c r="AJ45" s="1041"/>
      <c r="AK45" s="1041"/>
      <c r="AL45" s="1041"/>
      <c r="AM45" s="1041"/>
      <c r="AN45" s="1041"/>
      <c r="AO45" s="1041"/>
      <c r="AP45" s="1041"/>
      <c r="AQ45" s="1041"/>
      <c r="AR45" s="1041"/>
      <c r="AS45" s="1041"/>
      <c r="AT45" s="1041"/>
      <c r="AU45" s="1041"/>
      <c r="AV45" s="1041"/>
      <c r="AW45" s="1041"/>
      <c r="AX45" s="1041"/>
    </row>
    <row r="46" spans="1:50" ht="15" customHeight="1">
      <c r="E46" s="1041" t="str">
        <f xml:space="preserve"> E$12</f>
        <v>Iron Ore Production</v>
      </c>
      <c r="F46" s="1041">
        <f t="shared" ref="F46:AX46" si="6" xml:space="preserve"> F$12</f>
        <v>0</v>
      </c>
      <c r="G46" s="1041" t="str">
        <f t="shared" si="6"/>
        <v>Thousand DMT</v>
      </c>
      <c r="H46" s="1041">
        <f t="shared" si="6"/>
        <v>0</v>
      </c>
      <c r="I46" s="1041">
        <f t="shared" si="6"/>
        <v>250000</v>
      </c>
      <c r="J46" s="1041">
        <f t="shared" si="6"/>
        <v>0</v>
      </c>
      <c r="K46" s="1041">
        <f t="shared" si="6"/>
        <v>0</v>
      </c>
      <c r="L46" s="1041">
        <f t="shared" si="6"/>
        <v>0</v>
      </c>
      <c r="M46" s="1041">
        <f t="shared" si="6"/>
        <v>0</v>
      </c>
      <c r="N46" s="1041">
        <f t="shared" si="6"/>
        <v>0</v>
      </c>
      <c r="O46" s="1041">
        <f t="shared" si="6"/>
        <v>0</v>
      </c>
      <c r="P46" s="1041">
        <f t="shared" si="6"/>
        <v>0</v>
      </c>
      <c r="Q46" s="1041">
        <f t="shared" si="6"/>
        <v>5000</v>
      </c>
      <c r="R46" s="1041">
        <f t="shared" si="6"/>
        <v>10000</v>
      </c>
      <c r="S46" s="1041">
        <f t="shared" si="6"/>
        <v>10000</v>
      </c>
      <c r="T46" s="1041">
        <f t="shared" si="6"/>
        <v>12500</v>
      </c>
      <c r="U46" s="1041">
        <f t="shared" si="6"/>
        <v>12500</v>
      </c>
      <c r="V46" s="1041">
        <f t="shared" si="6"/>
        <v>12500</v>
      </c>
      <c r="W46" s="1041">
        <f t="shared" si="6"/>
        <v>12500</v>
      </c>
      <c r="X46" s="1041">
        <f t="shared" si="6"/>
        <v>12500</v>
      </c>
      <c r="Y46" s="1041">
        <f t="shared" si="6"/>
        <v>12500</v>
      </c>
      <c r="Z46" s="1041">
        <f t="shared" si="6"/>
        <v>12500</v>
      </c>
      <c r="AA46" s="1041">
        <f t="shared" si="6"/>
        <v>12500</v>
      </c>
      <c r="AB46" s="1041">
        <f t="shared" si="6"/>
        <v>12500</v>
      </c>
      <c r="AC46" s="1041">
        <f t="shared" si="6"/>
        <v>12500</v>
      </c>
      <c r="AD46" s="1041">
        <f t="shared" si="6"/>
        <v>12500</v>
      </c>
      <c r="AE46" s="1041">
        <f t="shared" si="6"/>
        <v>12500</v>
      </c>
      <c r="AF46" s="1041">
        <f t="shared" si="6"/>
        <v>12500</v>
      </c>
      <c r="AG46" s="1041">
        <f t="shared" si="6"/>
        <v>12500</v>
      </c>
      <c r="AH46" s="1041">
        <f t="shared" si="6"/>
        <v>12500</v>
      </c>
      <c r="AI46" s="1041">
        <f t="shared" si="6"/>
        <v>12500</v>
      </c>
      <c r="AJ46" s="1041">
        <f t="shared" si="6"/>
        <v>12500</v>
      </c>
      <c r="AK46" s="1041">
        <f t="shared" si="6"/>
        <v>12500</v>
      </c>
      <c r="AL46" s="1041">
        <f t="shared" si="6"/>
        <v>0</v>
      </c>
      <c r="AM46" s="1041">
        <f t="shared" si="6"/>
        <v>0</v>
      </c>
      <c r="AN46" s="1041">
        <f t="shared" si="6"/>
        <v>0</v>
      </c>
      <c r="AO46" s="1041">
        <f t="shared" si="6"/>
        <v>0</v>
      </c>
      <c r="AP46" s="1041">
        <f t="shared" si="6"/>
        <v>0</v>
      </c>
      <c r="AQ46" s="1041">
        <f t="shared" si="6"/>
        <v>0</v>
      </c>
      <c r="AR46" s="1041">
        <f t="shared" si="6"/>
        <v>0</v>
      </c>
      <c r="AS46" s="1041">
        <f t="shared" si="6"/>
        <v>0</v>
      </c>
      <c r="AT46" s="1041">
        <f t="shared" si="6"/>
        <v>0</v>
      </c>
      <c r="AU46" s="1041">
        <f t="shared" si="6"/>
        <v>0</v>
      </c>
      <c r="AV46" s="1041">
        <f t="shared" si="6"/>
        <v>0</v>
      </c>
      <c r="AW46" s="1041">
        <f t="shared" si="6"/>
        <v>0</v>
      </c>
      <c r="AX46" s="1041">
        <f t="shared" si="6"/>
        <v>0</v>
      </c>
    </row>
    <row r="47" spans="1:50" ht="15" customHeight="1">
      <c r="E47" s="219" t="str">
        <f xml:space="preserve"> Inputs!E$76</f>
        <v>one thousand</v>
      </c>
      <c r="F47" s="219">
        <f xml:space="preserve"> Inputs!F$76</f>
        <v>1000</v>
      </c>
      <c r="G47" s="219" t="str">
        <f xml:space="preserve"> Inputs!G$76</f>
        <v>Constant</v>
      </c>
      <c r="H47" s="1041"/>
      <c r="I47" s="1041"/>
      <c r="J47" s="1041"/>
      <c r="K47" s="1041"/>
      <c r="L47" s="1041"/>
      <c r="M47" s="1041"/>
      <c r="N47" s="1041"/>
      <c r="O47" s="1041"/>
      <c r="P47" s="1041"/>
      <c r="Q47" s="1041"/>
      <c r="R47" s="1041"/>
      <c r="S47" s="1041"/>
      <c r="T47" s="1041"/>
      <c r="U47" s="1041"/>
      <c r="V47" s="1041"/>
      <c r="W47" s="1041"/>
      <c r="X47" s="1041"/>
      <c r="Y47" s="1041"/>
      <c r="Z47" s="1041"/>
      <c r="AA47" s="1041"/>
      <c r="AB47" s="1041"/>
      <c r="AC47" s="1041"/>
      <c r="AD47" s="1041"/>
      <c r="AE47" s="1041"/>
      <c r="AF47" s="1041"/>
      <c r="AG47" s="1041"/>
      <c r="AH47" s="1041"/>
      <c r="AI47" s="1041"/>
      <c r="AJ47" s="1041"/>
      <c r="AK47" s="1041"/>
      <c r="AL47" s="1041"/>
      <c r="AM47" s="1041"/>
      <c r="AN47" s="1041"/>
      <c r="AO47" s="1041"/>
      <c r="AP47" s="1041"/>
      <c r="AQ47" s="1041"/>
      <c r="AR47" s="1041"/>
      <c r="AS47" s="1041"/>
      <c r="AT47" s="1041"/>
      <c r="AU47" s="1041"/>
      <c r="AV47" s="1041"/>
      <c r="AW47" s="1041"/>
      <c r="AX47" s="1041"/>
    </row>
    <row r="48" spans="1:50" ht="15" customHeight="1">
      <c r="E48" s="219"/>
      <c r="F48" s="219"/>
      <c r="G48" s="219"/>
      <c r="H48" s="1041"/>
      <c r="I48" s="1041"/>
      <c r="J48" s="1041"/>
      <c r="K48" s="1041"/>
      <c r="L48" s="1041"/>
      <c r="M48" s="1041"/>
      <c r="N48" s="1041"/>
      <c r="O48" s="1041"/>
      <c r="P48" s="1041"/>
      <c r="Q48" s="1041"/>
      <c r="R48" s="1041"/>
      <c r="S48" s="1041"/>
      <c r="T48" s="1041"/>
      <c r="U48" s="1041"/>
      <c r="V48" s="1041"/>
      <c r="W48" s="1041"/>
      <c r="X48" s="1041"/>
      <c r="Y48" s="1041"/>
      <c r="Z48" s="1041"/>
      <c r="AA48" s="1041"/>
      <c r="AB48" s="1041"/>
      <c r="AC48" s="1041"/>
      <c r="AD48" s="1041"/>
      <c r="AE48" s="1041"/>
      <c r="AF48" s="1041"/>
      <c r="AG48" s="1041"/>
      <c r="AH48" s="1041"/>
      <c r="AI48" s="1041"/>
      <c r="AJ48" s="1041"/>
      <c r="AK48" s="1041"/>
      <c r="AL48" s="1041"/>
      <c r="AM48" s="1041"/>
      <c r="AN48" s="1041"/>
      <c r="AO48" s="1041"/>
      <c r="AP48" s="1041"/>
      <c r="AQ48" s="1041"/>
      <c r="AR48" s="1041"/>
      <c r="AS48" s="1041"/>
      <c r="AT48" s="1041"/>
      <c r="AU48" s="1041"/>
      <c r="AV48" s="1041"/>
      <c r="AW48" s="1041"/>
      <c r="AX48" s="1041"/>
    </row>
    <row r="49" spans="1:50" ht="15" customHeight="1">
      <c r="E49" s="260" t="str">
        <f xml:space="preserve"> E$18</f>
        <v>Operating costs</v>
      </c>
      <c r="F49" s="260">
        <f t="shared" ref="F49:AX49" si="7" xml:space="preserve"> F$18</f>
        <v>0</v>
      </c>
      <c r="G49" s="311" t="str">
        <f xml:space="preserve"> Inputs!F$53</f>
        <v>US$ mn 2021</v>
      </c>
      <c r="H49" s="260">
        <f t="shared" si="7"/>
        <v>0</v>
      </c>
      <c r="I49" s="260">
        <f t="shared" si="7"/>
        <v>7500</v>
      </c>
      <c r="J49" s="260">
        <f t="shared" si="7"/>
        <v>0</v>
      </c>
      <c r="K49" s="260">
        <f t="shared" si="7"/>
        <v>0</v>
      </c>
      <c r="L49" s="260">
        <f t="shared" si="7"/>
        <v>0</v>
      </c>
      <c r="M49" s="260">
        <f t="shared" si="7"/>
        <v>0</v>
      </c>
      <c r="N49" s="260">
        <f t="shared" si="7"/>
        <v>0</v>
      </c>
      <c r="O49" s="260">
        <f t="shared" si="7"/>
        <v>0</v>
      </c>
      <c r="P49" s="260">
        <f t="shared" si="7"/>
        <v>0</v>
      </c>
      <c r="Q49" s="260">
        <f t="shared" si="7"/>
        <v>150</v>
      </c>
      <c r="R49" s="260">
        <f t="shared" si="7"/>
        <v>300</v>
      </c>
      <c r="S49" s="260">
        <f t="shared" si="7"/>
        <v>300</v>
      </c>
      <c r="T49" s="260">
        <f t="shared" si="7"/>
        <v>375</v>
      </c>
      <c r="U49" s="260">
        <f t="shared" si="7"/>
        <v>375</v>
      </c>
      <c r="V49" s="260">
        <f t="shared" si="7"/>
        <v>375</v>
      </c>
      <c r="W49" s="260">
        <f t="shared" si="7"/>
        <v>375</v>
      </c>
      <c r="X49" s="260">
        <f t="shared" si="7"/>
        <v>375</v>
      </c>
      <c r="Y49" s="260">
        <f t="shared" si="7"/>
        <v>375</v>
      </c>
      <c r="Z49" s="260">
        <f t="shared" si="7"/>
        <v>375</v>
      </c>
      <c r="AA49" s="260">
        <f t="shared" si="7"/>
        <v>375</v>
      </c>
      <c r="AB49" s="260">
        <f t="shared" si="7"/>
        <v>375</v>
      </c>
      <c r="AC49" s="260">
        <f t="shared" si="7"/>
        <v>375</v>
      </c>
      <c r="AD49" s="260">
        <f t="shared" si="7"/>
        <v>375</v>
      </c>
      <c r="AE49" s="260">
        <f t="shared" si="7"/>
        <v>375</v>
      </c>
      <c r="AF49" s="260">
        <f t="shared" si="7"/>
        <v>375</v>
      </c>
      <c r="AG49" s="260">
        <f t="shared" si="7"/>
        <v>375</v>
      </c>
      <c r="AH49" s="260">
        <f t="shared" si="7"/>
        <v>375</v>
      </c>
      <c r="AI49" s="260">
        <f t="shared" si="7"/>
        <v>375</v>
      </c>
      <c r="AJ49" s="260">
        <f t="shared" si="7"/>
        <v>375</v>
      </c>
      <c r="AK49" s="260">
        <f t="shared" si="7"/>
        <v>375</v>
      </c>
      <c r="AL49" s="260">
        <f t="shared" si="7"/>
        <v>0</v>
      </c>
      <c r="AM49" s="260">
        <f t="shared" si="7"/>
        <v>0</v>
      </c>
      <c r="AN49" s="260">
        <f t="shared" si="7"/>
        <v>0</v>
      </c>
      <c r="AO49" s="260">
        <f t="shared" si="7"/>
        <v>0</v>
      </c>
      <c r="AP49" s="260">
        <f t="shared" si="7"/>
        <v>0</v>
      </c>
      <c r="AQ49" s="260">
        <f t="shared" si="7"/>
        <v>0</v>
      </c>
      <c r="AR49" s="260">
        <f t="shared" si="7"/>
        <v>0</v>
      </c>
      <c r="AS49" s="260">
        <f t="shared" si="7"/>
        <v>0</v>
      </c>
      <c r="AT49" s="260">
        <f t="shared" si="7"/>
        <v>0</v>
      </c>
      <c r="AU49" s="260">
        <f t="shared" si="7"/>
        <v>0</v>
      </c>
      <c r="AV49" s="260">
        <f t="shared" si="7"/>
        <v>0</v>
      </c>
      <c r="AW49" s="260">
        <f t="shared" si="7"/>
        <v>0</v>
      </c>
      <c r="AX49" s="260">
        <f t="shared" si="7"/>
        <v>0</v>
      </c>
    </row>
    <row r="50" spans="1:50" ht="15" customHeight="1">
      <c r="E50" s="1041" t="e">
        <f ca="1">A1 &amp; " " &amp; Translate!E610</f>
        <v>#VALUE!</v>
      </c>
      <c r="F50" s="1041"/>
      <c r="G50" s="1041" t="str">
        <f xml:space="preserve"> Inputs!F$52 &amp; " / " &amp; F$10</f>
        <v>US$ 2021 / DMT</v>
      </c>
      <c r="H50" s="1041"/>
      <c r="I50" s="1041"/>
      <c r="J50" s="1041"/>
      <c r="K50" s="1041">
        <f t="shared" ref="K50:AX50" si="8" xml:space="preserve"> IFERROR(K49 / K46 * $F47, 0)</f>
        <v>0</v>
      </c>
      <c r="L50" s="1041">
        <f t="shared" si="8"/>
        <v>0</v>
      </c>
      <c r="M50" s="1041">
        <f t="shared" si="8"/>
        <v>0</v>
      </c>
      <c r="N50" s="1041">
        <f t="shared" si="8"/>
        <v>0</v>
      </c>
      <c r="O50" s="1041">
        <f t="shared" si="8"/>
        <v>0</v>
      </c>
      <c r="P50" s="1041">
        <f t="shared" si="8"/>
        <v>0</v>
      </c>
      <c r="Q50" s="1041">
        <f t="shared" si="8"/>
        <v>30</v>
      </c>
      <c r="R50" s="1041">
        <f t="shared" si="8"/>
        <v>30</v>
      </c>
      <c r="S50" s="1041">
        <f t="shared" si="8"/>
        <v>30</v>
      </c>
      <c r="T50" s="1041">
        <f t="shared" si="8"/>
        <v>30</v>
      </c>
      <c r="U50" s="1041">
        <f t="shared" si="8"/>
        <v>30</v>
      </c>
      <c r="V50" s="1041">
        <f t="shared" si="8"/>
        <v>30</v>
      </c>
      <c r="W50" s="1041">
        <f t="shared" si="8"/>
        <v>30</v>
      </c>
      <c r="X50" s="1041">
        <f t="shared" si="8"/>
        <v>30</v>
      </c>
      <c r="Y50" s="1041">
        <f t="shared" si="8"/>
        <v>30</v>
      </c>
      <c r="Z50" s="1041">
        <f t="shared" si="8"/>
        <v>30</v>
      </c>
      <c r="AA50" s="1041">
        <f t="shared" si="8"/>
        <v>30</v>
      </c>
      <c r="AB50" s="1041">
        <f t="shared" si="8"/>
        <v>30</v>
      </c>
      <c r="AC50" s="1041">
        <f t="shared" si="8"/>
        <v>30</v>
      </c>
      <c r="AD50" s="1041">
        <f t="shared" si="8"/>
        <v>30</v>
      </c>
      <c r="AE50" s="1041">
        <f t="shared" si="8"/>
        <v>30</v>
      </c>
      <c r="AF50" s="1041">
        <f t="shared" si="8"/>
        <v>30</v>
      </c>
      <c r="AG50" s="1041">
        <f t="shared" si="8"/>
        <v>30</v>
      </c>
      <c r="AH50" s="1041">
        <f t="shared" si="8"/>
        <v>30</v>
      </c>
      <c r="AI50" s="1041">
        <f t="shared" si="8"/>
        <v>30</v>
      </c>
      <c r="AJ50" s="1041">
        <f t="shared" si="8"/>
        <v>30</v>
      </c>
      <c r="AK50" s="1041">
        <f t="shared" si="8"/>
        <v>30</v>
      </c>
      <c r="AL50" s="1041">
        <f t="shared" si="8"/>
        <v>0</v>
      </c>
      <c r="AM50" s="1041">
        <f t="shared" si="8"/>
        <v>0</v>
      </c>
      <c r="AN50" s="1041">
        <f t="shared" si="8"/>
        <v>0</v>
      </c>
      <c r="AO50" s="1041">
        <f t="shared" si="8"/>
        <v>0</v>
      </c>
      <c r="AP50" s="1041">
        <f t="shared" si="8"/>
        <v>0</v>
      </c>
      <c r="AQ50" s="1041">
        <f t="shared" si="8"/>
        <v>0</v>
      </c>
      <c r="AR50" s="1041">
        <f t="shared" si="8"/>
        <v>0</v>
      </c>
      <c r="AS50" s="1041">
        <f t="shared" si="8"/>
        <v>0</v>
      </c>
      <c r="AT50" s="1041">
        <f t="shared" si="8"/>
        <v>0</v>
      </c>
      <c r="AU50" s="1041">
        <f t="shared" si="8"/>
        <v>0</v>
      </c>
      <c r="AV50" s="1041">
        <f t="shared" si="8"/>
        <v>0</v>
      </c>
      <c r="AW50" s="1041">
        <f t="shared" si="8"/>
        <v>0</v>
      </c>
      <c r="AX50" s="1041">
        <f t="shared" si="8"/>
        <v>0</v>
      </c>
    </row>
    <row r="51" spans="1:50" ht="15" customHeight="1">
      <c r="E51" s="1041"/>
      <c r="F51" s="1041"/>
      <c r="G51" s="1041"/>
      <c r="H51" s="1041"/>
      <c r="I51" s="1041"/>
      <c r="J51" s="1041"/>
      <c r="K51" s="1041"/>
      <c r="L51" s="1041"/>
      <c r="M51" s="1041"/>
      <c r="N51" s="1041"/>
      <c r="O51" s="1041"/>
      <c r="P51" s="1041"/>
      <c r="Q51" s="1041"/>
      <c r="R51" s="1041"/>
      <c r="S51" s="1041"/>
      <c r="T51" s="1041"/>
      <c r="U51" s="1041"/>
      <c r="V51" s="1041"/>
      <c r="W51" s="1041"/>
      <c r="X51" s="1041"/>
      <c r="Y51" s="1041"/>
      <c r="Z51" s="1041"/>
      <c r="AA51" s="1041"/>
      <c r="AB51" s="1041"/>
      <c r="AC51" s="1041"/>
      <c r="AD51" s="1041"/>
      <c r="AE51" s="1041"/>
      <c r="AF51" s="1041"/>
      <c r="AG51" s="1041"/>
      <c r="AH51" s="1041"/>
      <c r="AI51" s="1041"/>
      <c r="AJ51" s="1041"/>
      <c r="AK51" s="1041"/>
      <c r="AL51" s="1041"/>
      <c r="AM51" s="1041"/>
      <c r="AN51" s="1041"/>
      <c r="AO51" s="1041"/>
      <c r="AP51" s="1041"/>
      <c r="AQ51" s="1041"/>
      <c r="AR51" s="1041"/>
      <c r="AS51" s="1041"/>
      <c r="AT51" s="1041"/>
      <c r="AU51" s="1041"/>
      <c r="AV51" s="1041"/>
      <c r="AW51" s="1041"/>
      <c r="AX51" s="1041"/>
    </row>
    <row r="52" spans="1:50" ht="15" customHeight="1">
      <c r="E52" s="1041"/>
      <c r="F52" s="1041"/>
      <c r="G52" s="1041"/>
      <c r="H52" s="1041"/>
      <c r="I52" s="1041"/>
      <c r="J52" s="1041"/>
      <c r="K52" s="1041"/>
      <c r="L52" s="1041"/>
      <c r="M52" s="1041"/>
      <c r="N52" s="1041"/>
      <c r="O52" s="1041"/>
      <c r="P52" s="1041"/>
      <c r="Q52" s="1041"/>
      <c r="R52" s="1041"/>
      <c r="S52" s="1041"/>
      <c r="T52" s="1041"/>
      <c r="U52" s="1041"/>
      <c r="V52" s="1041"/>
      <c r="W52" s="1041"/>
      <c r="X52" s="1041"/>
      <c r="Y52" s="1041"/>
      <c r="Z52" s="1041"/>
      <c r="AA52" s="1041"/>
      <c r="AB52" s="1041"/>
      <c r="AC52" s="1041"/>
      <c r="AD52" s="1041"/>
      <c r="AE52" s="1041"/>
      <c r="AF52" s="1041"/>
      <c r="AG52" s="1041"/>
      <c r="AH52" s="1041"/>
      <c r="AI52" s="1041"/>
      <c r="AJ52" s="1041"/>
      <c r="AK52" s="1041"/>
      <c r="AL52" s="1041"/>
      <c r="AM52" s="1041"/>
      <c r="AN52" s="1041"/>
      <c r="AO52" s="1041"/>
      <c r="AP52" s="1041"/>
      <c r="AQ52" s="1041"/>
      <c r="AR52" s="1041"/>
      <c r="AS52" s="1041"/>
      <c r="AT52" s="1041"/>
      <c r="AU52" s="1041"/>
      <c r="AV52" s="1041"/>
      <c r="AW52" s="1041"/>
      <c r="AX52" s="1041"/>
    </row>
    <row r="53" spans="1:50" ht="15" customHeight="1">
      <c r="A53" s="86" t="str">
        <f xml:space="preserve"> Translate!E$757</f>
        <v>Charts</v>
      </c>
      <c r="B53" s="86"/>
      <c r="C53" s="86"/>
      <c r="D53" s="86"/>
      <c r="E53" s="88"/>
      <c r="F53" s="86"/>
      <c r="G53" s="86"/>
      <c r="H53" s="86"/>
      <c r="I53" s="86"/>
      <c r="J53" s="86"/>
      <c r="K53" s="86"/>
      <c r="L53" s="86"/>
      <c r="M53" s="86"/>
      <c r="N53" s="86"/>
      <c r="O53" s="86"/>
      <c r="P53" s="86"/>
      <c r="Q53" s="86"/>
      <c r="R53" s="86"/>
      <c r="S53" s="86"/>
      <c r="T53" s="86"/>
      <c r="U53" s="86"/>
      <c r="V53" s="86"/>
      <c r="W53" s="86"/>
      <c r="X53" s="86"/>
      <c r="Y53" s="86"/>
      <c r="Z53" s="86"/>
      <c r="AA53" s="86"/>
      <c r="AB53" s="86"/>
      <c r="AC53" s="86"/>
      <c r="AD53" s="86"/>
      <c r="AE53" s="86"/>
      <c r="AF53" s="86"/>
      <c r="AG53" s="86"/>
      <c r="AH53" s="86"/>
      <c r="AI53" s="86"/>
      <c r="AJ53" s="86"/>
      <c r="AK53" s="86"/>
      <c r="AL53" s="86"/>
      <c r="AM53" s="86"/>
      <c r="AN53" s="86"/>
      <c r="AO53" s="86"/>
      <c r="AP53" s="86"/>
      <c r="AQ53" s="86"/>
      <c r="AR53" s="86"/>
      <c r="AS53" s="86"/>
      <c r="AT53" s="86"/>
      <c r="AU53" s="86"/>
      <c r="AV53" s="86"/>
      <c r="AW53" s="86"/>
      <c r="AX53" s="86"/>
    </row>
    <row r="54" spans="1:50" ht="15" customHeight="1">
      <c r="E54" s="1041"/>
      <c r="F54" s="1041"/>
      <c r="G54" s="1041"/>
      <c r="H54" s="1041"/>
      <c r="I54" s="1041"/>
      <c r="J54" s="1041"/>
      <c r="K54" s="1041"/>
      <c r="L54" s="1041"/>
      <c r="M54" s="1041"/>
      <c r="N54" s="1041"/>
      <c r="O54" s="1041"/>
      <c r="P54" s="1041"/>
      <c r="Q54" s="1041"/>
      <c r="R54" s="1041"/>
      <c r="S54" s="1041"/>
      <c r="T54" s="1041"/>
      <c r="U54" s="1041"/>
      <c r="V54" s="1041"/>
      <c r="W54" s="1041"/>
      <c r="X54" s="1041"/>
      <c r="Y54" s="1041"/>
      <c r="Z54" s="1041"/>
      <c r="AA54" s="1041"/>
      <c r="AB54" s="1041"/>
      <c r="AC54" s="1041"/>
      <c r="AD54" s="1041"/>
      <c r="AE54" s="1041"/>
      <c r="AF54" s="1041"/>
      <c r="AG54" s="1041"/>
      <c r="AH54" s="1041"/>
      <c r="AI54" s="1041"/>
      <c r="AJ54" s="1041"/>
      <c r="AK54" s="1041"/>
      <c r="AL54" s="1041"/>
      <c r="AM54" s="1041"/>
      <c r="AN54" s="1041"/>
      <c r="AO54" s="1041"/>
      <c r="AP54" s="1041"/>
      <c r="AQ54" s="1041"/>
      <c r="AR54" s="1041"/>
      <c r="AS54" s="1041"/>
      <c r="AT54" s="1041"/>
      <c r="AU54" s="1041"/>
      <c r="AV54" s="1041"/>
      <c r="AW54" s="1041"/>
      <c r="AX54" s="1041"/>
    </row>
    <row r="55" spans="1:50" ht="15" customHeight="1">
      <c r="E55" s="1041"/>
      <c r="F55" s="1041"/>
      <c r="G55" s="1041"/>
      <c r="H55" s="1041"/>
      <c r="I55" s="1041"/>
      <c r="J55" s="1041"/>
      <c r="K55" s="1041"/>
      <c r="L55" s="1041"/>
      <c r="M55" s="1041"/>
      <c r="N55" s="1041"/>
      <c r="O55" s="1041"/>
      <c r="P55" s="1041"/>
      <c r="Q55" s="1041"/>
      <c r="R55" s="1041"/>
      <c r="S55" s="1041"/>
      <c r="T55" s="1041"/>
      <c r="U55" s="1041"/>
      <c r="V55" s="1041"/>
      <c r="W55" s="1041"/>
      <c r="X55" s="1041"/>
      <c r="Y55" s="1041"/>
      <c r="Z55" s="1041"/>
      <c r="AA55" s="1041"/>
      <c r="AB55" s="1041"/>
      <c r="AC55" s="1041"/>
      <c r="AD55" s="1041"/>
      <c r="AE55" s="1041"/>
      <c r="AF55" s="1041"/>
      <c r="AG55" s="1041"/>
      <c r="AH55" s="1041"/>
      <c r="AI55" s="1041"/>
      <c r="AJ55" s="1041"/>
      <c r="AK55" s="1041"/>
      <c r="AL55" s="1041"/>
      <c r="AM55" s="1041"/>
      <c r="AN55" s="1041"/>
      <c r="AO55" s="1041"/>
      <c r="AP55" s="1041"/>
      <c r="AQ55" s="1041"/>
      <c r="AR55" s="1041"/>
      <c r="AS55" s="1041"/>
      <c r="AT55" s="1041"/>
      <c r="AU55" s="1041"/>
      <c r="AV55" s="1041"/>
      <c r="AW55" s="1041"/>
      <c r="AX55" s="1041"/>
    </row>
    <row r="56" spans="1:50" ht="15" customHeight="1">
      <c r="E56" s="1041"/>
      <c r="F56" s="1041"/>
      <c r="G56" s="1041"/>
      <c r="H56" s="1041"/>
      <c r="I56" s="1041"/>
      <c r="J56" s="1041"/>
      <c r="K56" s="1041"/>
      <c r="L56" s="1041"/>
      <c r="M56" s="1041"/>
      <c r="N56" s="1041"/>
      <c r="O56" s="1041"/>
      <c r="P56" s="1041"/>
      <c r="Q56" s="1041"/>
      <c r="R56" s="1041"/>
      <c r="S56" s="1041"/>
      <c r="T56" s="1041"/>
      <c r="U56" s="1041"/>
      <c r="V56" s="1041"/>
      <c r="W56" s="1041"/>
      <c r="X56" s="1041"/>
      <c r="Y56" s="1041"/>
      <c r="Z56" s="1041"/>
      <c r="AA56" s="1041"/>
      <c r="AB56" s="1041"/>
      <c r="AC56" s="1041"/>
      <c r="AD56" s="1041"/>
      <c r="AE56" s="1041"/>
      <c r="AF56" s="1041"/>
      <c r="AG56" s="1041"/>
      <c r="AH56" s="1041"/>
      <c r="AI56" s="1041"/>
      <c r="AJ56" s="1041"/>
      <c r="AK56" s="1041"/>
      <c r="AL56" s="1041"/>
      <c r="AM56" s="1041"/>
      <c r="AN56" s="1041"/>
      <c r="AO56" s="1041"/>
      <c r="AP56" s="1041"/>
      <c r="AQ56" s="1041"/>
      <c r="AR56" s="1041"/>
      <c r="AS56" s="1041"/>
      <c r="AT56" s="1041"/>
      <c r="AU56" s="1041"/>
      <c r="AV56" s="1041"/>
      <c r="AW56" s="1041"/>
      <c r="AX56" s="1041"/>
    </row>
    <row r="57" spans="1:50" ht="15" customHeight="1">
      <c r="E57" s="1041"/>
      <c r="F57" s="1041"/>
      <c r="G57" s="1041"/>
      <c r="H57" s="1041"/>
      <c r="I57" s="1041"/>
      <c r="J57" s="1041"/>
      <c r="K57" s="1041"/>
      <c r="L57" s="1041"/>
      <c r="M57" s="1041"/>
      <c r="N57" s="1041"/>
      <c r="O57" s="1041"/>
      <c r="P57" s="1041"/>
      <c r="Q57" s="1041"/>
      <c r="R57" s="1041"/>
      <c r="S57" s="1041"/>
      <c r="T57" s="1041"/>
      <c r="U57" s="1041"/>
      <c r="V57" s="1041"/>
      <c r="W57" s="1041"/>
      <c r="X57" s="1041"/>
      <c r="Y57" s="1041"/>
      <c r="Z57" s="1041"/>
      <c r="AA57" s="1041"/>
      <c r="AB57" s="1041"/>
      <c r="AC57" s="1041"/>
      <c r="AD57" s="1041"/>
      <c r="AE57" s="1041"/>
      <c r="AF57" s="1041"/>
      <c r="AG57" s="1041"/>
      <c r="AH57" s="1041"/>
      <c r="AI57" s="1041"/>
      <c r="AJ57" s="1041"/>
      <c r="AK57" s="1041"/>
      <c r="AL57" s="1041"/>
      <c r="AM57" s="1041"/>
      <c r="AN57" s="1041"/>
      <c r="AO57" s="1041"/>
      <c r="AP57" s="1041"/>
      <c r="AQ57" s="1041"/>
      <c r="AR57" s="1041"/>
      <c r="AS57" s="1041"/>
      <c r="AT57" s="1041"/>
      <c r="AU57" s="1041"/>
      <c r="AV57" s="1041"/>
      <c r="AW57" s="1041"/>
      <c r="AX57" s="1041"/>
    </row>
    <row r="58" spans="1:50" ht="15" customHeight="1">
      <c r="E58" s="1041"/>
      <c r="F58" s="1041"/>
      <c r="G58" s="1041"/>
      <c r="H58" s="1041"/>
      <c r="I58" s="1041"/>
      <c r="J58" s="1041"/>
      <c r="K58" s="1041"/>
      <c r="L58" s="1041"/>
      <c r="M58" s="1041"/>
      <c r="N58" s="1041"/>
      <c r="O58" s="1041"/>
      <c r="P58" s="1041"/>
      <c r="Q58" s="1041"/>
      <c r="R58" s="1041"/>
      <c r="S58" s="1041"/>
      <c r="T58" s="1041"/>
      <c r="U58" s="1041"/>
      <c r="V58" s="1041"/>
      <c r="W58" s="1041"/>
      <c r="X58" s="1041"/>
      <c r="Y58" s="1041"/>
      <c r="Z58" s="1041"/>
      <c r="AA58" s="1041"/>
      <c r="AB58" s="1041"/>
      <c r="AC58" s="1041"/>
      <c r="AD58" s="1041"/>
      <c r="AE58" s="1041"/>
      <c r="AF58" s="1041"/>
      <c r="AG58" s="1041"/>
      <c r="AH58" s="1041"/>
      <c r="AI58" s="1041"/>
      <c r="AJ58" s="1041"/>
      <c r="AK58" s="1041"/>
      <c r="AL58" s="1041"/>
      <c r="AM58" s="1041"/>
      <c r="AN58" s="1041"/>
      <c r="AO58" s="1041"/>
      <c r="AP58" s="1041"/>
      <c r="AQ58" s="1041"/>
      <c r="AR58" s="1041"/>
      <c r="AS58" s="1041"/>
      <c r="AT58" s="1041"/>
      <c r="AU58" s="1041"/>
      <c r="AV58" s="1041"/>
      <c r="AW58" s="1041"/>
      <c r="AX58" s="1041"/>
    </row>
    <row r="59" spans="1:50" ht="15" customHeight="1">
      <c r="E59" s="1041"/>
      <c r="F59" s="1041"/>
      <c r="G59" s="1041"/>
      <c r="H59" s="1041"/>
      <c r="I59" s="1041"/>
      <c r="J59" s="1041"/>
      <c r="K59" s="1041"/>
      <c r="L59" s="1041"/>
      <c r="M59" s="1041"/>
      <c r="N59" s="1041"/>
      <c r="O59" s="1041"/>
      <c r="P59" s="1041"/>
      <c r="Q59" s="1041"/>
      <c r="R59" s="1041"/>
      <c r="S59" s="1041"/>
      <c r="T59" s="1041"/>
      <c r="U59" s="1041"/>
      <c r="V59" s="1041"/>
      <c r="W59" s="1041"/>
      <c r="X59" s="1041"/>
      <c r="Y59" s="1041"/>
      <c r="Z59" s="1041"/>
      <c r="AA59" s="1041"/>
      <c r="AB59" s="1041"/>
      <c r="AC59" s="1041"/>
      <c r="AD59" s="1041"/>
      <c r="AE59" s="1041"/>
      <c r="AF59" s="1041"/>
      <c r="AG59" s="1041"/>
      <c r="AH59" s="1041"/>
      <c r="AI59" s="1041"/>
      <c r="AJ59" s="1041"/>
      <c r="AK59" s="1041"/>
      <c r="AL59" s="1041"/>
      <c r="AM59" s="1041"/>
      <c r="AN59" s="1041"/>
      <c r="AO59" s="1041"/>
      <c r="AP59" s="1041"/>
      <c r="AQ59" s="1041"/>
      <c r="AR59" s="1041"/>
      <c r="AS59" s="1041"/>
      <c r="AT59" s="1041"/>
      <c r="AU59" s="1041"/>
      <c r="AV59" s="1041"/>
      <c r="AW59" s="1041"/>
      <c r="AX59" s="1041"/>
    </row>
    <row r="60" spans="1:50" ht="15" customHeight="1">
      <c r="E60" s="1041"/>
      <c r="F60" s="1041"/>
      <c r="G60" s="1041"/>
      <c r="H60" s="1041"/>
      <c r="I60" s="1041"/>
      <c r="J60" s="1041"/>
      <c r="K60" s="1041"/>
      <c r="L60" s="1041"/>
      <c r="M60" s="1041"/>
      <c r="N60" s="1041"/>
      <c r="O60" s="1041"/>
      <c r="P60" s="1041"/>
      <c r="Q60" s="1041"/>
      <c r="R60" s="1041"/>
      <c r="S60" s="1041"/>
      <c r="T60" s="1041"/>
      <c r="U60" s="1041"/>
      <c r="V60" s="1041"/>
      <c r="W60" s="1041"/>
      <c r="X60" s="1041"/>
      <c r="Y60" s="1041"/>
      <c r="Z60" s="1041"/>
      <c r="AA60" s="1041"/>
      <c r="AB60" s="1041"/>
      <c r="AC60" s="1041"/>
      <c r="AD60" s="1041"/>
      <c r="AE60" s="1041"/>
      <c r="AF60" s="1041"/>
      <c r="AG60" s="1041"/>
      <c r="AH60" s="1041"/>
      <c r="AI60" s="1041"/>
      <c r="AJ60" s="1041"/>
      <c r="AK60" s="1041"/>
      <c r="AL60" s="1041"/>
      <c r="AM60" s="1041"/>
      <c r="AN60" s="1041"/>
      <c r="AO60" s="1041"/>
      <c r="AP60" s="1041"/>
      <c r="AQ60" s="1041"/>
      <c r="AR60" s="1041"/>
      <c r="AS60" s="1041"/>
      <c r="AT60" s="1041"/>
      <c r="AU60" s="1041"/>
      <c r="AV60" s="1041"/>
      <c r="AW60" s="1041"/>
      <c r="AX60" s="1041"/>
    </row>
    <row r="61" spans="1:50" ht="15" customHeight="1">
      <c r="E61" s="1041"/>
      <c r="F61" s="1041"/>
      <c r="G61" s="1041"/>
      <c r="H61" s="1041"/>
      <c r="I61" s="1041"/>
      <c r="J61" s="1041"/>
      <c r="K61" s="1041"/>
      <c r="L61" s="1041"/>
      <c r="M61" s="1041"/>
      <c r="N61" s="1041"/>
      <c r="O61" s="1041"/>
      <c r="P61" s="1041"/>
      <c r="Q61" s="1041"/>
      <c r="R61" s="1041"/>
      <c r="S61" s="1041"/>
      <c r="T61" s="1041"/>
      <c r="U61" s="1041"/>
      <c r="V61" s="1041"/>
      <c r="W61" s="1041"/>
      <c r="X61" s="1041"/>
      <c r="Y61" s="1041"/>
      <c r="Z61" s="1041"/>
      <c r="AA61" s="1041"/>
      <c r="AB61" s="1041"/>
      <c r="AC61" s="1041"/>
      <c r="AD61" s="1041"/>
      <c r="AE61" s="1041"/>
      <c r="AF61" s="1041"/>
      <c r="AG61" s="1041"/>
      <c r="AH61" s="1041"/>
      <c r="AI61" s="1041"/>
      <c r="AJ61" s="1041"/>
      <c r="AK61" s="1041"/>
      <c r="AL61" s="1041"/>
      <c r="AM61" s="1041"/>
      <c r="AN61" s="1041"/>
      <c r="AO61" s="1041"/>
      <c r="AP61" s="1041"/>
      <c r="AQ61" s="1041"/>
      <c r="AR61" s="1041"/>
      <c r="AS61" s="1041"/>
      <c r="AT61" s="1041"/>
      <c r="AU61" s="1041"/>
      <c r="AV61" s="1041"/>
      <c r="AW61" s="1041"/>
      <c r="AX61" s="1041"/>
    </row>
    <row r="62" spans="1:50" ht="15" customHeight="1">
      <c r="E62" s="1041"/>
      <c r="F62" s="1041"/>
      <c r="G62" s="1041"/>
      <c r="H62" s="1041"/>
      <c r="I62" s="1041"/>
      <c r="J62" s="1041"/>
      <c r="K62" s="1041"/>
      <c r="L62" s="1041"/>
      <c r="M62" s="1041"/>
      <c r="N62" s="1041"/>
      <c r="O62" s="1041"/>
      <c r="P62" s="1041"/>
      <c r="Q62" s="1041"/>
      <c r="R62" s="1041"/>
      <c r="S62" s="1041"/>
      <c r="T62" s="1041"/>
      <c r="U62" s="1041"/>
      <c r="V62" s="1041"/>
      <c r="W62" s="1041"/>
      <c r="X62" s="1041"/>
      <c r="Y62" s="1041"/>
      <c r="Z62" s="1041"/>
      <c r="AA62" s="1041"/>
      <c r="AB62" s="1041"/>
      <c r="AC62" s="1041"/>
      <c r="AD62" s="1041"/>
      <c r="AE62" s="1041"/>
      <c r="AF62" s="1041"/>
      <c r="AG62" s="1041"/>
      <c r="AH62" s="1041"/>
      <c r="AI62" s="1041"/>
      <c r="AJ62" s="1041"/>
      <c r="AK62" s="1041"/>
      <c r="AL62" s="1041"/>
      <c r="AM62" s="1041"/>
      <c r="AN62" s="1041"/>
      <c r="AO62" s="1041"/>
      <c r="AP62" s="1041"/>
      <c r="AQ62" s="1041"/>
      <c r="AR62" s="1041"/>
      <c r="AS62" s="1041"/>
      <c r="AT62" s="1041"/>
      <c r="AU62" s="1041"/>
      <c r="AV62" s="1041"/>
      <c r="AW62" s="1041"/>
      <c r="AX62" s="1041"/>
    </row>
    <row r="63" spans="1:50" ht="15" customHeight="1">
      <c r="E63" s="1041"/>
      <c r="F63" s="1041"/>
      <c r="G63" s="1041"/>
      <c r="H63" s="1041"/>
      <c r="I63" s="1041"/>
      <c r="J63" s="1041"/>
      <c r="K63" s="1041"/>
      <c r="L63" s="1041"/>
      <c r="M63" s="1041"/>
      <c r="N63" s="1041"/>
      <c r="O63" s="1041"/>
      <c r="P63" s="1041"/>
      <c r="Q63" s="1041"/>
      <c r="R63" s="1041"/>
      <c r="S63" s="1041"/>
      <c r="T63" s="1041"/>
      <c r="U63" s="1041"/>
      <c r="V63" s="1041"/>
      <c r="W63" s="1041"/>
      <c r="X63" s="1041"/>
      <c r="Y63" s="1041"/>
      <c r="Z63" s="1041"/>
      <c r="AA63" s="1041"/>
      <c r="AB63" s="1041"/>
      <c r="AC63" s="1041"/>
      <c r="AD63" s="1041"/>
      <c r="AE63" s="1041"/>
      <c r="AF63" s="1041"/>
      <c r="AG63" s="1041"/>
      <c r="AH63" s="1041"/>
      <c r="AI63" s="1041"/>
      <c r="AJ63" s="1041"/>
      <c r="AK63" s="1041"/>
      <c r="AL63" s="1041"/>
      <c r="AM63" s="1041"/>
      <c r="AN63" s="1041"/>
      <c r="AO63" s="1041"/>
      <c r="AP63" s="1041"/>
      <c r="AQ63" s="1041"/>
      <c r="AR63" s="1041"/>
      <c r="AS63" s="1041"/>
      <c r="AT63" s="1041"/>
      <c r="AU63" s="1041"/>
      <c r="AV63" s="1041"/>
      <c r="AW63" s="1041"/>
      <c r="AX63" s="1041"/>
    </row>
    <row r="64" spans="1:50" ht="15" customHeight="1">
      <c r="E64" s="1041"/>
      <c r="F64" s="1041"/>
      <c r="G64" s="1041"/>
      <c r="H64" s="1041"/>
      <c r="I64" s="1041"/>
      <c r="J64" s="1041"/>
      <c r="K64" s="1041"/>
      <c r="L64" s="1041"/>
      <c r="M64" s="1041"/>
      <c r="N64" s="1041"/>
      <c r="O64" s="1041"/>
      <c r="P64" s="1041"/>
      <c r="Q64" s="1041"/>
      <c r="R64" s="1041"/>
      <c r="S64" s="1041"/>
      <c r="T64" s="1041"/>
      <c r="U64" s="1041"/>
      <c r="V64" s="1041"/>
      <c r="W64" s="1041"/>
      <c r="X64" s="1041"/>
      <c r="Y64" s="1041"/>
      <c r="Z64" s="1041"/>
      <c r="AA64" s="1041"/>
      <c r="AB64" s="1041"/>
      <c r="AC64" s="1041"/>
      <c r="AD64" s="1041"/>
      <c r="AE64" s="1041"/>
      <c r="AF64" s="1041"/>
      <c r="AG64" s="1041"/>
      <c r="AH64" s="1041"/>
      <c r="AI64" s="1041"/>
      <c r="AJ64" s="1041"/>
      <c r="AK64" s="1041"/>
      <c r="AL64" s="1041"/>
      <c r="AM64" s="1041"/>
      <c r="AN64" s="1041"/>
      <c r="AO64" s="1041"/>
      <c r="AP64" s="1041"/>
      <c r="AQ64" s="1041"/>
      <c r="AR64" s="1041"/>
      <c r="AS64" s="1041"/>
      <c r="AT64" s="1041"/>
      <c r="AU64" s="1041"/>
      <c r="AV64" s="1041"/>
      <c r="AW64" s="1041"/>
      <c r="AX64" s="1041"/>
    </row>
    <row r="65" spans="1:50" ht="15" customHeight="1">
      <c r="E65" s="1041"/>
      <c r="F65" s="1041"/>
      <c r="G65" s="1041"/>
      <c r="H65" s="1041"/>
      <c r="I65" s="1041"/>
      <c r="J65" s="1041"/>
      <c r="K65" s="1041"/>
      <c r="L65" s="1041"/>
      <c r="M65" s="1041"/>
      <c r="N65" s="1041"/>
      <c r="O65" s="1041"/>
      <c r="P65" s="1041"/>
      <c r="Q65" s="1041"/>
      <c r="R65" s="1041"/>
      <c r="S65" s="1041"/>
      <c r="T65" s="1041"/>
      <c r="U65" s="1041"/>
      <c r="V65" s="1041"/>
      <c r="W65" s="1041"/>
      <c r="X65" s="1041"/>
      <c r="Y65" s="1041"/>
      <c r="Z65" s="1041"/>
      <c r="AA65" s="1041"/>
      <c r="AB65" s="1041"/>
      <c r="AC65" s="1041"/>
      <c r="AD65" s="1041"/>
      <c r="AE65" s="1041"/>
      <c r="AF65" s="1041"/>
      <c r="AG65" s="1041"/>
      <c r="AH65" s="1041"/>
      <c r="AI65" s="1041"/>
      <c r="AJ65" s="1041"/>
      <c r="AK65" s="1041"/>
      <c r="AL65" s="1041"/>
      <c r="AM65" s="1041"/>
      <c r="AN65" s="1041"/>
      <c r="AO65" s="1041"/>
      <c r="AP65" s="1041"/>
      <c r="AQ65" s="1041"/>
      <c r="AR65" s="1041"/>
      <c r="AS65" s="1041"/>
      <c r="AT65" s="1041"/>
      <c r="AU65" s="1041"/>
      <c r="AV65" s="1041"/>
      <c r="AW65" s="1041"/>
      <c r="AX65" s="1041"/>
    </row>
    <row r="66" spans="1:50" ht="15" customHeight="1">
      <c r="E66" s="1041"/>
      <c r="F66" s="1041"/>
      <c r="G66" s="1041"/>
      <c r="H66" s="1041"/>
      <c r="I66" s="1041"/>
      <c r="J66" s="1041"/>
      <c r="K66" s="1041"/>
      <c r="L66" s="1041"/>
      <c r="M66" s="1041"/>
      <c r="N66" s="1041"/>
      <c r="O66" s="1041"/>
      <c r="P66" s="1041"/>
      <c r="Q66" s="1041"/>
      <c r="R66" s="1041"/>
      <c r="S66" s="1041"/>
      <c r="T66" s="1041"/>
      <c r="U66" s="1041"/>
      <c r="V66" s="1041"/>
      <c r="W66" s="1041"/>
      <c r="X66" s="1041"/>
      <c r="Y66" s="1041"/>
      <c r="Z66" s="1041"/>
      <c r="AA66" s="1041"/>
      <c r="AB66" s="1041"/>
      <c r="AC66" s="1041"/>
      <c r="AD66" s="1041"/>
      <c r="AE66" s="1041"/>
      <c r="AF66" s="1041"/>
      <c r="AG66" s="1041"/>
      <c r="AH66" s="1041"/>
      <c r="AI66" s="1041"/>
      <c r="AJ66" s="1041"/>
      <c r="AK66" s="1041"/>
      <c r="AL66" s="1041"/>
      <c r="AM66" s="1041"/>
      <c r="AN66" s="1041"/>
      <c r="AO66" s="1041"/>
      <c r="AP66" s="1041"/>
      <c r="AQ66" s="1041"/>
      <c r="AR66" s="1041"/>
      <c r="AS66" s="1041"/>
      <c r="AT66" s="1041"/>
      <c r="AU66" s="1041"/>
      <c r="AV66" s="1041"/>
      <c r="AW66" s="1041"/>
      <c r="AX66" s="1041"/>
    </row>
    <row r="67" spans="1:50" ht="15" customHeight="1">
      <c r="E67" s="1041"/>
      <c r="F67" s="1041"/>
      <c r="G67" s="1041"/>
      <c r="H67" s="1041"/>
      <c r="I67" s="1041"/>
      <c r="J67" s="1041"/>
      <c r="K67" s="1041"/>
      <c r="L67" s="1041"/>
      <c r="M67" s="1041"/>
      <c r="N67" s="1041"/>
      <c r="O67" s="1041"/>
      <c r="P67" s="1041"/>
      <c r="Q67" s="1041"/>
      <c r="R67" s="1041"/>
      <c r="S67" s="1041"/>
      <c r="T67" s="1041"/>
      <c r="U67" s="1041"/>
      <c r="V67" s="1041"/>
      <c r="W67" s="1041"/>
      <c r="X67" s="1041"/>
      <c r="Y67" s="1041"/>
      <c r="Z67" s="1041"/>
      <c r="AA67" s="1041"/>
      <c r="AB67" s="1041"/>
      <c r="AC67" s="1041"/>
      <c r="AD67" s="1041"/>
      <c r="AE67" s="1041"/>
      <c r="AF67" s="1041"/>
      <c r="AG67" s="1041"/>
      <c r="AH67" s="1041"/>
      <c r="AI67" s="1041"/>
      <c r="AJ67" s="1041"/>
      <c r="AK67" s="1041"/>
      <c r="AL67" s="1041"/>
      <c r="AM67" s="1041"/>
      <c r="AN67" s="1041"/>
      <c r="AO67" s="1041"/>
      <c r="AP67" s="1041"/>
      <c r="AQ67" s="1041"/>
      <c r="AR67" s="1041"/>
      <c r="AS67" s="1041"/>
      <c r="AT67" s="1041"/>
      <c r="AU67" s="1041"/>
      <c r="AV67" s="1041"/>
      <c r="AW67" s="1041"/>
      <c r="AX67" s="1041"/>
    </row>
    <row r="68" spans="1:50" ht="15" customHeight="1">
      <c r="E68" s="1041"/>
      <c r="F68" s="1041"/>
      <c r="G68" s="1041"/>
      <c r="H68" s="1041"/>
      <c r="I68" s="1041"/>
      <c r="J68" s="1041"/>
      <c r="K68" s="1041"/>
      <c r="L68" s="1041"/>
      <c r="M68" s="1041"/>
      <c r="N68" s="1041"/>
      <c r="O68" s="1041"/>
      <c r="P68" s="1041"/>
      <c r="Q68" s="1041"/>
      <c r="R68" s="1041"/>
      <c r="S68" s="1041"/>
      <c r="T68" s="1041"/>
      <c r="U68" s="1041"/>
      <c r="V68" s="1041"/>
      <c r="W68" s="1041"/>
      <c r="X68" s="1041"/>
      <c r="Y68" s="1041"/>
      <c r="Z68" s="1041"/>
      <c r="AA68" s="1041"/>
      <c r="AB68" s="1041"/>
      <c r="AC68" s="1041"/>
      <c r="AD68" s="1041"/>
      <c r="AE68" s="1041"/>
      <c r="AF68" s="1041"/>
      <c r="AG68" s="1041"/>
      <c r="AH68" s="1041"/>
      <c r="AI68" s="1041"/>
      <c r="AJ68" s="1041"/>
      <c r="AK68" s="1041"/>
      <c r="AL68" s="1041"/>
      <c r="AM68" s="1041"/>
      <c r="AN68" s="1041"/>
      <c r="AO68" s="1041"/>
      <c r="AP68" s="1041"/>
      <c r="AQ68" s="1041"/>
      <c r="AR68" s="1041"/>
      <c r="AS68" s="1041"/>
      <c r="AT68" s="1041"/>
      <c r="AU68" s="1041"/>
      <c r="AV68" s="1041"/>
      <c r="AW68" s="1041"/>
      <c r="AX68" s="1041"/>
    </row>
    <row r="69" spans="1:50" ht="15" customHeight="1">
      <c r="E69" s="1041"/>
      <c r="F69" s="1041"/>
      <c r="G69" s="1041"/>
      <c r="H69" s="1041"/>
      <c r="I69" s="1041"/>
      <c r="J69" s="1041"/>
      <c r="K69" s="1041"/>
      <c r="L69" s="1041"/>
      <c r="M69" s="1041"/>
      <c r="N69" s="1041"/>
      <c r="O69" s="1041"/>
      <c r="P69" s="1041"/>
      <c r="Q69" s="1041"/>
      <c r="R69" s="1041"/>
      <c r="S69" s="1041"/>
      <c r="T69" s="1041"/>
      <c r="U69" s="1041"/>
      <c r="V69" s="1041"/>
      <c r="W69" s="1041"/>
      <c r="X69" s="1041"/>
      <c r="Y69" s="1041"/>
      <c r="Z69" s="1041"/>
      <c r="AA69" s="1041"/>
      <c r="AB69" s="1041"/>
      <c r="AC69" s="1041"/>
      <c r="AD69" s="1041"/>
      <c r="AE69" s="1041"/>
      <c r="AF69" s="1041"/>
      <c r="AG69" s="1041"/>
      <c r="AH69" s="1041"/>
      <c r="AI69" s="1041"/>
      <c r="AJ69" s="1041"/>
      <c r="AK69" s="1041"/>
      <c r="AL69" s="1041"/>
      <c r="AM69" s="1041"/>
      <c r="AN69" s="1041"/>
      <c r="AO69" s="1041"/>
      <c r="AP69" s="1041"/>
      <c r="AQ69" s="1041"/>
      <c r="AR69" s="1041"/>
      <c r="AS69" s="1041"/>
      <c r="AT69" s="1041"/>
      <c r="AU69" s="1041"/>
      <c r="AV69" s="1041"/>
      <c r="AW69" s="1041"/>
      <c r="AX69" s="1041"/>
    </row>
    <row r="70" spans="1:50" ht="15" customHeight="1">
      <c r="E70" s="1041"/>
      <c r="F70" s="1041"/>
      <c r="G70" s="1041"/>
      <c r="H70" s="1041"/>
      <c r="I70" s="1041"/>
      <c r="J70" s="1041"/>
      <c r="K70" s="1041"/>
      <c r="L70" s="1041"/>
      <c r="M70" s="1041"/>
      <c r="N70" s="1041"/>
      <c r="O70" s="1041"/>
      <c r="P70" s="1041"/>
      <c r="Q70" s="1041"/>
      <c r="R70" s="1041"/>
      <c r="S70" s="1041"/>
      <c r="T70" s="1041"/>
      <c r="U70" s="1041"/>
      <c r="V70" s="1041"/>
      <c r="W70" s="1041"/>
      <c r="X70" s="1041"/>
      <c r="Y70" s="1041"/>
      <c r="Z70" s="1041"/>
      <c r="AA70" s="1041"/>
      <c r="AB70" s="1041"/>
      <c r="AC70" s="1041"/>
      <c r="AD70" s="1041"/>
      <c r="AE70" s="1041"/>
      <c r="AF70" s="1041"/>
      <c r="AG70" s="1041"/>
      <c r="AH70" s="1041"/>
      <c r="AI70" s="1041"/>
      <c r="AJ70" s="1041"/>
      <c r="AK70" s="1041"/>
      <c r="AL70" s="1041"/>
      <c r="AM70" s="1041"/>
      <c r="AN70" s="1041"/>
      <c r="AO70" s="1041"/>
      <c r="AP70" s="1041"/>
      <c r="AQ70" s="1041"/>
      <c r="AR70" s="1041"/>
      <c r="AS70" s="1041"/>
      <c r="AT70" s="1041"/>
      <c r="AU70" s="1041"/>
      <c r="AV70" s="1041"/>
      <c r="AW70" s="1041"/>
      <c r="AX70" s="1041"/>
    </row>
    <row r="71" spans="1:50" ht="15" customHeight="1">
      <c r="E71" s="1041"/>
      <c r="F71" s="1041"/>
      <c r="G71" s="1041"/>
      <c r="H71" s="1041"/>
      <c r="I71" s="1041"/>
      <c r="J71" s="1041"/>
      <c r="K71" s="1041"/>
      <c r="L71" s="1041"/>
      <c r="M71" s="1041"/>
      <c r="N71" s="1041"/>
      <c r="O71" s="1041"/>
      <c r="P71" s="1041"/>
      <c r="Q71" s="1041"/>
      <c r="R71" s="1041"/>
      <c r="S71" s="1041"/>
      <c r="T71" s="1041"/>
      <c r="U71" s="1041"/>
      <c r="V71" s="1041"/>
      <c r="W71" s="1041"/>
      <c r="X71" s="1041"/>
      <c r="Y71" s="1041"/>
      <c r="Z71" s="1041"/>
      <c r="AA71" s="1041"/>
      <c r="AB71" s="1041"/>
      <c r="AC71" s="1041"/>
      <c r="AD71" s="1041"/>
      <c r="AE71" s="1041"/>
      <c r="AF71" s="1041"/>
      <c r="AG71" s="1041"/>
      <c r="AH71" s="1041"/>
      <c r="AI71" s="1041"/>
      <c r="AJ71" s="1041"/>
      <c r="AK71" s="1041"/>
      <c r="AL71" s="1041"/>
      <c r="AM71" s="1041"/>
      <c r="AN71" s="1041"/>
      <c r="AO71" s="1041"/>
      <c r="AP71" s="1041"/>
      <c r="AQ71" s="1041"/>
      <c r="AR71" s="1041"/>
      <c r="AS71" s="1041"/>
      <c r="AT71" s="1041"/>
      <c r="AU71" s="1041"/>
      <c r="AV71" s="1041"/>
      <c r="AW71" s="1041"/>
      <c r="AX71" s="1041"/>
    </row>
    <row r="72" spans="1:50" ht="15" customHeight="1">
      <c r="E72" s="1041"/>
      <c r="F72" s="1041"/>
      <c r="G72" s="1041"/>
      <c r="H72" s="1041"/>
      <c r="I72" s="1041"/>
      <c r="J72" s="1041"/>
      <c r="K72" s="1041"/>
      <c r="L72" s="1041"/>
      <c r="M72" s="1041"/>
      <c r="N72" s="1041"/>
      <c r="O72" s="1041"/>
      <c r="P72" s="1041"/>
      <c r="Q72" s="1041"/>
      <c r="R72" s="1041"/>
      <c r="S72" s="1041"/>
      <c r="T72" s="1041"/>
      <c r="U72" s="1041"/>
      <c r="V72" s="1041"/>
      <c r="W72" s="1041"/>
      <c r="X72" s="1041"/>
      <c r="Y72" s="1041"/>
      <c r="Z72" s="1041"/>
      <c r="AA72" s="1041"/>
      <c r="AB72" s="1041"/>
      <c r="AC72" s="1041"/>
      <c r="AD72" s="1041"/>
      <c r="AE72" s="1041"/>
      <c r="AF72" s="1041"/>
      <c r="AG72" s="1041"/>
      <c r="AH72" s="1041"/>
      <c r="AI72" s="1041"/>
      <c r="AJ72" s="1041"/>
      <c r="AK72" s="1041"/>
      <c r="AL72" s="1041"/>
      <c r="AM72" s="1041"/>
      <c r="AN72" s="1041"/>
      <c r="AO72" s="1041"/>
      <c r="AP72" s="1041"/>
      <c r="AQ72" s="1041"/>
      <c r="AR72" s="1041"/>
      <c r="AS72" s="1041"/>
      <c r="AT72" s="1041"/>
      <c r="AU72" s="1041"/>
      <c r="AV72" s="1041"/>
      <c r="AW72" s="1041"/>
      <c r="AX72" s="1041"/>
    </row>
    <row r="73" spans="1:50" ht="15" customHeight="1">
      <c r="E73" s="1041"/>
      <c r="F73" s="1041"/>
      <c r="G73" s="1041"/>
      <c r="H73" s="1041"/>
      <c r="I73" s="1041"/>
      <c r="J73" s="1041"/>
      <c r="K73" s="1041"/>
      <c r="L73" s="1041"/>
      <c r="M73" s="1041"/>
      <c r="N73" s="1041"/>
      <c r="O73" s="1041"/>
      <c r="P73" s="1041"/>
      <c r="Q73" s="1041"/>
      <c r="R73" s="1041"/>
      <c r="S73" s="1041"/>
      <c r="T73" s="1041"/>
      <c r="U73" s="1041"/>
      <c r="V73" s="1041"/>
      <c r="W73" s="1041"/>
      <c r="X73" s="1041"/>
      <c r="Y73" s="1041"/>
      <c r="Z73" s="1041"/>
      <c r="AA73" s="1041"/>
      <c r="AB73" s="1041"/>
      <c r="AC73" s="1041"/>
      <c r="AD73" s="1041"/>
      <c r="AE73" s="1041"/>
      <c r="AF73" s="1041"/>
      <c r="AG73" s="1041"/>
      <c r="AH73" s="1041"/>
      <c r="AI73" s="1041"/>
      <c r="AJ73" s="1041"/>
      <c r="AK73" s="1041"/>
      <c r="AL73" s="1041"/>
      <c r="AM73" s="1041"/>
      <c r="AN73" s="1041"/>
      <c r="AO73" s="1041"/>
      <c r="AP73" s="1041"/>
      <c r="AQ73" s="1041"/>
      <c r="AR73" s="1041"/>
      <c r="AS73" s="1041"/>
      <c r="AT73" s="1041"/>
      <c r="AU73" s="1041"/>
      <c r="AV73" s="1041"/>
      <c r="AW73" s="1041"/>
      <c r="AX73" s="1041"/>
    </row>
    <row r="74" spans="1:50" ht="15" customHeight="1">
      <c r="E74" s="1041"/>
      <c r="F74" s="1041"/>
      <c r="G74" s="1041"/>
      <c r="H74" s="1041"/>
      <c r="I74" s="1041"/>
      <c r="J74" s="1041"/>
      <c r="K74" s="1041"/>
      <c r="L74" s="1041"/>
      <c r="M74" s="1041"/>
      <c r="N74" s="1041"/>
      <c r="O74" s="1041"/>
      <c r="P74" s="1041"/>
      <c r="Q74" s="1041"/>
      <c r="R74" s="1041"/>
      <c r="S74" s="1041"/>
      <c r="T74" s="1041"/>
      <c r="U74" s="1041"/>
      <c r="V74" s="1041"/>
      <c r="W74" s="1041"/>
      <c r="X74" s="1041"/>
      <c r="Y74" s="1041"/>
      <c r="Z74" s="1041"/>
      <c r="AA74" s="1041"/>
      <c r="AB74" s="1041"/>
      <c r="AC74" s="1041"/>
      <c r="AD74" s="1041"/>
      <c r="AE74" s="1041"/>
      <c r="AF74" s="1041"/>
      <c r="AG74" s="1041"/>
      <c r="AH74" s="1041"/>
      <c r="AI74" s="1041"/>
      <c r="AJ74" s="1041"/>
      <c r="AK74" s="1041"/>
      <c r="AL74" s="1041"/>
      <c r="AM74" s="1041"/>
      <c r="AN74" s="1041"/>
      <c r="AO74" s="1041"/>
      <c r="AP74" s="1041"/>
      <c r="AQ74" s="1041"/>
      <c r="AR74" s="1041"/>
      <c r="AS74" s="1041"/>
      <c r="AT74" s="1041"/>
      <c r="AU74" s="1041"/>
      <c r="AV74" s="1041"/>
      <c r="AW74" s="1041"/>
      <c r="AX74" s="1041"/>
    </row>
    <row r="75" spans="1:50" ht="15" customHeight="1">
      <c r="E75" s="1041"/>
      <c r="F75" s="1041"/>
      <c r="G75" s="1041"/>
      <c r="H75" s="1041"/>
      <c r="I75" s="1041"/>
      <c r="J75" s="1041"/>
      <c r="K75" s="1041"/>
      <c r="L75" s="1041"/>
      <c r="M75" s="1041"/>
      <c r="N75" s="1041"/>
      <c r="O75" s="1041"/>
      <c r="P75" s="1041"/>
      <c r="Q75" s="1041"/>
      <c r="R75" s="1041"/>
      <c r="S75" s="1041"/>
      <c r="T75" s="1041"/>
      <c r="U75" s="1041"/>
      <c r="V75" s="1041"/>
      <c r="W75" s="1041"/>
      <c r="X75" s="1041"/>
      <c r="Y75" s="1041"/>
      <c r="Z75" s="1041"/>
      <c r="AA75" s="1041"/>
      <c r="AB75" s="1041"/>
      <c r="AC75" s="1041"/>
      <c r="AD75" s="1041"/>
      <c r="AE75" s="1041"/>
      <c r="AF75" s="1041"/>
      <c r="AG75" s="1041"/>
      <c r="AH75" s="1041"/>
      <c r="AI75" s="1041"/>
      <c r="AJ75" s="1041"/>
      <c r="AK75" s="1041"/>
      <c r="AL75" s="1041"/>
      <c r="AM75" s="1041"/>
      <c r="AN75" s="1041"/>
      <c r="AO75" s="1041"/>
      <c r="AP75" s="1041"/>
      <c r="AQ75" s="1041"/>
      <c r="AR75" s="1041"/>
      <c r="AS75" s="1041"/>
      <c r="AT75" s="1041"/>
      <c r="AU75" s="1041"/>
      <c r="AV75" s="1041"/>
      <c r="AW75" s="1041"/>
      <c r="AX75" s="1041"/>
    </row>
    <row r="76" spans="1:50" ht="15" customHeight="1">
      <c r="E76" s="1041"/>
      <c r="F76" s="1041"/>
      <c r="G76" s="1041"/>
      <c r="H76" s="1041"/>
      <c r="I76" s="1041"/>
      <c r="J76" s="1041"/>
      <c r="K76" s="1041"/>
      <c r="L76" s="1041"/>
      <c r="M76" s="1041"/>
      <c r="N76" s="1041"/>
      <c r="O76" s="1041"/>
      <c r="P76" s="1041"/>
      <c r="Q76" s="1041"/>
      <c r="R76" s="1041"/>
      <c r="S76" s="1041"/>
      <c r="T76" s="1041"/>
      <c r="U76" s="1041"/>
      <c r="V76" s="1041"/>
      <c r="W76" s="1041"/>
      <c r="X76" s="1041"/>
      <c r="Y76" s="1041"/>
      <c r="Z76" s="1041"/>
      <c r="AA76" s="1041"/>
      <c r="AB76" s="1041"/>
      <c r="AC76" s="1041"/>
      <c r="AD76" s="1041"/>
      <c r="AE76" s="1041"/>
      <c r="AF76" s="1041"/>
      <c r="AG76" s="1041"/>
      <c r="AH76" s="1041"/>
      <c r="AI76" s="1041"/>
      <c r="AJ76" s="1041"/>
      <c r="AK76" s="1041"/>
      <c r="AL76" s="1041"/>
      <c r="AM76" s="1041"/>
      <c r="AN76" s="1041"/>
      <c r="AO76" s="1041"/>
      <c r="AP76" s="1041"/>
      <c r="AQ76" s="1041"/>
      <c r="AR76" s="1041"/>
      <c r="AS76" s="1041"/>
      <c r="AT76" s="1041"/>
      <c r="AU76" s="1041"/>
      <c r="AV76" s="1041"/>
      <c r="AW76" s="1041"/>
      <c r="AX76" s="1041"/>
    </row>
    <row r="77" spans="1:50" ht="15" customHeight="1">
      <c r="E77" s="1041"/>
      <c r="F77" s="1041"/>
      <c r="G77" s="1041"/>
      <c r="H77" s="1041"/>
      <c r="I77" s="1041"/>
      <c r="J77" s="1041"/>
      <c r="K77" s="1041"/>
      <c r="L77" s="1041"/>
      <c r="M77" s="1041"/>
      <c r="N77" s="1041"/>
      <c r="O77" s="1041"/>
      <c r="P77" s="1041"/>
      <c r="Q77" s="1041"/>
      <c r="R77" s="1041"/>
      <c r="S77" s="1041"/>
      <c r="T77" s="1041"/>
      <c r="U77" s="1041"/>
      <c r="V77" s="1041"/>
      <c r="W77" s="1041"/>
      <c r="X77" s="1041"/>
      <c r="Y77" s="1041"/>
      <c r="Z77" s="1041"/>
      <c r="AA77" s="1041"/>
      <c r="AB77" s="1041"/>
      <c r="AC77" s="1041"/>
      <c r="AD77" s="1041"/>
      <c r="AE77" s="1041"/>
      <c r="AF77" s="1041"/>
      <c r="AG77" s="1041"/>
      <c r="AH77" s="1041"/>
      <c r="AI77" s="1041"/>
      <c r="AJ77" s="1041"/>
      <c r="AK77" s="1041"/>
      <c r="AL77" s="1041"/>
      <c r="AM77" s="1041"/>
      <c r="AN77" s="1041"/>
      <c r="AO77" s="1041"/>
      <c r="AP77" s="1041"/>
      <c r="AQ77" s="1041"/>
      <c r="AR77" s="1041"/>
      <c r="AS77" s="1041"/>
      <c r="AT77" s="1041"/>
      <c r="AU77" s="1041"/>
      <c r="AV77" s="1041"/>
      <c r="AW77" s="1041"/>
      <c r="AX77" s="1041"/>
    </row>
    <row r="78" spans="1:50" ht="15" customHeight="1">
      <c r="A78" s="56" t="e">
        <f ca="1">A$1 &amp; ": " &amp; Translate!$E$609</f>
        <v>#VALUE!</v>
      </c>
      <c r="B78" s="86"/>
      <c r="C78" s="86"/>
      <c r="D78" s="86"/>
      <c r="E78" s="88"/>
      <c r="F78" s="86"/>
      <c r="G78" s="86"/>
      <c r="H78" s="86"/>
      <c r="I78" s="86"/>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row>
    <row r="79" spans="1:50" ht="15" customHeight="1">
      <c r="E79" s="1041"/>
      <c r="F79" s="1041"/>
      <c r="G79" s="1041"/>
      <c r="H79" s="1041"/>
      <c r="I79" s="1041"/>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row>
    <row r="80" spans="1:50" ht="15" customHeight="1">
      <c r="A80" s="57"/>
      <c r="B80" s="58"/>
      <c r="C80" s="201"/>
      <c r="D80" s="59"/>
      <c r="E80" s="57"/>
      <c r="F80" s="851" t="str">
        <f xml:space="preserve"> Translate!E$565</f>
        <v>do not delete row</v>
      </c>
      <c r="G80" s="57"/>
      <c r="H80" s="57"/>
      <c r="I80" s="57"/>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row>
    <row r="81" spans="1:50" ht="15" customHeight="1">
      <c r="A81" s="1041"/>
      <c r="B81" s="1041"/>
      <c r="C81" s="1041"/>
      <c r="D81" s="1041"/>
      <c r="E81" s="223" t="str">
        <f xml:space="preserve"> E$41</f>
        <v>Check: First row of project data</v>
      </c>
      <c r="F81" s="29">
        <f xml:space="preserve"> F$41</f>
        <v>0</v>
      </c>
      <c r="G81" s="223" t="str">
        <f xml:space="preserve"> G$41</f>
        <v>Check</v>
      </c>
      <c r="H81" s="1041"/>
      <c r="I81" s="1041"/>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row>
    <row r="82" spans="1:50" ht="15" customHeight="1">
      <c r="A82" s="57"/>
      <c r="B82" s="58"/>
      <c r="C82" s="201"/>
      <c r="D82" s="59"/>
      <c r="E82" s="57"/>
      <c r="F82" s="851" t="str">
        <f xml:space="preserve"> Translate!E$565</f>
        <v>do not delete row</v>
      </c>
      <c r="G82" s="57"/>
      <c r="H82" s="57"/>
      <c r="I82" s="57"/>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row>
    <row r="83" spans="1:50" ht="15" customHeight="1">
      <c r="E83" s="1041" t="e">
        <f ca="1" xml:space="preserve"> Translate!$E$639 &amp; ": " &amp; $A$1</f>
        <v>#VALUE!</v>
      </c>
      <c r="F83" s="62">
        <f xml:space="preserve"> SUM(F80:F82)</f>
        <v>0</v>
      </c>
      <c r="G83" s="1041" t="str">
        <f xml:space="preserve"> Translate!E$444</f>
        <v>Check</v>
      </c>
      <c r="H83" s="1041"/>
      <c r="I83" s="1041"/>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row>
  </sheetData>
  <conditionalFormatting sqref="F83">
    <cfRule type="cellIs" dxfId="37" priority="15" stopIfTrue="1" operator="notEqual">
      <formula>0</formula>
    </cfRule>
    <cfRule type="cellIs" dxfId="36" priority="16" stopIfTrue="1" operator="equal">
      <formula>""</formula>
    </cfRule>
  </conditionalFormatting>
  <conditionalFormatting sqref="F3">
    <cfRule type="cellIs" dxfId="35" priority="11" stopIfTrue="1" operator="notEqual">
      <formula>0</formula>
    </cfRule>
    <cfRule type="cellIs" dxfId="34" priority="12" stopIfTrue="1" operator="equal">
      <formula>""</formula>
    </cfRule>
  </conditionalFormatting>
  <conditionalFormatting sqref="F3">
    <cfRule type="cellIs" dxfId="33" priority="9" stopIfTrue="1" operator="notEqual">
      <formula>0</formula>
    </cfRule>
    <cfRule type="cellIs" dxfId="32" priority="10" stopIfTrue="1" operator="equal">
      <formula>""</formula>
    </cfRule>
  </conditionalFormatting>
  <conditionalFormatting sqref="F41">
    <cfRule type="cellIs" dxfId="31" priority="7" stopIfTrue="1" operator="notEqual">
      <formula>0</formula>
    </cfRule>
    <cfRule type="cellIs" dxfId="30" priority="8" stopIfTrue="1" operator="equal">
      <formula>""</formula>
    </cfRule>
  </conditionalFormatting>
  <conditionalFormatting sqref="F41">
    <cfRule type="cellIs" dxfId="29" priority="5" stopIfTrue="1" operator="notEqual">
      <formula>0</formula>
    </cfRule>
    <cfRule type="cellIs" dxfId="28" priority="6" stopIfTrue="1" operator="equal">
      <formula>""</formula>
    </cfRule>
  </conditionalFormatting>
  <conditionalFormatting sqref="F81">
    <cfRule type="cellIs" dxfId="27" priority="1" stopIfTrue="1" operator="notEqual">
      <formula>0</formula>
    </cfRule>
    <cfRule type="cellIs" dxfId="26" priority="2" stopIfTrue="1" operator="equal">
      <formula>""</formula>
    </cfRule>
  </conditionalFormatting>
  <printOptions headings="1"/>
  <pageMargins left="0.74803149606299213" right="0.70866141732283472" top="0.98425196850393704" bottom="0.74803149606299213" header="0.51181102362204722" footer="0.31496062992125984"/>
  <pageSetup scale="55" orientation="landscape" blackAndWhite="1" r:id="rId1"/>
  <headerFooter>
    <oddHeader>&amp;LPROJECT BULYANHULU&amp;CSheet:&amp;A&amp;RSTRICTLY CONFIDENTIAL</oddHeader>
    <oddFooter>&amp;L&amp;F ( printed on &amp;D at &amp;T )&amp;RPage &amp;P of &amp;N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29BC9-92D9-4CC3-8E3E-795EF22BD31F}">
  <sheetPr codeName="Sheet16">
    <tabColor rgb="FFFFC000"/>
    <outlinePr summaryBelow="0" summaryRight="0"/>
  </sheetPr>
  <dimension ref="A1:AX83"/>
  <sheetViews>
    <sheetView defaultGridColor="0" colorId="22" zoomScale="85" zoomScaleNormal="85" workbookViewId="0">
      <pane xSplit="10" ySplit="3" topLeftCell="K4" activePane="bottomRight" state="frozen"/>
      <selection pane="bottomRight" activeCell="B4" sqref="B4"/>
      <selection pane="bottomLeft" activeCell="H1" sqref="H1:H1048576"/>
      <selection pane="topRight" activeCell="H1" sqref="H1:H1048576"/>
    </sheetView>
  </sheetViews>
  <sheetFormatPr defaultColWidth="0" defaultRowHeight="12.75" customHeight="1" outlineLevelCol="1"/>
  <cols>
    <col min="1" max="2" width="1.28515625" style="19" customWidth="1"/>
    <col min="3" max="3" width="1.28515625" style="202" customWidth="1"/>
    <col min="4" max="4" width="1.28515625" style="203" customWidth="1"/>
    <col min="5" max="5" width="50.7109375" style="324" customWidth="1"/>
    <col min="6" max="6" width="12.7109375" style="324" customWidth="1"/>
    <col min="7" max="7" width="20.7109375" style="324" customWidth="1" collapsed="1"/>
    <col min="8" max="8" width="40.7109375" style="324" hidden="1" customWidth="1" outlineLevel="1"/>
    <col min="9" max="9" width="12.7109375" style="324" customWidth="1"/>
    <col min="10" max="10" width="3.7109375" style="324" customWidth="1"/>
    <col min="11" max="50" width="10.7109375" style="324" customWidth="1"/>
    <col min="51" max="16384" width="9.140625" style="324" hidden="1"/>
  </cols>
  <sheetData>
    <row r="1" spans="1:50" ht="15" customHeight="1">
      <c r="A1" s="18" t="e">
        <f ca="1" xml:space="preserve"> RIGHT( CELL("filename",$A$1), LEN( CELL("filename",$A$1)) - SEARCH("]", CELL("filename",$A$1)))</f>
        <v>#VALUE!</v>
      </c>
      <c r="E1" s="1041"/>
      <c r="F1" s="216"/>
      <c r="G1" s="72"/>
      <c r="H1" s="72"/>
      <c r="I1" s="72"/>
      <c r="J1" s="72"/>
      <c r="K1" s="267">
        <f xml:space="preserve"> ProjectCashflows!K$48</f>
        <v>2021</v>
      </c>
      <c r="L1" s="267">
        <f xml:space="preserve"> ProjectCashflows!L$48</f>
        <v>2022</v>
      </c>
      <c r="M1" s="267">
        <f xml:space="preserve"> ProjectCashflows!M$48</f>
        <v>2023</v>
      </c>
      <c r="N1" s="267">
        <f xml:space="preserve"> ProjectCashflows!N$48</f>
        <v>2024</v>
      </c>
      <c r="O1" s="267">
        <f xml:space="preserve"> ProjectCashflows!O$48</f>
        <v>2025</v>
      </c>
      <c r="P1" s="267">
        <f xml:space="preserve"> ProjectCashflows!P$48</f>
        <v>2026</v>
      </c>
      <c r="Q1" s="267">
        <f xml:space="preserve"> ProjectCashflows!Q$48</f>
        <v>2027</v>
      </c>
      <c r="R1" s="267">
        <f xml:space="preserve"> ProjectCashflows!R$48</f>
        <v>2028</v>
      </c>
      <c r="S1" s="267">
        <f xml:space="preserve"> ProjectCashflows!S$48</f>
        <v>2029</v>
      </c>
      <c r="T1" s="267">
        <f xml:space="preserve"> ProjectCashflows!T$48</f>
        <v>2030</v>
      </c>
      <c r="U1" s="267">
        <f xml:space="preserve"> ProjectCashflows!U$48</f>
        <v>2031</v>
      </c>
      <c r="V1" s="267">
        <f xml:space="preserve"> ProjectCashflows!V$48</f>
        <v>2032</v>
      </c>
      <c r="W1" s="267">
        <f xml:space="preserve"> ProjectCashflows!W$48</f>
        <v>2033</v>
      </c>
      <c r="X1" s="267">
        <f xml:space="preserve"> ProjectCashflows!X$48</f>
        <v>2034</v>
      </c>
      <c r="Y1" s="267">
        <f xml:space="preserve"> ProjectCashflows!Y$48</f>
        <v>2035</v>
      </c>
      <c r="Z1" s="267">
        <f xml:space="preserve"> ProjectCashflows!Z$48</f>
        <v>2036</v>
      </c>
      <c r="AA1" s="267">
        <f xml:space="preserve"> ProjectCashflows!AA$48</f>
        <v>2037</v>
      </c>
      <c r="AB1" s="267">
        <f xml:space="preserve"> ProjectCashflows!AB$48</f>
        <v>2038</v>
      </c>
      <c r="AC1" s="267">
        <f xml:space="preserve"> ProjectCashflows!AC$48</f>
        <v>2039</v>
      </c>
      <c r="AD1" s="267">
        <f xml:space="preserve"> ProjectCashflows!AD$48</f>
        <v>2040</v>
      </c>
      <c r="AE1" s="267">
        <f xml:space="preserve"> ProjectCashflows!AE$48</f>
        <v>2041</v>
      </c>
      <c r="AF1" s="267">
        <f xml:space="preserve"> ProjectCashflows!AF$48</f>
        <v>2042</v>
      </c>
      <c r="AG1" s="267">
        <f xml:space="preserve"> ProjectCashflows!AG$48</f>
        <v>2043</v>
      </c>
      <c r="AH1" s="267">
        <f xml:space="preserve"> ProjectCashflows!AH$48</f>
        <v>2044</v>
      </c>
      <c r="AI1" s="267">
        <f xml:space="preserve"> ProjectCashflows!AI$48</f>
        <v>2045</v>
      </c>
      <c r="AJ1" s="267">
        <f xml:space="preserve"> ProjectCashflows!AJ$48</f>
        <v>2046</v>
      </c>
      <c r="AK1" s="267">
        <f xml:space="preserve"> ProjectCashflows!AK$48</f>
        <v>2047</v>
      </c>
      <c r="AL1" s="267">
        <f xml:space="preserve"> ProjectCashflows!AL$48</f>
        <v>2048</v>
      </c>
      <c r="AM1" s="267">
        <f xml:space="preserve"> ProjectCashflows!AM$48</f>
        <v>2049</v>
      </c>
      <c r="AN1" s="267">
        <f xml:space="preserve"> ProjectCashflows!AN$48</f>
        <v>2050</v>
      </c>
      <c r="AO1" s="267">
        <f xml:space="preserve"> ProjectCashflows!AO$48</f>
        <v>2051</v>
      </c>
      <c r="AP1" s="267">
        <f xml:space="preserve"> ProjectCashflows!AP$48</f>
        <v>2052</v>
      </c>
      <c r="AQ1" s="267">
        <f xml:space="preserve"> ProjectCashflows!AQ$48</f>
        <v>2053</v>
      </c>
      <c r="AR1" s="267">
        <f xml:space="preserve"> ProjectCashflows!AR$48</f>
        <v>2054</v>
      </c>
      <c r="AS1" s="267">
        <f xml:space="preserve"> ProjectCashflows!AS$48</f>
        <v>2055</v>
      </c>
      <c r="AT1" s="267">
        <f xml:space="preserve"> ProjectCashflows!AT$48</f>
        <v>2056</v>
      </c>
      <c r="AU1" s="267">
        <f xml:space="preserve"> ProjectCashflows!AU$48</f>
        <v>2057</v>
      </c>
      <c r="AV1" s="267">
        <f xml:space="preserve"> ProjectCashflows!AV$48</f>
        <v>2058</v>
      </c>
      <c r="AW1" s="267">
        <f xml:space="preserve"> ProjectCashflows!AW$48</f>
        <v>2059</v>
      </c>
      <c r="AX1" s="267">
        <f xml:space="preserve"> ProjectCashflows!AX$48</f>
        <v>2060</v>
      </c>
    </row>
    <row r="2" spans="1:50" ht="15" customHeight="1">
      <c r="E2" s="76" t="str">
        <f>Translate!$E$391</f>
        <v>Row description</v>
      </c>
      <c r="F2" s="866" t="str">
        <f xml:space="preserve"> Translate!E$554</f>
        <v>Constant</v>
      </c>
      <c r="G2" s="857" t="str">
        <f xml:space="preserve"> Translate!E$445</f>
        <v>Units</v>
      </c>
      <c r="H2" s="1052" t="str">
        <f>Translate!$E$280</f>
        <v>Comments</v>
      </c>
      <c r="I2" s="857" t="str">
        <f xml:space="preserve"> Translate!E$19</f>
        <v>Total</v>
      </c>
      <c r="J2" s="41"/>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row>
    <row r="3" spans="1:50" s="334" customFormat="1" ht="15" customHeight="1">
      <c r="A3" s="32"/>
      <c r="B3" s="32"/>
      <c r="C3" s="217"/>
      <c r="D3" s="218"/>
      <c r="E3" s="76"/>
      <c r="F3" s="128">
        <f ca="1" xml:space="preserve"> ReadMe!$D$7</f>
        <v>0</v>
      </c>
      <c r="G3" s="77" t="str">
        <f xml:space="preserve"> ReadMe!$E$7</f>
        <v>Checks</v>
      </c>
      <c r="H3" s="77"/>
      <c r="I3" s="77"/>
      <c r="J3" s="41"/>
      <c r="K3" s="219"/>
      <c r="L3" s="219"/>
      <c r="M3" s="219"/>
      <c r="N3" s="219"/>
      <c r="O3" s="219"/>
      <c r="P3" s="219"/>
      <c r="Q3" s="219"/>
      <c r="R3" s="219"/>
      <c r="S3" s="219"/>
      <c r="T3" s="219"/>
      <c r="U3" s="219"/>
      <c r="V3" s="219"/>
      <c r="W3" s="219"/>
      <c r="X3" s="219"/>
      <c r="Y3" s="219"/>
      <c r="Z3" s="219"/>
      <c r="AA3" s="219"/>
      <c r="AB3" s="219"/>
      <c r="AC3" s="219"/>
      <c r="AD3" s="219"/>
      <c r="AE3" s="219"/>
      <c r="AF3" s="219"/>
      <c r="AG3" s="219"/>
      <c r="AH3" s="219"/>
      <c r="AI3" s="219"/>
      <c r="AJ3" s="219"/>
      <c r="AK3" s="219"/>
      <c r="AL3" s="219"/>
      <c r="AM3" s="219"/>
      <c r="AN3" s="219"/>
      <c r="AO3" s="219"/>
      <c r="AP3" s="219"/>
      <c r="AQ3" s="219"/>
      <c r="AR3" s="219"/>
      <c r="AS3" s="219"/>
      <c r="AT3" s="219"/>
      <c r="AU3" s="219"/>
      <c r="AV3" s="219"/>
      <c r="AW3" s="219"/>
      <c r="AX3" s="219"/>
    </row>
    <row r="4" spans="1:50" ht="15" customHeight="1">
      <c r="A4" s="86" t="str">
        <f xml:space="preserve"> Translate!E$698</f>
        <v>Project data</v>
      </c>
      <c r="B4" s="86"/>
      <c r="C4" s="86"/>
      <c r="D4" s="86"/>
      <c r="E4" s="88"/>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row>
    <row r="5" spans="1:50" ht="15" customHeight="1">
      <c r="E5" s="1041"/>
      <c r="F5" s="1041"/>
      <c r="G5" s="1041"/>
      <c r="H5" s="1041"/>
      <c r="I5" s="1041"/>
      <c r="J5" s="1041"/>
      <c r="K5" s="1041"/>
      <c r="L5" s="1041"/>
      <c r="M5" s="1041"/>
      <c r="N5" s="1041"/>
      <c r="O5" s="1041"/>
      <c r="P5" s="1041"/>
      <c r="Q5" s="1041"/>
      <c r="R5" s="1041"/>
      <c r="S5" s="1041"/>
      <c r="T5" s="1041"/>
      <c r="U5" s="1041"/>
      <c r="V5" s="1041"/>
      <c r="W5" s="1041"/>
      <c r="X5" s="1041"/>
      <c r="Y5" s="1041"/>
      <c r="Z5" s="1041"/>
      <c r="AA5" s="1041"/>
      <c r="AB5" s="1041"/>
      <c r="AC5" s="1041"/>
      <c r="AD5" s="1041"/>
      <c r="AE5" s="1041"/>
      <c r="AF5" s="1041"/>
      <c r="AG5" s="1041"/>
      <c r="AH5" s="1041"/>
      <c r="AI5" s="1041"/>
      <c r="AJ5" s="1041"/>
      <c r="AK5" s="1041"/>
      <c r="AL5" s="1041"/>
      <c r="AM5" s="1041"/>
      <c r="AN5" s="1041"/>
      <c r="AO5" s="1041"/>
      <c r="AP5" s="1041"/>
      <c r="AQ5" s="1041"/>
      <c r="AR5" s="1041"/>
      <c r="AS5" s="1041"/>
      <c r="AT5" s="1041"/>
      <c r="AU5" s="1041"/>
      <c r="AV5" s="1041"/>
      <c r="AW5" s="1041"/>
      <c r="AX5" s="1041"/>
    </row>
    <row r="6" spans="1:50" ht="15" customHeight="1">
      <c r="E6" s="258" t="s">
        <v>47</v>
      </c>
      <c r="F6" s="259" t="e">
        <f ca="1" xml:space="preserve"> A1</f>
        <v>#VALUE!</v>
      </c>
      <c r="G6" s="306" t="str">
        <f xml:space="preserve"> Translate!E$585</f>
        <v>Label</v>
      </c>
      <c r="H6" s="1041"/>
      <c r="I6" s="1041"/>
      <c r="J6" s="1041"/>
      <c r="K6" s="1041"/>
      <c r="L6" s="1041"/>
      <c r="M6" s="1041"/>
      <c r="N6" s="1041"/>
      <c r="O6" s="1041"/>
      <c r="P6" s="1041"/>
      <c r="Q6" s="1041"/>
      <c r="R6" s="1041"/>
      <c r="S6" s="1041"/>
      <c r="T6" s="1041"/>
      <c r="U6" s="1041"/>
      <c r="V6" s="1041"/>
      <c r="W6" s="1041"/>
      <c r="X6" s="1041"/>
      <c r="Y6" s="1041"/>
      <c r="Z6" s="1041"/>
      <c r="AA6" s="1041"/>
      <c r="AB6" s="1041"/>
      <c r="AC6" s="1041"/>
      <c r="AD6" s="1041"/>
      <c r="AE6" s="1041"/>
      <c r="AF6" s="1041"/>
      <c r="AG6" s="1041"/>
      <c r="AH6" s="1041"/>
      <c r="AI6" s="1041"/>
      <c r="AJ6" s="1041"/>
      <c r="AK6" s="1041"/>
      <c r="AL6" s="1041"/>
      <c r="AM6" s="1041"/>
      <c r="AN6" s="1041"/>
      <c r="AO6" s="1041"/>
      <c r="AP6" s="1041"/>
      <c r="AQ6" s="1041"/>
      <c r="AR6" s="1041"/>
      <c r="AS6" s="1041"/>
      <c r="AT6" s="1041"/>
      <c r="AU6" s="1041"/>
      <c r="AV6" s="1041"/>
      <c r="AW6" s="1041"/>
      <c r="AX6" s="1041"/>
    </row>
    <row r="7" spans="1:50" ht="15" customHeight="1">
      <c r="E7" s="1041"/>
      <c r="F7" s="1041"/>
      <c r="G7" s="1041"/>
      <c r="H7" s="1041"/>
      <c r="I7" s="1041"/>
      <c r="J7" s="1041"/>
      <c r="K7" s="1041"/>
      <c r="L7" s="1041"/>
      <c r="M7" s="1041"/>
      <c r="N7" s="1041"/>
      <c r="O7" s="1041"/>
      <c r="P7" s="1041"/>
      <c r="Q7" s="1041"/>
      <c r="R7" s="1041"/>
      <c r="S7" s="1041"/>
      <c r="T7" s="1041"/>
      <c r="U7" s="1041"/>
      <c r="V7" s="1041"/>
      <c r="W7" s="1041"/>
      <c r="X7" s="1041"/>
      <c r="Y7" s="1041"/>
      <c r="Z7" s="1041"/>
      <c r="AA7" s="1041"/>
      <c r="AB7" s="1041"/>
      <c r="AC7" s="1041"/>
      <c r="AD7" s="1041"/>
      <c r="AE7" s="1041"/>
      <c r="AF7" s="1041"/>
      <c r="AG7" s="1041"/>
      <c r="AH7" s="1041"/>
      <c r="AI7" s="1041"/>
      <c r="AJ7" s="1041"/>
      <c r="AK7" s="1041"/>
      <c r="AL7" s="1041"/>
      <c r="AM7" s="1041"/>
      <c r="AN7" s="1041"/>
      <c r="AO7" s="1041"/>
      <c r="AP7" s="1041"/>
      <c r="AQ7" s="1041"/>
      <c r="AR7" s="1041"/>
      <c r="AS7" s="1041"/>
      <c r="AT7" s="1041"/>
      <c r="AU7" s="1041"/>
      <c r="AV7" s="1041"/>
      <c r="AW7" s="1041"/>
      <c r="AX7" s="1041"/>
    </row>
    <row r="8" spans="1:50" ht="15" customHeight="1">
      <c r="B8" s="19" t="str">
        <f>Translate!$E$600</f>
        <v>Project source data</v>
      </c>
      <c r="E8" s="1041"/>
      <c r="F8" s="1041"/>
      <c r="G8" s="1041"/>
      <c r="H8" s="1041"/>
      <c r="I8" s="1041"/>
      <c r="J8" s="1036"/>
      <c r="K8" s="852" t="str">
        <f xml:space="preserve"> Translate!E$354</f>
        <v>Do not change row of this block</v>
      </c>
      <c r="L8" s="1036"/>
      <c r="M8" s="1036"/>
      <c r="N8" s="1036"/>
      <c r="O8" s="1036"/>
      <c r="P8" s="1036"/>
      <c r="Q8" s="1036"/>
      <c r="R8" s="1036"/>
      <c r="S8" s="1036"/>
      <c r="T8" s="1036"/>
      <c r="U8" s="1036"/>
      <c r="V8" s="1036"/>
      <c r="W8" s="1036"/>
      <c r="X8" s="1036"/>
      <c r="Y8" s="1036"/>
      <c r="Z8" s="1036"/>
      <c r="AA8" s="1036"/>
      <c r="AB8" s="1036"/>
      <c r="AC8" s="1036"/>
      <c r="AD8" s="1036"/>
      <c r="AE8" s="1036"/>
      <c r="AF8" s="1036"/>
      <c r="AG8" s="1036"/>
      <c r="AH8" s="1036"/>
      <c r="AI8" s="1036"/>
      <c r="AJ8" s="1036"/>
      <c r="AK8" s="1036"/>
      <c r="AL8" s="1036"/>
      <c r="AM8" s="1036"/>
      <c r="AN8" s="1036"/>
      <c r="AO8" s="1036"/>
      <c r="AP8" s="1036"/>
      <c r="AQ8" s="1036"/>
      <c r="AR8" s="1036"/>
      <c r="AS8" s="1036"/>
      <c r="AT8" s="1036"/>
      <c r="AU8" s="1036"/>
      <c r="AV8" s="1036"/>
      <c r="AW8" s="1036"/>
      <c r="AX8" s="1036"/>
    </row>
    <row r="9" spans="1:50" ht="15" customHeight="1">
      <c r="E9" s="1041" t="str">
        <f>Translate!$E$392</f>
        <v>Mineral</v>
      </c>
      <c r="F9" s="481" t="str">
        <f>Translate!$E$489</f>
        <v>Coal</v>
      </c>
      <c r="G9" s="306" t="str">
        <f xml:space="preserve"> Translate!E$585</f>
        <v>Label</v>
      </c>
      <c r="H9" s="1041"/>
      <c r="I9" s="1041"/>
      <c r="J9" s="1036"/>
      <c r="K9" s="2"/>
      <c r="L9" s="1036"/>
      <c r="M9" s="1036"/>
      <c r="N9" s="1036"/>
      <c r="O9" s="1036"/>
      <c r="P9" s="1036"/>
      <c r="Q9" s="1036"/>
      <c r="R9" s="1036"/>
      <c r="S9" s="1036"/>
      <c r="T9" s="1036"/>
      <c r="U9" s="1036"/>
      <c r="V9" s="1036"/>
      <c r="W9" s="1036"/>
      <c r="X9" s="1036"/>
      <c r="Y9" s="1036"/>
      <c r="Z9" s="1036"/>
      <c r="AA9" s="1036"/>
      <c r="AB9" s="1036"/>
      <c r="AC9" s="1036"/>
      <c r="AD9" s="1036"/>
      <c r="AE9" s="1036"/>
      <c r="AF9" s="1036"/>
      <c r="AG9" s="1036"/>
      <c r="AH9" s="1036"/>
      <c r="AI9" s="1036"/>
      <c r="AJ9" s="1036"/>
      <c r="AK9" s="1036"/>
      <c r="AL9" s="1036"/>
      <c r="AM9" s="1036"/>
      <c r="AN9" s="1036"/>
      <c r="AO9" s="1036"/>
      <c r="AP9" s="1036"/>
      <c r="AQ9" s="1036"/>
      <c r="AR9" s="1036"/>
      <c r="AS9" s="1036"/>
      <c r="AT9" s="1036"/>
      <c r="AU9" s="1036"/>
      <c r="AV9" s="1036"/>
      <c r="AW9" s="1036"/>
      <c r="AX9" s="1036"/>
    </row>
    <row r="10" spans="1:50" ht="15" customHeight="1">
      <c r="E10" s="434" t="str">
        <f>Translate!$E$393</f>
        <v>Mineral units</v>
      </c>
      <c r="F10" s="868" t="str">
        <f xml:space="preserve"> Translate!E$598</f>
        <v>MT</v>
      </c>
      <c r="G10" s="857" t="str">
        <f xml:space="preserve"> Translate!E$445</f>
        <v>Units</v>
      </c>
      <c r="H10" s="1041"/>
      <c r="I10" s="1041"/>
      <c r="J10" s="1036"/>
      <c r="K10" s="2"/>
      <c r="L10" s="1036"/>
      <c r="M10" s="1036"/>
      <c r="N10" s="1036"/>
      <c r="O10" s="1036"/>
      <c r="P10" s="1036"/>
      <c r="Q10" s="1036"/>
      <c r="R10" s="1036"/>
      <c r="S10" s="1036"/>
      <c r="T10" s="1036"/>
      <c r="U10" s="1036"/>
      <c r="V10" s="1036"/>
      <c r="W10" s="1036"/>
      <c r="X10" s="1036"/>
      <c r="Y10" s="1036"/>
      <c r="Z10" s="1036"/>
      <c r="AA10" s="1036"/>
      <c r="AB10" s="1036"/>
      <c r="AC10" s="1036"/>
      <c r="AD10" s="1036"/>
      <c r="AE10" s="1036"/>
      <c r="AF10" s="1036"/>
      <c r="AG10" s="1036"/>
      <c r="AH10" s="1036"/>
      <c r="AI10" s="1036"/>
      <c r="AJ10" s="1036"/>
      <c r="AK10" s="1036"/>
      <c r="AL10" s="1036"/>
      <c r="AM10" s="1036"/>
      <c r="AN10" s="1036"/>
      <c r="AO10" s="1036"/>
      <c r="AP10" s="1036"/>
      <c r="AQ10" s="1036"/>
      <c r="AR10" s="1036"/>
      <c r="AS10" s="1036"/>
      <c r="AT10" s="1036"/>
      <c r="AU10" s="1036"/>
      <c r="AV10" s="1036"/>
      <c r="AW10" s="1036"/>
      <c r="AX10" s="1036"/>
    </row>
    <row r="11" spans="1:50" ht="15" customHeight="1">
      <c r="E11" s="1041"/>
      <c r="F11" s="1041"/>
      <c r="G11" s="1041"/>
      <c r="H11" s="1041"/>
      <c r="I11" s="1041"/>
      <c r="J11" s="1036"/>
      <c r="K11" s="1036"/>
      <c r="L11" s="1036"/>
      <c r="M11" s="1036"/>
      <c r="N11" s="1036"/>
      <c r="O11" s="1036"/>
      <c r="P11" s="1036"/>
      <c r="Q11" s="1036"/>
      <c r="R11" s="1036"/>
      <c r="S11" s="1036"/>
      <c r="T11" s="1036"/>
      <c r="U11" s="1036"/>
      <c r="V11" s="1036"/>
      <c r="W11" s="1036"/>
      <c r="X11" s="1036"/>
      <c r="Y11" s="1036"/>
      <c r="Z11" s="1036"/>
      <c r="AA11" s="1036"/>
      <c r="AB11" s="1036"/>
      <c r="AC11" s="1036"/>
      <c r="AD11" s="1036"/>
      <c r="AE11" s="1036"/>
      <c r="AF11" s="1036"/>
      <c r="AG11" s="1036"/>
      <c r="AH11" s="1036"/>
      <c r="AI11" s="1036"/>
      <c r="AJ11" s="1036"/>
      <c r="AK11" s="1036"/>
      <c r="AL11" s="1036"/>
      <c r="AM11" s="1036"/>
      <c r="AN11" s="1036"/>
      <c r="AO11" s="1036"/>
      <c r="AP11" s="1036"/>
      <c r="AQ11" s="1036"/>
      <c r="AR11" s="1036"/>
      <c r="AS11" s="1036"/>
      <c r="AT11" s="1036"/>
      <c r="AU11" s="1036"/>
      <c r="AV11" s="1036"/>
      <c r="AW11" s="1036"/>
      <c r="AX11" s="1036"/>
    </row>
    <row r="12" spans="1:50" ht="15" customHeight="1">
      <c r="E12" s="1041" t="str">
        <f>F$9 &amp; " " &amp; Translate!E564</f>
        <v>Coal Production</v>
      </c>
      <c r="F12" s="1041"/>
      <c r="G12" s="1041" t="str">
        <f xml:space="preserve"> Translate!E596 &amp;" " &amp; F10</f>
        <v>Thousand MT</v>
      </c>
      <c r="H12" s="1041"/>
      <c r="I12" s="1041">
        <f xml:space="preserve"> SUM(K12:AX12)</f>
        <v>250000.00000000006</v>
      </c>
      <c r="J12" s="1036"/>
      <c r="K12" s="1045"/>
      <c r="L12" s="1045"/>
      <c r="M12" s="1045"/>
      <c r="N12" s="1045">
        <v>3816</v>
      </c>
      <c r="O12" s="1045">
        <v>6587</v>
      </c>
      <c r="P12" s="1045">
        <v>6593</v>
      </c>
      <c r="Q12" s="1045">
        <v>6594</v>
      </c>
      <c r="R12" s="1045">
        <v>6578</v>
      </c>
      <c r="S12" s="1045">
        <v>10565</v>
      </c>
      <c r="T12" s="1045">
        <v>12385</v>
      </c>
      <c r="U12" s="1045">
        <v>12374</v>
      </c>
      <c r="V12" s="1045">
        <v>12374</v>
      </c>
      <c r="W12" s="1045">
        <v>12374</v>
      </c>
      <c r="X12" s="1045">
        <v>12374</v>
      </c>
      <c r="Y12" s="1045">
        <v>12374</v>
      </c>
      <c r="Z12" s="1045">
        <v>12374</v>
      </c>
      <c r="AA12" s="1045">
        <v>12374</v>
      </c>
      <c r="AB12" s="1045">
        <v>12374</v>
      </c>
      <c r="AC12" s="1045">
        <v>12374</v>
      </c>
      <c r="AD12" s="1045">
        <v>12374</v>
      </c>
      <c r="AE12" s="1045">
        <v>7199</v>
      </c>
      <c r="AF12" s="1045">
        <v>7199</v>
      </c>
      <c r="AG12" s="1045">
        <v>7199</v>
      </c>
      <c r="AH12" s="1045">
        <v>7199</v>
      </c>
      <c r="AI12" s="1045">
        <v>7199</v>
      </c>
      <c r="AJ12" s="1045">
        <v>7199</v>
      </c>
      <c r="AK12" s="1045">
        <v>7199</v>
      </c>
      <c r="AL12" s="1045">
        <v>7199</v>
      </c>
      <c r="AM12" s="1045">
        <v>7199</v>
      </c>
      <c r="AN12" s="1045">
        <v>5351.0000000000491</v>
      </c>
      <c r="AO12" s="1045">
        <v>3000</v>
      </c>
      <c r="AP12" s="1045"/>
      <c r="AQ12" s="1045"/>
      <c r="AR12" s="1045"/>
      <c r="AS12" s="1045"/>
      <c r="AT12" s="1045"/>
      <c r="AU12" s="1045"/>
      <c r="AV12" s="1045"/>
      <c r="AW12" s="1045"/>
      <c r="AX12" s="1045"/>
    </row>
    <row r="13" spans="1:50" ht="15" customHeight="1">
      <c r="E13" s="1041"/>
      <c r="F13" s="1041"/>
      <c r="G13" s="1041"/>
      <c r="H13" s="1041"/>
      <c r="I13" s="1041"/>
      <c r="J13" s="1036"/>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row>
    <row r="14" spans="1:50" ht="15" customHeight="1">
      <c r="E14" s="1041" t="str">
        <f>Translate!E532</f>
        <v>Transport and refining costs post-fiscal point</v>
      </c>
      <c r="F14" s="1041"/>
      <c r="G14" s="311" t="str">
        <f xml:space="preserve"> Inputs!F$53</f>
        <v>US$ mn 2021</v>
      </c>
      <c r="H14" s="1041"/>
      <c r="I14" s="1041">
        <f t="shared" ref="I14:I19" si="0" xml:space="preserve"> SUM(K14:AX14)</f>
        <v>8422.5000000000036</v>
      </c>
      <c r="J14" s="1036"/>
      <c r="K14" s="1045">
        <f t="shared" ref="K14:AX14" si="1" xml:space="preserve"> K12 * $F23 / $F28</f>
        <v>0</v>
      </c>
      <c r="L14" s="1045">
        <f t="shared" si="1"/>
        <v>0</v>
      </c>
      <c r="M14" s="1045">
        <f t="shared" si="1"/>
        <v>0</v>
      </c>
      <c r="N14" s="1045">
        <f t="shared" si="1"/>
        <v>128.56103999999999</v>
      </c>
      <c r="O14" s="1045">
        <f t="shared" si="1"/>
        <v>221.91603000000001</v>
      </c>
      <c r="P14" s="1045">
        <f t="shared" si="1"/>
        <v>222.11816999999999</v>
      </c>
      <c r="Q14" s="1045">
        <f t="shared" si="1"/>
        <v>222.15186</v>
      </c>
      <c r="R14" s="1045">
        <f t="shared" si="1"/>
        <v>221.61281999999997</v>
      </c>
      <c r="S14" s="1045">
        <f t="shared" si="1"/>
        <v>355.93484999999998</v>
      </c>
      <c r="T14" s="1045">
        <f t="shared" si="1"/>
        <v>417.25064999999995</v>
      </c>
      <c r="U14" s="1045">
        <f t="shared" si="1"/>
        <v>416.88006000000001</v>
      </c>
      <c r="V14" s="1045">
        <f t="shared" si="1"/>
        <v>416.88006000000001</v>
      </c>
      <c r="W14" s="1045">
        <f t="shared" si="1"/>
        <v>416.88006000000001</v>
      </c>
      <c r="X14" s="1045">
        <f t="shared" si="1"/>
        <v>416.88006000000001</v>
      </c>
      <c r="Y14" s="1045">
        <f t="shared" si="1"/>
        <v>416.88006000000001</v>
      </c>
      <c r="Z14" s="1045">
        <f t="shared" si="1"/>
        <v>416.88006000000001</v>
      </c>
      <c r="AA14" s="1045">
        <f t="shared" si="1"/>
        <v>416.88006000000001</v>
      </c>
      <c r="AB14" s="1045">
        <f t="shared" si="1"/>
        <v>416.88006000000001</v>
      </c>
      <c r="AC14" s="1045">
        <f t="shared" si="1"/>
        <v>416.88006000000001</v>
      </c>
      <c r="AD14" s="1045">
        <f t="shared" si="1"/>
        <v>416.88006000000001</v>
      </c>
      <c r="AE14" s="1045">
        <f t="shared" si="1"/>
        <v>242.53431</v>
      </c>
      <c r="AF14" s="1045">
        <f t="shared" si="1"/>
        <v>242.53431</v>
      </c>
      <c r="AG14" s="1045">
        <f t="shared" si="1"/>
        <v>242.53431</v>
      </c>
      <c r="AH14" s="1045">
        <f t="shared" si="1"/>
        <v>242.53431</v>
      </c>
      <c r="AI14" s="1045">
        <f t="shared" si="1"/>
        <v>242.53431</v>
      </c>
      <c r="AJ14" s="1045">
        <f t="shared" si="1"/>
        <v>242.53431</v>
      </c>
      <c r="AK14" s="1045">
        <f t="shared" si="1"/>
        <v>242.53431</v>
      </c>
      <c r="AL14" s="1045">
        <f t="shared" si="1"/>
        <v>242.53431</v>
      </c>
      <c r="AM14" s="1045">
        <f t="shared" si="1"/>
        <v>242.53431</v>
      </c>
      <c r="AN14" s="1045">
        <f t="shared" si="1"/>
        <v>180.27519000000163</v>
      </c>
      <c r="AO14" s="1045">
        <f t="shared" si="1"/>
        <v>101.07</v>
      </c>
      <c r="AP14" s="1045">
        <f t="shared" si="1"/>
        <v>0</v>
      </c>
      <c r="AQ14" s="1045">
        <f t="shared" si="1"/>
        <v>0</v>
      </c>
      <c r="AR14" s="1045">
        <f t="shared" si="1"/>
        <v>0</v>
      </c>
      <c r="AS14" s="1045">
        <f t="shared" si="1"/>
        <v>0</v>
      </c>
      <c r="AT14" s="1045">
        <f t="shared" si="1"/>
        <v>0</v>
      </c>
      <c r="AU14" s="1045">
        <f t="shared" si="1"/>
        <v>0</v>
      </c>
      <c r="AV14" s="1045">
        <f t="shared" si="1"/>
        <v>0</v>
      </c>
      <c r="AW14" s="1045">
        <f t="shared" si="1"/>
        <v>0</v>
      </c>
      <c r="AX14" s="1045">
        <f t="shared" si="1"/>
        <v>0</v>
      </c>
    </row>
    <row r="15" spans="1:50" ht="15" customHeight="1">
      <c r="E15" s="45" t="str">
        <f>Translate!$E$395</f>
        <v>Exploration costs</v>
      </c>
      <c r="F15" s="1133"/>
      <c r="G15" s="311" t="str">
        <f xml:space="preserve"> Inputs!F$53</f>
        <v>US$ mn 2021</v>
      </c>
      <c r="H15" s="1041"/>
      <c r="I15" s="1041">
        <f t="shared" si="0"/>
        <v>100</v>
      </c>
      <c r="J15" s="1036"/>
      <c r="K15" s="1045">
        <v>100</v>
      </c>
      <c r="L15" s="1045">
        <v>0</v>
      </c>
      <c r="M15" s="1045">
        <v>0</v>
      </c>
      <c r="N15" s="1045">
        <v>0</v>
      </c>
      <c r="O15" s="1045">
        <v>0</v>
      </c>
      <c r="P15" s="1045">
        <v>0</v>
      </c>
      <c r="Q15" s="1045">
        <v>0</v>
      </c>
      <c r="R15" s="1045">
        <v>0</v>
      </c>
      <c r="S15" s="1045">
        <v>0</v>
      </c>
      <c r="T15" s="1045">
        <v>0</v>
      </c>
      <c r="U15" s="1045">
        <v>0</v>
      </c>
      <c r="V15" s="1045">
        <v>0</v>
      </c>
      <c r="W15" s="1045">
        <v>0</v>
      </c>
      <c r="X15" s="1045">
        <v>0</v>
      </c>
      <c r="Y15" s="1045">
        <v>0</v>
      </c>
      <c r="Z15" s="1045">
        <v>0</v>
      </c>
      <c r="AA15" s="1045">
        <v>0</v>
      </c>
      <c r="AB15" s="1045">
        <v>0</v>
      </c>
      <c r="AC15" s="1045">
        <v>0</v>
      </c>
      <c r="AD15" s="1045">
        <v>0</v>
      </c>
      <c r="AE15" s="1045">
        <v>0</v>
      </c>
      <c r="AF15" s="1045"/>
      <c r="AG15" s="1045"/>
      <c r="AH15" s="1045"/>
      <c r="AI15" s="1045"/>
      <c r="AJ15" s="1045"/>
      <c r="AK15" s="1045"/>
      <c r="AL15" s="1045"/>
      <c r="AM15" s="1045"/>
      <c r="AN15" s="1045"/>
      <c r="AO15" s="1045"/>
      <c r="AP15" s="1045"/>
      <c r="AQ15" s="1045"/>
      <c r="AR15" s="1045"/>
      <c r="AS15" s="1045"/>
      <c r="AT15" s="1045"/>
      <c r="AU15" s="1045"/>
      <c r="AV15" s="1045"/>
      <c r="AW15" s="1045"/>
      <c r="AX15" s="1045"/>
    </row>
    <row r="16" spans="1:50" ht="15" customHeight="1">
      <c r="E16" s="45" t="str">
        <f>Translate!$E$396</f>
        <v>Development costs</v>
      </c>
      <c r="F16" s="1133"/>
      <c r="G16" s="311" t="str">
        <f xml:space="preserve"> Inputs!F$53</f>
        <v>US$ mn 2021</v>
      </c>
      <c r="H16" s="1041"/>
      <c r="I16" s="1041">
        <f t="shared" si="0"/>
        <v>812</v>
      </c>
      <c r="J16" s="1036"/>
      <c r="K16" s="1045">
        <v>0</v>
      </c>
      <c r="L16" s="1045">
        <v>32</v>
      </c>
      <c r="M16" s="1045">
        <v>276</v>
      </c>
      <c r="N16" s="1045">
        <v>198</v>
      </c>
      <c r="O16" s="1045">
        <v>9</v>
      </c>
      <c r="P16" s="1045"/>
      <c r="Q16" s="1045">
        <v>115</v>
      </c>
      <c r="R16" s="1045">
        <v>182</v>
      </c>
      <c r="S16" s="1045"/>
      <c r="T16" s="1045"/>
      <c r="U16" s="1045"/>
      <c r="V16" s="1045"/>
      <c r="W16" s="1045"/>
      <c r="X16" s="1045"/>
      <c r="Y16" s="1045"/>
      <c r="Z16" s="1045"/>
      <c r="AA16" s="1045"/>
      <c r="AB16" s="1045"/>
      <c r="AC16" s="1045"/>
      <c r="AD16" s="1045"/>
      <c r="AE16" s="1045"/>
      <c r="AF16" s="1045"/>
      <c r="AG16" s="1045"/>
      <c r="AH16" s="1045"/>
      <c r="AI16" s="1045"/>
      <c r="AJ16" s="1045"/>
      <c r="AK16" s="1045"/>
      <c r="AL16" s="1045"/>
      <c r="AM16" s="1045"/>
      <c r="AN16" s="1045"/>
      <c r="AO16" s="1045"/>
      <c r="AP16" s="1045"/>
      <c r="AQ16" s="1045"/>
      <c r="AR16" s="1045"/>
      <c r="AS16" s="1045"/>
      <c r="AT16" s="1045"/>
      <c r="AU16" s="1045"/>
      <c r="AV16" s="1045"/>
      <c r="AW16" s="1045"/>
      <c r="AX16" s="1045"/>
    </row>
    <row r="17" spans="2:50" ht="15" customHeight="1">
      <c r="E17" s="45" t="str">
        <f>Translate!$E$397</f>
        <v>Replacement capital costs</v>
      </c>
      <c r="F17" s="1133"/>
      <c r="G17" s="311" t="str">
        <f xml:space="preserve"> Inputs!F$53</f>
        <v>US$ mn 2021</v>
      </c>
      <c r="H17" s="1041"/>
      <c r="I17" s="1041">
        <f t="shared" si="0"/>
        <v>105.56000000000004</v>
      </c>
      <c r="J17" s="1036"/>
      <c r="K17" s="1045"/>
      <c r="L17" s="1045"/>
      <c r="M17" s="1045"/>
      <c r="N17" s="1045"/>
      <c r="O17" s="1045">
        <v>8.120000000000001</v>
      </c>
      <c r="P17" s="1045">
        <v>8.120000000000001</v>
      </c>
      <c r="Q17" s="1045">
        <v>8.120000000000001</v>
      </c>
      <c r="R17" s="1045">
        <v>8.120000000000001</v>
      </c>
      <c r="S17" s="1045">
        <v>8.120000000000001</v>
      </c>
      <c r="T17" s="1045">
        <v>8.120000000000001</v>
      </c>
      <c r="U17" s="1045">
        <v>8.120000000000001</v>
      </c>
      <c r="V17" s="1045">
        <v>8.120000000000001</v>
      </c>
      <c r="W17" s="1045">
        <v>8.120000000000001</v>
      </c>
      <c r="X17" s="1045">
        <v>8.120000000000001</v>
      </c>
      <c r="Y17" s="1045">
        <v>8.120000000000001</v>
      </c>
      <c r="Z17" s="1045">
        <v>8.120000000000001</v>
      </c>
      <c r="AA17" s="1045">
        <v>8.120000000000001</v>
      </c>
      <c r="AB17" s="1045"/>
      <c r="AC17" s="1045"/>
      <c r="AD17" s="1045"/>
      <c r="AE17" s="1045"/>
      <c r="AF17" s="1045"/>
      <c r="AG17" s="1045"/>
      <c r="AH17" s="1045"/>
      <c r="AI17" s="1045"/>
      <c r="AJ17" s="1045"/>
      <c r="AK17" s="1045"/>
      <c r="AL17" s="1045"/>
      <c r="AM17" s="1045"/>
      <c r="AN17" s="1045"/>
      <c r="AO17" s="1045"/>
      <c r="AP17" s="1045"/>
      <c r="AQ17" s="1045"/>
      <c r="AR17" s="1045"/>
      <c r="AS17" s="1045"/>
      <c r="AT17" s="1045"/>
      <c r="AU17" s="1045"/>
      <c r="AV17" s="1045"/>
      <c r="AW17" s="1045"/>
      <c r="AX17" s="1045"/>
    </row>
    <row r="18" spans="2:50" ht="15" customHeight="1">
      <c r="E18" s="45" t="str">
        <f>Translate!$E$398</f>
        <v>Operating costs</v>
      </c>
      <c r="F18" s="1133"/>
      <c r="G18" s="311" t="str">
        <f xml:space="preserve"> Inputs!F$53</f>
        <v>US$ mn 2021</v>
      </c>
      <c r="H18" s="1041"/>
      <c r="I18" s="1041">
        <f t="shared" si="0"/>
        <v>8592.5</v>
      </c>
      <c r="J18" s="1036"/>
      <c r="K18" s="1045">
        <f t="shared" ref="K18:AX18" si="2" xml:space="preserve"> K12 * $F24 / $F28</f>
        <v>0</v>
      </c>
      <c r="L18" s="1045">
        <f t="shared" si="2"/>
        <v>0</v>
      </c>
      <c r="M18" s="1045">
        <f t="shared" si="2"/>
        <v>0</v>
      </c>
      <c r="N18" s="1045">
        <f t="shared" si="2"/>
        <v>131.15591999999998</v>
      </c>
      <c r="O18" s="1045">
        <f t="shared" si="2"/>
        <v>226.39518999999999</v>
      </c>
      <c r="P18" s="1045">
        <f t="shared" si="2"/>
        <v>226.60140999999999</v>
      </c>
      <c r="Q18" s="1045">
        <f t="shared" si="2"/>
        <v>226.63577999999998</v>
      </c>
      <c r="R18" s="1045">
        <f t="shared" si="2"/>
        <v>226.08586</v>
      </c>
      <c r="S18" s="1045">
        <f t="shared" si="2"/>
        <v>363.11905000000002</v>
      </c>
      <c r="T18" s="1045">
        <f t="shared" si="2"/>
        <v>425.67244999999997</v>
      </c>
      <c r="U18" s="1045">
        <f t="shared" si="2"/>
        <v>425.29437999999993</v>
      </c>
      <c r="V18" s="1045">
        <f t="shared" si="2"/>
        <v>425.29437999999993</v>
      </c>
      <c r="W18" s="1045">
        <f t="shared" si="2"/>
        <v>425.29437999999993</v>
      </c>
      <c r="X18" s="1045">
        <f t="shared" si="2"/>
        <v>425.29437999999993</v>
      </c>
      <c r="Y18" s="1045">
        <f t="shared" si="2"/>
        <v>425.29437999999993</v>
      </c>
      <c r="Z18" s="1045">
        <f t="shared" si="2"/>
        <v>425.29437999999993</v>
      </c>
      <c r="AA18" s="1045">
        <f t="shared" si="2"/>
        <v>425.29437999999993</v>
      </c>
      <c r="AB18" s="1045">
        <f t="shared" si="2"/>
        <v>425.29437999999993</v>
      </c>
      <c r="AC18" s="1045">
        <f t="shared" si="2"/>
        <v>425.29437999999993</v>
      </c>
      <c r="AD18" s="1045">
        <f t="shared" si="2"/>
        <v>425.29437999999993</v>
      </c>
      <c r="AE18" s="1045">
        <f t="shared" si="2"/>
        <v>247.42962999999997</v>
      </c>
      <c r="AF18" s="1045">
        <f t="shared" si="2"/>
        <v>247.42962999999997</v>
      </c>
      <c r="AG18" s="1045">
        <f t="shared" si="2"/>
        <v>247.42962999999997</v>
      </c>
      <c r="AH18" s="1045">
        <f t="shared" si="2"/>
        <v>247.42962999999997</v>
      </c>
      <c r="AI18" s="1045">
        <f t="shared" si="2"/>
        <v>247.42962999999997</v>
      </c>
      <c r="AJ18" s="1045">
        <f t="shared" si="2"/>
        <v>247.42962999999997</v>
      </c>
      <c r="AK18" s="1045">
        <f t="shared" si="2"/>
        <v>247.42962999999997</v>
      </c>
      <c r="AL18" s="1045">
        <f t="shared" si="2"/>
        <v>247.42962999999997</v>
      </c>
      <c r="AM18" s="1045">
        <f t="shared" si="2"/>
        <v>247.42962999999997</v>
      </c>
      <c r="AN18" s="1045">
        <f t="shared" si="2"/>
        <v>183.91387000000168</v>
      </c>
      <c r="AO18" s="1045">
        <f t="shared" si="2"/>
        <v>103.10999999999999</v>
      </c>
      <c r="AP18" s="1045">
        <f t="shared" si="2"/>
        <v>0</v>
      </c>
      <c r="AQ18" s="1045">
        <f t="shared" si="2"/>
        <v>0</v>
      </c>
      <c r="AR18" s="1045">
        <f t="shared" si="2"/>
        <v>0</v>
      </c>
      <c r="AS18" s="1045">
        <f t="shared" si="2"/>
        <v>0</v>
      </c>
      <c r="AT18" s="1045">
        <f t="shared" si="2"/>
        <v>0</v>
      </c>
      <c r="AU18" s="1045">
        <f t="shared" si="2"/>
        <v>0</v>
      </c>
      <c r="AV18" s="1045">
        <f t="shared" si="2"/>
        <v>0</v>
      </c>
      <c r="AW18" s="1045">
        <f t="shared" si="2"/>
        <v>0</v>
      </c>
      <c r="AX18" s="1045">
        <f t="shared" si="2"/>
        <v>0</v>
      </c>
    </row>
    <row r="19" spans="2:50" ht="15" customHeight="1">
      <c r="E19" s="45" t="str">
        <f>Translate!$E$399</f>
        <v>Decommissioning costs</v>
      </c>
      <c r="F19" s="1133"/>
      <c r="G19" s="311" t="str">
        <f xml:space="preserve"> Inputs!F$53</f>
        <v>US$ mn 2021</v>
      </c>
      <c r="H19" s="1041"/>
      <c r="I19" s="1041">
        <f t="shared" si="0"/>
        <v>24.36</v>
      </c>
      <c r="J19" s="1041"/>
      <c r="K19" s="1045">
        <v>0</v>
      </c>
      <c r="L19" s="1045">
        <v>0</v>
      </c>
      <c r="M19" s="1045">
        <v>0</v>
      </c>
      <c r="N19" s="1045">
        <v>0</v>
      </c>
      <c r="O19" s="1045">
        <v>0</v>
      </c>
      <c r="P19" s="1045">
        <v>0</v>
      </c>
      <c r="Q19" s="1045">
        <v>0</v>
      </c>
      <c r="R19" s="1045">
        <v>0</v>
      </c>
      <c r="S19" s="1045">
        <v>0</v>
      </c>
      <c r="T19" s="1045">
        <v>0</v>
      </c>
      <c r="U19" s="1045">
        <v>0</v>
      </c>
      <c r="V19" s="1045">
        <v>0</v>
      </c>
      <c r="W19" s="1045">
        <v>0</v>
      </c>
      <c r="X19" s="1045">
        <v>0</v>
      </c>
      <c r="Y19" s="1045">
        <v>0</v>
      </c>
      <c r="Z19" s="1045">
        <v>0</v>
      </c>
      <c r="AA19" s="1045">
        <v>0</v>
      </c>
      <c r="AB19" s="1045">
        <v>0</v>
      </c>
      <c r="AC19" s="1045">
        <v>0</v>
      </c>
      <c r="AD19" s="1045">
        <v>0</v>
      </c>
      <c r="AE19" s="1045">
        <v>0</v>
      </c>
      <c r="AF19" s="1045">
        <v>0</v>
      </c>
      <c r="AG19" s="1045">
        <v>0</v>
      </c>
      <c r="AH19" s="1045">
        <v>0</v>
      </c>
      <c r="AI19" s="1045">
        <v>0</v>
      </c>
      <c r="AJ19" s="1045">
        <v>0</v>
      </c>
      <c r="AK19" s="1045">
        <v>0</v>
      </c>
      <c r="AL19" s="1045">
        <v>0</v>
      </c>
      <c r="AM19" s="1045">
        <v>0</v>
      </c>
      <c r="AN19" s="1045">
        <v>0</v>
      </c>
      <c r="AO19" s="1045">
        <v>0</v>
      </c>
      <c r="AP19" s="1045">
        <v>24.36</v>
      </c>
      <c r="AQ19" s="1045">
        <v>0</v>
      </c>
      <c r="AR19" s="1045">
        <v>0</v>
      </c>
      <c r="AS19" s="1045">
        <v>0</v>
      </c>
      <c r="AT19" s="1045">
        <v>0</v>
      </c>
      <c r="AU19" s="1045">
        <v>0</v>
      </c>
      <c r="AV19" s="1045">
        <v>0</v>
      </c>
      <c r="AW19" s="1045">
        <v>0</v>
      </c>
      <c r="AX19" s="1045">
        <v>0</v>
      </c>
    </row>
    <row r="20" spans="2:50" ht="15" customHeight="1">
      <c r="E20" s="303" t="str">
        <f>Translate!$E$400</f>
        <v>Total costs</v>
      </c>
      <c r="F20" s="1133"/>
      <c r="G20" s="311" t="str">
        <f xml:space="preserve"> Inputs!F$53</f>
        <v>US$ mn 2021</v>
      </c>
      <c r="H20" s="1041"/>
      <c r="I20" s="1041">
        <f xml:space="preserve"> SUM(K20:AX20)</f>
        <v>18056.920000000006</v>
      </c>
      <c r="J20" s="1036"/>
      <c r="K20" s="1036">
        <f t="shared" ref="K20:AX20" si="3">SUM(K14:K19)</f>
        <v>100</v>
      </c>
      <c r="L20" s="1036">
        <f t="shared" si="3"/>
        <v>32</v>
      </c>
      <c r="M20" s="1036">
        <f t="shared" si="3"/>
        <v>276</v>
      </c>
      <c r="N20" s="1036">
        <f t="shared" si="3"/>
        <v>457.71695999999997</v>
      </c>
      <c r="O20" s="1036">
        <f t="shared" si="3"/>
        <v>465.43122</v>
      </c>
      <c r="P20" s="1036">
        <f t="shared" si="3"/>
        <v>456.83957999999996</v>
      </c>
      <c r="Q20" s="1036">
        <f t="shared" si="3"/>
        <v>571.90764000000001</v>
      </c>
      <c r="R20" s="1036">
        <f t="shared" si="3"/>
        <v>637.81867999999997</v>
      </c>
      <c r="S20" s="1036">
        <f t="shared" si="3"/>
        <v>727.1739</v>
      </c>
      <c r="T20" s="1036">
        <f t="shared" si="3"/>
        <v>851.04309999999987</v>
      </c>
      <c r="U20" s="1036">
        <f t="shared" si="3"/>
        <v>850.2944399999999</v>
      </c>
      <c r="V20" s="1036">
        <f t="shared" si="3"/>
        <v>850.2944399999999</v>
      </c>
      <c r="W20" s="1036">
        <f t="shared" si="3"/>
        <v>850.2944399999999</v>
      </c>
      <c r="X20" s="1036">
        <f t="shared" si="3"/>
        <v>850.2944399999999</v>
      </c>
      <c r="Y20" s="1036">
        <f t="shared" si="3"/>
        <v>850.2944399999999</v>
      </c>
      <c r="Z20" s="1036">
        <f t="shared" si="3"/>
        <v>850.2944399999999</v>
      </c>
      <c r="AA20" s="1036">
        <f t="shared" si="3"/>
        <v>850.2944399999999</v>
      </c>
      <c r="AB20" s="1036">
        <f t="shared" si="3"/>
        <v>842.17444</v>
      </c>
      <c r="AC20" s="1036">
        <f t="shared" si="3"/>
        <v>842.17444</v>
      </c>
      <c r="AD20" s="1036">
        <f t="shared" si="3"/>
        <v>842.17444</v>
      </c>
      <c r="AE20" s="1036">
        <f t="shared" si="3"/>
        <v>489.96393999999998</v>
      </c>
      <c r="AF20" s="1036">
        <f t="shared" si="3"/>
        <v>489.96393999999998</v>
      </c>
      <c r="AG20" s="1036">
        <f t="shared" si="3"/>
        <v>489.96393999999998</v>
      </c>
      <c r="AH20" s="1036">
        <f t="shared" si="3"/>
        <v>489.96393999999998</v>
      </c>
      <c r="AI20" s="1036">
        <f t="shared" si="3"/>
        <v>489.96393999999998</v>
      </c>
      <c r="AJ20" s="1036">
        <f t="shared" si="3"/>
        <v>489.96393999999998</v>
      </c>
      <c r="AK20" s="1036">
        <f t="shared" si="3"/>
        <v>489.96393999999998</v>
      </c>
      <c r="AL20" s="1036">
        <f t="shared" si="3"/>
        <v>489.96393999999998</v>
      </c>
      <c r="AM20" s="1036">
        <f t="shared" si="3"/>
        <v>489.96393999999998</v>
      </c>
      <c r="AN20" s="1036">
        <f t="shared" si="3"/>
        <v>364.18906000000334</v>
      </c>
      <c r="AO20" s="1036">
        <f t="shared" si="3"/>
        <v>204.17999999999998</v>
      </c>
      <c r="AP20" s="1036">
        <f t="shared" si="3"/>
        <v>24.36</v>
      </c>
      <c r="AQ20" s="1036">
        <f t="shared" si="3"/>
        <v>0</v>
      </c>
      <c r="AR20" s="1036">
        <f t="shared" si="3"/>
        <v>0</v>
      </c>
      <c r="AS20" s="1036">
        <f t="shared" si="3"/>
        <v>0</v>
      </c>
      <c r="AT20" s="1036">
        <f t="shared" si="3"/>
        <v>0</v>
      </c>
      <c r="AU20" s="1036">
        <f t="shared" si="3"/>
        <v>0</v>
      </c>
      <c r="AV20" s="1036">
        <f t="shared" si="3"/>
        <v>0</v>
      </c>
      <c r="AW20" s="1036">
        <f t="shared" si="3"/>
        <v>0</v>
      </c>
      <c r="AX20" s="1036">
        <f t="shared" si="3"/>
        <v>0</v>
      </c>
    </row>
    <row r="21" spans="2:50" ht="15" customHeight="1">
      <c r="E21" s="1041"/>
      <c r="F21" s="1041"/>
      <c r="G21" s="1041"/>
      <c r="H21" s="1041"/>
      <c r="I21" s="1041"/>
      <c r="J21" s="1036"/>
      <c r="K21" s="1036"/>
      <c r="L21" s="1036"/>
      <c r="M21" s="1036"/>
      <c r="N21" s="1036"/>
      <c r="O21" s="1036"/>
      <c r="P21" s="1036"/>
      <c r="Q21" s="1036"/>
      <c r="R21" s="1036"/>
      <c r="S21" s="1036"/>
      <c r="T21" s="1036"/>
      <c r="U21" s="1036"/>
      <c r="V21" s="1036"/>
      <c r="W21" s="1036"/>
      <c r="X21" s="1036"/>
      <c r="Y21" s="1036"/>
      <c r="Z21" s="1036"/>
      <c r="AA21" s="1036"/>
      <c r="AB21" s="1036"/>
      <c r="AC21" s="1036"/>
      <c r="AD21" s="1036"/>
      <c r="AE21" s="1036"/>
      <c r="AF21" s="1036"/>
      <c r="AG21" s="1036"/>
      <c r="AH21" s="1036"/>
      <c r="AI21" s="1036"/>
      <c r="AJ21" s="1036"/>
      <c r="AK21" s="1036"/>
      <c r="AL21" s="1036"/>
      <c r="AM21" s="1036"/>
      <c r="AN21" s="1036"/>
      <c r="AO21" s="1036"/>
      <c r="AP21" s="1036"/>
      <c r="AQ21" s="1036"/>
      <c r="AR21" s="1036"/>
      <c r="AS21" s="1036"/>
      <c r="AT21" s="1036"/>
      <c r="AU21" s="1036"/>
      <c r="AV21" s="1036"/>
      <c r="AW21" s="1036"/>
      <c r="AX21" s="1036"/>
    </row>
    <row r="22" spans="2:50" ht="15" customHeight="1">
      <c r="B22" s="19" t="str">
        <f>Translate!$E$601</f>
        <v>Cost inputs</v>
      </c>
      <c r="E22" s="1041"/>
      <c r="F22" s="1041"/>
      <c r="G22" s="1041"/>
      <c r="H22" s="1041"/>
      <c r="I22" s="1041"/>
      <c r="J22" s="1036"/>
      <c r="K22" s="1036"/>
      <c r="L22" s="1036"/>
      <c r="M22" s="1036"/>
      <c r="N22" s="1036"/>
      <c r="O22" s="1036"/>
      <c r="P22" s="1036"/>
      <c r="Q22" s="1036"/>
      <c r="R22" s="1036"/>
      <c r="S22" s="1036"/>
      <c r="T22" s="1036"/>
      <c r="U22" s="1036"/>
      <c r="V22" s="1036"/>
      <c r="W22" s="1036"/>
      <c r="X22" s="1036"/>
      <c r="Y22" s="1036"/>
      <c r="Z22" s="1036"/>
      <c r="AA22" s="1036"/>
      <c r="AB22" s="1036"/>
      <c r="AC22" s="1036"/>
      <c r="AD22" s="1036"/>
      <c r="AE22" s="1036"/>
      <c r="AF22" s="1036"/>
      <c r="AG22" s="1036"/>
      <c r="AH22" s="1036"/>
      <c r="AI22" s="1036"/>
      <c r="AJ22" s="1036"/>
      <c r="AK22" s="1036"/>
      <c r="AL22" s="1036"/>
      <c r="AM22" s="1036"/>
      <c r="AN22" s="1036"/>
      <c r="AO22" s="1036"/>
      <c r="AP22" s="1036"/>
      <c r="AQ22" s="1036"/>
      <c r="AR22" s="1036"/>
      <c r="AS22" s="1036"/>
      <c r="AT22" s="1036"/>
      <c r="AU22" s="1036"/>
      <c r="AV22" s="1036"/>
      <c r="AW22" s="1036"/>
      <c r="AX22" s="1036"/>
    </row>
    <row r="23" spans="2:50" ht="15" customHeight="1">
      <c r="E23" s="1041" t="str">
        <f xml:space="preserve"> E14</f>
        <v>Transport and refining costs post-fiscal point</v>
      </c>
      <c r="F23" s="1134">
        <v>33.69</v>
      </c>
      <c r="G23" s="1041" t="str">
        <f xml:space="preserve"> Inputs!F$52 &amp; " / " &amp; F$10</f>
        <v>US$ 2021 / MT</v>
      </c>
      <c r="H23" s="1041"/>
      <c r="I23" s="1041"/>
      <c r="J23" s="1036"/>
      <c r="K23" s="1036"/>
      <c r="L23" s="1036"/>
      <c r="M23" s="1036"/>
      <c r="N23" s="1036"/>
      <c r="O23" s="1036"/>
      <c r="P23" s="1036"/>
      <c r="Q23" s="1036"/>
      <c r="R23" s="1036"/>
      <c r="S23" s="1036"/>
      <c r="T23" s="1036"/>
      <c r="U23" s="1036"/>
      <c r="V23" s="1036"/>
      <c r="W23" s="1036"/>
      <c r="X23" s="1036"/>
      <c r="Y23" s="1036"/>
      <c r="Z23" s="1036"/>
      <c r="AA23" s="1036"/>
      <c r="AB23" s="1036"/>
      <c r="AC23" s="1036"/>
      <c r="AD23" s="1036"/>
      <c r="AE23" s="1036"/>
      <c r="AF23" s="1036"/>
      <c r="AG23" s="1036"/>
      <c r="AH23" s="1036"/>
      <c r="AI23" s="1036"/>
      <c r="AJ23" s="1036"/>
      <c r="AK23" s="1036"/>
      <c r="AL23" s="1036"/>
      <c r="AM23" s="1036"/>
      <c r="AN23" s="1036"/>
      <c r="AO23" s="1036"/>
      <c r="AP23" s="1036"/>
      <c r="AQ23" s="1036"/>
      <c r="AR23" s="1036"/>
      <c r="AS23" s="1036"/>
      <c r="AT23" s="1036"/>
      <c r="AU23" s="1036"/>
      <c r="AV23" s="1036"/>
      <c r="AW23" s="1036"/>
      <c r="AX23" s="1036"/>
    </row>
    <row r="24" spans="2:50" ht="15" customHeight="1">
      <c r="E24" s="1041" t="str">
        <f xml:space="preserve"> E$18</f>
        <v>Operating costs</v>
      </c>
      <c r="F24" s="1134">
        <v>34.369999999999997</v>
      </c>
      <c r="G24" s="1041" t="str">
        <f xml:space="preserve"> Inputs!F$52 &amp; " / " &amp; F$10</f>
        <v>US$ 2021 / MT</v>
      </c>
      <c r="H24" s="1041"/>
      <c r="I24" s="1041"/>
      <c r="J24" s="1036"/>
      <c r="K24" s="1036"/>
      <c r="L24" s="1036"/>
      <c r="M24" s="1036"/>
      <c r="N24" s="1036"/>
      <c r="O24" s="1036"/>
      <c r="P24" s="1036"/>
      <c r="Q24" s="1036"/>
      <c r="R24" s="1036"/>
      <c r="S24" s="1036"/>
      <c r="T24" s="1036"/>
      <c r="U24" s="1036"/>
      <c r="V24" s="1036"/>
      <c r="W24" s="1036"/>
      <c r="X24" s="1036"/>
      <c r="Y24" s="1036"/>
      <c r="Z24" s="1036"/>
      <c r="AA24" s="1036"/>
      <c r="AB24" s="1036"/>
      <c r="AC24" s="1036"/>
      <c r="AD24" s="1036"/>
      <c r="AE24" s="1036"/>
      <c r="AF24" s="1036"/>
      <c r="AG24" s="1036"/>
      <c r="AH24" s="1036"/>
      <c r="AI24" s="1036"/>
      <c r="AJ24" s="1036"/>
      <c r="AK24" s="1036"/>
      <c r="AL24" s="1036"/>
      <c r="AM24" s="1036"/>
      <c r="AN24" s="1036"/>
      <c r="AO24" s="1036"/>
      <c r="AP24" s="1036"/>
      <c r="AQ24" s="1036"/>
      <c r="AR24" s="1036"/>
      <c r="AS24" s="1036"/>
      <c r="AT24" s="1036"/>
      <c r="AU24" s="1036"/>
      <c r="AV24" s="1036"/>
      <c r="AW24" s="1036"/>
      <c r="AX24" s="1036"/>
    </row>
    <row r="25" spans="2:50" ht="15" customHeight="1">
      <c r="E25" s="1041"/>
      <c r="F25" s="1041"/>
      <c r="G25" s="1041"/>
      <c r="H25" s="1041"/>
      <c r="I25" s="1041"/>
      <c r="J25" s="1036"/>
      <c r="K25" s="1036"/>
      <c r="L25" s="1036"/>
      <c r="M25" s="1036"/>
      <c r="N25" s="1036"/>
      <c r="O25" s="1036"/>
      <c r="P25" s="1036"/>
      <c r="Q25" s="1036"/>
      <c r="R25" s="1036"/>
      <c r="S25" s="1036"/>
      <c r="T25" s="1036"/>
      <c r="U25" s="1036"/>
      <c r="V25" s="1036"/>
      <c r="W25" s="1036"/>
      <c r="X25" s="1036"/>
      <c r="Y25" s="1036"/>
      <c r="Z25" s="1036"/>
      <c r="AA25" s="1036"/>
      <c r="AB25" s="1036"/>
      <c r="AC25" s="1036"/>
      <c r="AD25" s="1036"/>
      <c r="AE25" s="1036"/>
      <c r="AF25" s="1036"/>
      <c r="AG25" s="1036"/>
      <c r="AH25" s="1036"/>
      <c r="AI25" s="1036"/>
      <c r="AJ25" s="1036"/>
      <c r="AK25" s="1036"/>
      <c r="AL25" s="1036"/>
      <c r="AM25" s="1036"/>
      <c r="AN25" s="1036"/>
      <c r="AO25" s="1036"/>
      <c r="AP25" s="1036"/>
      <c r="AQ25" s="1036"/>
      <c r="AR25" s="1036"/>
      <c r="AS25" s="1036"/>
      <c r="AT25" s="1036"/>
      <c r="AU25" s="1036"/>
      <c r="AV25" s="1036"/>
      <c r="AW25" s="1036"/>
      <c r="AX25" s="1036"/>
    </row>
    <row r="26" spans="2:50" ht="15" customHeight="1">
      <c r="B26" s="19" t="str">
        <f>Translate!$E$602</f>
        <v>Unit costs</v>
      </c>
      <c r="E26" s="1041"/>
      <c r="F26" s="1041"/>
      <c r="G26" s="1041"/>
      <c r="H26" s="1041"/>
      <c r="I26" s="1041"/>
      <c r="J26" s="1036"/>
      <c r="K26" s="1036"/>
      <c r="L26" s="1036"/>
      <c r="M26" s="1036"/>
      <c r="N26" s="1036"/>
      <c r="O26" s="1036"/>
      <c r="P26" s="1036"/>
      <c r="Q26" s="1036"/>
      <c r="R26" s="1036"/>
      <c r="S26" s="1036"/>
      <c r="T26" s="1036"/>
      <c r="U26" s="1036"/>
      <c r="V26" s="1036"/>
      <c r="W26" s="1036"/>
      <c r="X26" s="1036"/>
      <c r="Y26" s="1036"/>
      <c r="Z26" s="1036"/>
      <c r="AA26" s="1036"/>
      <c r="AB26" s="1036"/>
      <c r="AC26" s="1036"/>
      <c r="AD26" s="1036"/>
      <c r="AE26" s="1036"/>
      <c r="AF26" s="1036"/>
      <c r="AG26" s="1036"/>
      <c r="AH26" s="1036"/>
      <c r="AI26" s="1036"/>
      <c r="AJ26" s="1036"/>
      <c r="AK26" s="1036"/>
      <c r="AL26" s="1036"/>
      <c r="AM26" s="1036"/>
      <c r="AN26" s="1036"/>
      <c r="AO26" s="1036"/>
      <c r="AP26" s="1036"/>
      <c r="AQ26" s="1036"/>
      <c r="AR26" s="1036"/>
      <c r="AS26" s="1036"/>
      <c r="AT26" s="1036"/>
      <c r="AU26" s="1036"/>
      <c r="AV26" s="1036"/>
      <c r="AW26" s="1036"/>
      <c r="AX26" s="1036"/>
    </row>
    <row r="27" spans="2:50" ht="15" customHeight="1">
      <c r="E27" s="1041" t="str">
        <f>Translate!$E$401</f>
        <v>Total sales</v>
      </c>
      <c r="F27" s="1041">
        <f xml:space="preserve"> SUM(K12:AX12)</f>
        <v>250000.00000000006</v>
      </c>
      <c r="G27" s="1041" t="str">
        <f xml:space="preserve"> G12</f>
        <v>Thousand MT</v>
      </c>
      <c r="H27" s="1041"/>
      <c r="I27" s="1041"/>
      <c r="J27" s="1036"/>
      <c r="K27" s="1036"/>
      <c r="L27" s="1036"/>
      <c r="M27" s="1036"/>
      <c r="N27" s="1036"/>
      <c r="O27" s="1036"/>
      <c r="P27" s="1036"/>
      <c r="Q27" s="1036"/>
      <c r="R27" s="1036"/>
      <c r="S27" s="1036"/>
      <c r="T27" s="1036"/>
      <c r="U27" s="1036"/>
      <c r="V27" s="1036"/>
      <c r="W27" s="1036"/>
      <c r="X27" s="1036"/>
      <c r="Y27" s="1036"/>
      <c r="Z27" s="1036"/>
      <c r="AA27" s="1036"/>
      <c r="AB27" s="1036"/>
      <c r="AC27" s="1036"/>
      <c r="AD27" s="1036"/>
      <c r="AE27" s="1036"/>
      <c r="AF27" s="1036"/>
      <c r="AG27" s="1036"/>
      <c r="AH27" s="1036"/>
      <c r="AI27" s="1036"/>
      <c r="AJ27" s="1036"/>
      <c r="AK27" s="1036"/>
      <c r="AL27" s="1036"/>
      <c r="AM27" s="1036"/>
      <c r="AN27" s="1036"/>
      <c r="AO27" s="1036"/>
      <c r="AP27" s="1036"/>
      <c r="AQ27" s="1036"/>
      <c r="AR27" s="1036"/>
      <c r="AS27" s="1036"/>
      <c r="AT27" s="1036"/>
      <c r="AU27" s="1036"/>
      <c r="AV27" s="1036"/>
      <c r="AW27" s="1036"/>
      <c r="AX27" s="1036"/>
    </row>
    <row r="28" spans="2:50" ht="15" customHeight="1">
      <c r="E28" s="219" t="str">
        <f xml:space="preserve"> Inputs!E$76</f>
        <v>one thousand</v>
      </c>
      <c r="F28" s="219">
        <f xml:space="preserve"> Inputs!F$76</f>
        <v>1000</v>
      </c>
      <c r="G28" s="219" t="str">
        <f xml:space="preserve"> Inputs!G$76</f>
        <v>Constant</v>
      </c>
      <c r="H28" s="1041"/>
      <c r="I28" s="1041"/>
      <c r="J28" s="1036"/>
      <c r="K28" s="1036"/>
      <c r="L28" s="1036"/>
      <c r="M28" s="1036"/>
      <c r="N28" s="1036"/>
      <c r="O28" s="1036"/>
      <c r="P28" s="1036"/>
      <c r="Q28" s="1036"/>
      <c r="R28" s="1036"/>
      <c r="S28" s="1036"/>
      <c r="T28" s="1036"/>
      <c r="U28" s="1036"/>
      <c r="V28" s="1036"/>
      <c r="W28" s="1036"/>
      <c r="X28" s="1036"/>
      <c r="Y28" s="1036"/>
      <c r="Z28" s="1036"/>
      <c r="AA28" s="1036"/>
      <c r="AB28" s="1036"/>
      <c r="AC28" s="1036"/>
      <c r="AD28" s="1036"/>
      <c r="AE28" s="1036"/>
      <c r="AF28" s="1036"/>
      <c r="AG28" s="1036"/>
      <c r="AH28" s="1036"/>
      <c r="AI28" s="1036"/>
      <c r="AJ28" s="1036"/>
      <c r="AK28" s="1036"/>
      <c r="AL28" s="1036"/>
      <c r="AM28" s="1036"/>
      <c r="AN28" s="1036"/>
      <c r="AO28" s="1036"/>
      <c r="AP28" s="1036"/>
      <c r="AQ28" s="1036"/>
      <c r="AR28" s="1036"/>
      <c r="AS28" s="1036"/>
      <c r="AT28" s="1036"/>
      <c r="AU28" s="1036"/>
      <c r="AV28" s="1036"/>
      <c r="AW28" s="1036"/>
      <c r="AX28" s="1036"/>
    </row>
    <row r="29" spans="2:50" ht="15" customHeight="1">
      <c r="E29" s="219"/>
      <c r="F29" s="219"/>
      <c r="G29" s="219"/>
      <c r="H29" s="1041"/>
      <c r="I29" s="1041"/>
      <c r="J29" s="1036"/>
      <c r="K29" s="1036"/>
      <c r="L29" s="1036"/>
      <c r="M29" s="1036"/>
      <c r="N29" s="1036"/>
      <c r="O29" s="1036"/>
      <c r="P29" s="1036"/>
      <c r="Q29" s="1036"/>
      <c r="R29" s="1036"/>
      <c r="S29" s="1036"/>
      <c r="T29" s="1036"/>
      <c r="U29" s="1036"/>
      <c r="V29" s="1036"/>
      <c r="W29" s="1036"/>
      <c r="X29" s="1036"/>
      <c r="Y29" s="1036"/>
      <c r="Z29" s="1036"/>
      <c r="AA29" s="1036"/>
      <c r="AB29" s="1036"/>
      <c r="AC29" s="1036"/>
      <c r="AD29" s="1036"/>
      <c r="AE29" s="1036"/>
      <c r="AF29" s="1036"/>
      <c r="AG29" s="1036"/>
      <c r="AH29" s="1036"/>
      <c r="AI29" s="1036"/>
      <c r="AJ29" s="1036"/>
      <c r="AK29" s="1036"/>
      <c r="AL29" s="1036"/>
      <c r="AM29" s="1036"/>
      <c r="AN29" s="1036"/>
      <c r="AO29" s="1036"/>
      <c r="AP29" s="1036"/>
      <c r="AQ29" s="1036"/>
      <c r="AR29" s="1036"/>
      <c r="AS29" s="1036"/>
      <c r="AT29" s="1036"/>
      <c r="AU29" s="1036"/>
      <c r="AV29" s="1036"/>
      <c r="AW29" s="1036"/>
      <c r="AX29" s="1036"/>
    </row>
    <row r="30" spans="2:50" ht="15" customHeight="1">
      <c r="E30" s="1041" t="str">
        <f t="shared" ref="E30:E36" si="4" xml:space="preserve"> E14</f>
        <v>Transport and refining costs post-fiscal point</v>
      </c>
      <c r="F30" s="1133">
        <f xml:space="preserve"> SUM(K14:AX14) / F$27 * F28</f>
        <v>33.690000000000005</v>
      </c>
      <c r="G30" s="1041" t="str">
        <f xml:space="preserve"> Inputs!F$52 &amp; " / " &amp; F$10</f>
        <v>US$ 2021 / MT</v>
      </c>
      <c r="H30" s="1041"/>
      <c r="I30" s="1041"/>
      <c r="J30" s="1036"/>
      <c r="K30" s="1036"/>
      <c r="L30" s="1036"/>
      <c r="M30" s="1036"/>
      <c r="N30" s="1036"/>
      <c r="O30" s="1036"/>
      <c r="P30" s="1036"/>
      <c r="Q30" s="1036"/>
      <c r="R30" s="1036"/>
      <c r="S30" s="1036"/>
      <c r="T30" s="1036"/>
      <c r="U30" s="1036"/>
      <c r="V30" s="1036"/>
      <c r="W30" s="1036"/>
      <c r="X30" s="1036"/>
      <c r="Y30" s="1036"/>
      <c r="Z30" s="1036"/>
      <c r="AA30" s="1036"/>
      <c r="AB30" s="1036"/>
      <c r="AC30" s="1036"/>
      <c r="AD30" s="1036"/>
      <c r="AE30" s="1036"/>
      <c r="AF30" s="1036"/>
      <c r="AG30" s="1036"/>
      <c r="AH30" s="1036"/>
      <c r="AI30" s="1036"/>
      <c r="AJ30" s="1036"/>
      <c r="AK30" s="1036"/>
      <c r="AL30" s="1036"/>
      <c r="AM30" s="1036"/>
      <c r="AN30" s="1036"/>
      <c r="AO30" s="1036"/>
      <c r="AP30" s="1036"/>
      <c r="AQ30" s="1036"/>
      <c r="AR30" s="1036"/>
      <c r="AS30" s="1036"/>
      <c r="AT30" s="1036"/>
      <c r="AU30" s="1036"/>
      <c r="AV30" s="1036"/>
      <c r="AW30" s="1036"/>
      <c r="AX30" s="1036"/>
    </row>
    <row r="31" spans="2:50" ht="15" customHeight="1">
      <c r="E31" s="1041" t="str">
        <f t="shared" si="4"/>
        <v>Exploration costs</v>
      </c>
      <c r="F31" s="1133">
        <f xml:space="preserve"> SUM(K15:AX15) / F$27 * 1000</f>
        <v>0.39999999999999991</v>
      </c>
      <c r="G31" s="1041" t="str">
        <f xml:space="preserve"> Inputs!F$52 &amp; " / " &amp; F$10</f>
        <v>US$ 2021 / MT</v>
      </c>
      <c r="H31" s="1041"/>
      <c r="I31" s="1041"/>
      <c r="J31" s="1036"/>
      <c r="K31" s="1036"/>
      <c r="L31" s="1036"/>
      <c r="M31" s="1036"/>
      <c r="N31" s="1036"/>
      <c r="O31" s="1036"/>
      <c r="P31" s="1036"/>
      <c r="Q31" s="1036"/>
      <c r="R31" s="1036"/>
      <c r="S31" s="1036"/>
      <c r="T31" s="1036"/>
      <c r="U31" s="1036"/>
      <c r="V31" s="1036"/>
      <c r="W31" s="1036"/>
      <c r="X31" s="1036"/>
      <c r="Y31" s="1036"/>
      <c r="Z31" s="1036"/>
      <c r="AA31" s="1036"/>
      <c r="AB31" s="1036"/>
      <c r="AC31" s="1036"/>
      <c r="AD31" s="1036"/>
      <c r="AE31" s="1036"/>
      <c r="AF31" s="1036"/>
      <c r="AG31" s="1036"/>
      <c r="AH31" s="1036"/>
      <c r="AI31" s="1036"/>
      <c r="AJ31" s="1036"/>
      <c r="AK31" s="1036"/>
      <c r="AL31" s="1036"/>
      <c r="AM31" s="1036"/>
      <c r="AN31" s="1036"/>
      <c r="AO31" s="1036"/>
      <c r="AP31" s="1036"/>
      <c r="AQ31" s="1036"/>
      <c r="AR31" s="1036"/>
      <c r="AS31" s="1036"/>
      <c r="AT31" s="1036"/>
      <c r="AU31" s="1036"/>
      <c r="AV31" s="1036"/>
      <c r="AW31" s="1036"/>
      <c r="AX31" s="1036"/>
    </row>
    <row r="32" spans="2:50" ht="15" customHeight="1">
      <c r="E32" s="1041" t="str">
        <f t="shared" si="4"/>
        <v>Development costs</v>
      </c>
      <c r="F32" s="1133">
        <f xml:space="preserve"> SUM(K16:AX16) / F$27 * 1000</f>
        <v>3.2479999999999993</v>
      </c>
      <c r="G32" s="1041" t="str">
        <f xml:space="preserve"> Inputs!F$52 &amp; " / " &amp; F$10</f>
        <v>US$ 2021 / MT</v>
      </c>
      <c r="H32" s="1041"/>
      <c r="I32" s="1041"/>
      <c r="J32" s="1036"/>
      <c r="K32" s="1036"/>
      <c r="L32" s="1036"/>
      <c r="M32" s="1036"/>
      <c r="N32" s="1036"/>
      <c r="O32" s="1036"/>
      <c r="P32" s="1036"/>
      <c r="Q32" s="1036"/>
      <c r="R32" s="1036"/>
      <c r="S32" s="1036"/>
      <c r="T32" s="1036"/>
      <c r="U32" s="1036"/>
      <c r="V32" s="1036"/>
      <c r="W32" s="1036"/>
      <c r="X32" s="1036"/>
      <c r="Y32" s="1036"/>
      <c r="Z32" s="1036"/>
      <c r="AA32" s="1036"/>
      <c r="AB32" s="1036"/>
      <c r="AC32" s="1036"/>
      <c r="AD32" s="1036"/>
      <c r="AE32" s="1036"/>
      <c r="AF32" s="1036"/>
      <c r="AG32" s="1036"/>
      <c r="AH32" s="1036"/>
      <c r="AI32" s="1036"/>
      <c r="AJ32" s="1036"/>
      <c r="AK32" s="1036"/>
      <c r="AL32" s="1036"/>
      <c r="AM32" s="1036"/>
      <c r="AN32" s="1036"/>
      <c r="AO32" s="1036"/>
      <c r="AP32" s="1036"/>
      <c r="AQ32" s="1036"/>
      <c r="AR32" s="1036"/>
      <c r="AS32" s="1036"/>
      <c r="AT32" s="1036"/>
      <c r="AU32" s="1036"/>
      <c r="AV32" s="1036"/>
      <c r="AW32" s="1036"/>
      <c r="AX32" s="1036"/>
    </row>
    <row r="33" spans="1:50" ht="15" customHeight="1">
      <c r="E33" s="1041" t="str">
        <f t="shared" si="4"/>
        <v>Replacement capital costs</v>
      </c>
      <c r="F33" s="1133">
        <f xml:space="preserve"> SUM(K17:AX17) / F$27 * 1000</f>
        <v>0.42224000000000012</v>
      </c>
      <c r="G33" s="1041" t="str">
        <f xml:space="preserve"> Inputs!F$52 &amp; " / " &amp; F$10</f>
        <v>US$ 2021 / MT</v>
      </c>
      <c r="H33" s="1041"/>
      <c r="I33" s="1041"/>
      <c r="J33" s="1036"/>
      <c r="K33" s="1036"/>
      <c r="L33" s="1036"/>
      <c r="M33" s="1036"/>
      <c r="N33" s="1036"/>
      <c r="O33" s="1036"/>
      <c r="P33" s="1036"/>
      <c r="Q33" s="1036"/>
      <c r="R33" s="1036"/>
      <c r="S33" s="1036"/>
      <c r="T33" s="1036"/>
      <c r="U33" s="1036"/>
      <c r="V33" s="1036"/>
      <c r="W33" s="1036"/>
      <c r="X33" s="1036"/>
      <c r="Y33" s="1036"/>
      <c r="Z33" s="1036"/>
      <c r="AA33" s="1036"/>
      <c r="AB33" s="1036"/>
      <c r="AC33" s="1036"/>
      <c r="AD33" s="1036"/>
      <c r="AE33" s="1036"/>
      <c r="AF33" s="1036"/>
      <c r="AG33" s="1036"/>
      <c r="AH33" s="1036"/>
      <c r="AI33" s="1036"/>
      <c r="AJ33" s="1036"/>
      <c r="AK33" s="1036"/>
      <c r="AL33" s="1036"/>
      <c r="AM33" s="1036"/>
      <c r="AN33" s="1036"/>
      <c r="AO33" s="1036"/>
      <c r="AP33" s="1036"/>
      <c r="AQ33" s="1036"/>
      <c r="AR33" s="1036"/>
      <c r="AS33" s="1036"/>
      <c r="AT33" s="1036"/>
      <c r="AU33" s="1036"/>
      <c r="AV33" s="1036"/>
      <c r="AW33" s="1036"/>
      <c r="AX33" s="1036"/>
    </row>
    <row r="34" spans="1:50" ht="15" customHeight="1">
      <c r="E34" s="1041" t="str">
        <f t="shared" si="4"/>
        <v>Operating costs</v>
      </c>
      <c r="F34" s="1133">
        <f xml:space="preserve"> SUM(K18:AX18) / F$27 * 1000</f>
        <v>34.36999999999999</v>
      </c>
      <c r="G34" s="1041" t="str">
        <f xml:space="preserve"> Inputs!F$52 &amp; " / " &amp; F$10</f>
        <v>US$ 2021 / MT</v>
      </c>
      <c r="H34" s="1041"/>
      <c r="I34" s="1041"/>
      <c r="J34" s="1036"/>
      <c r="K34" s="1036"/>
      <c r="L34" s="1036"/>
      <c r="M34" s="1036"/>
      <c r="N34" s="1036"/>
      <c r="O34" s="1036"/>
      <c r="P34" s="1036"/>
      <c r="Q34" s="1036"/>
      <c r="R34" s="1036"/>
      <c r="S34" s="1036"/>
      <c r="T34" s="1036"/>
      <c r="U34" s="1036"/>
      <c r="V34" s="1036"/>
      <c r="W34" s="1036"/>
      <c r="X34" s="1036"/>
      <c r="Y34" s="1036"/>
      <c r="Z34" s="1036"/>
      <c r="AA34" s="1036"/>
      <c r="AB34" s="1036"/>
      <c r="AC34" s="1036"/>
      <c r="AD34" s="1036"/>
      <c r="AE34" s="1036"/>
      <c r="AF34" s="1036"/>
      <c r="AG34" s="1036"/>
      <c r="AH34" s="1036"/>
      <c r="AI34" s="1036"/>
      <c r="AJ34" s="1036"/>
      <c r="AK34" s="1036"/>
      <c r="AL34" s="1036"/>
      <c r="AM34" s="1036"/>
      <c r="AN34" s="1036"/>
      <c r="AO34" s="1036"/>
      <c r="AP34" s="1036"/>
      <c r="AQ34" s="1036"/>
      <c r="AR34" s="1036"/>
      <c r="AS34" s="1036"/>
      <c r="AT34" s="1036"/>
      <c r="AU34" s="1036"/>
      <c r="AV34" s="1036"/>
      <c r="AW34" s="1036"/>
      <c r="AX34" s="1036"/>
    </row>
    <row r="35" spans="1:50" ht="15" customHeight="1">
      <c r="E35" s="1041" t="str">
        <f t="shared" si="4"/>
        <v>Decommissioning costs</v>
      </c>
      <c r="F35" s="1133">
        <f xml:space="preserve"> SUM(K19:AX19) / F$27 * 1000</f>
        <v>9.7439999999999971E-2</v>
      </c>
      <c r="G35" s="1041" t="str">
        <f xml:space="preserve"> Inputs!F$52 &amp; " / " &amp; F$10</f>
        <v>US$ 2021 / MT</v>
      </c>
      <c r="H35" s="1041"/>
      <c r="I35" s="1041"/>
      <c r="J35" s="1036"/>
      <c r="K35" s="1036"/>
      <c r="L35" s="1036"/>
      <c r="M35" s="1036"/>
      <c r="N35" s="1036"/>
      <c r="O35" s="1036"/>
      <c r="P35" s="1036"/>
      <c r="Q35" s="1036"/>
      <c r="R35" s="1036"/>
      <c r="S35" s="1036"/>
      <c r="T35" s="1036"/>
      <c r="U35" s="1036"/>
      <c r="V35" s="1036"/>
      <c r="W35" s="1036"/>
      <c r="X35" s="1036"/>
      <c r="Y35" s="1036"/>
      <c r="Z35" s="1036"/>
      <c r="AA35" s="1036"/>
      <c r="AB35" s="1036"/>
      <c r="AC35" s="1036"/>
      <c r="AD35" s="1036"/>
      <c r="AE35" s="1036"/>
      <c r="AF35" s="1036"/>
      <c r="AG35" s="1036"/>
      <c r="AH35" s="1036"/>
      <c r="AI35" s="1036"/>
      <c r="AJ35" s="1036"/>
      <c r="AK35" s="1036"/>
      <c r="AL35" s="1036"/>
      <c r="AM35" s="1036"/>
      <c r="AN35" s="1036"/>
      <c r="AO35" s="1036"/>
      <c r="AP35" s="1036"/>
      <c r="AQ35" s="1036"/>
      <c r="AR35" s="1036"/>
      <c r="AS35" s="1036"/>
      <c r="AT35" s="1036"/>
      <c r="AU35" s="1036"/>
      <c r="AV35" s="1036"/>
      <c r="AW35" s="1036"/>
      <c r="AX35" s="1036"/>
    </row>
    <row r="36" spans="1:50" ht="15" customHeight="1">
      <c r="E36" s="1041" t="str">
        <f t="shared" si="4"/>
        <v>Total costs</v>
      </c>
      <c r="F36" s="1133">
        <f>SUM(F30:F35)</f>
        <v>72.227679999999992</v>
      </c>
      <c r="G36" s="1041" t="str">
        <f xml:space="preserve"> Inputs!F$52 &amp; " / " &amp; F$10</f>
        <v>US$ 2021 / MT</v>
      </c>
      <c r="H36" s="1041"/>
      <c r="I36" s="1041"/>
      <c r="J36" s="1036"/>
      <c r="K36" s="1036"/>
      <c r="L36" s="1036"/>
      <c r="M36" s="1036"/>
      <c r="N36" s="1036"/>
      <c r="O36" s="1036"/>
      <c r="P36" s="1036"/>
      <c r="Q36" s="1036"/>
      <c r="R36" s="1036"/>
      <c r="S36" s="1036"/>
      <c r="T36" s="1036"/>
      <c r="U36" s="1036"/>
      <c r="V36" s="1036"/>
      <c r="W36" s="1036"/>
      <c r="X36" s="1036"/>
      <c r="Y36" s="1036"/>
      <c r="Z36" s="1036"/>
      <c r="AA36" s="1036"/>
      <c r="AB36" s="1036"/>
      <c r="AC36" s="1036"/>
      <c r="AD36" s="1036"/>
      <c r="AE36" s="1036"/>
      <c r="AF36" s="1036"/>
      <c r="AG36" s="1036"/>
      <c r="AH36" s="1036"/>
      <c r="AI36" s="1036"/>
      <c r="AJ36" s="1036"/>
      <c r="AK36" s="1036"/>
      <c r="AL36" s="1036"/>
      <c r="AM36" s="1036"/>
      <c r="AN36" s="1036"/>
      <c r="AO36" s="1036"/>
      <c r="AP36" s="1036"/>
      <c r="AQ36" s="1036"/>
      <c r="AR36" s="1036"/>
      <c r="AS36" s="1036"/>
      <c r="AT36" s="1036"/>
      <c r="AU36" s="1036"/>
      <c r="AV36" s="1036"/>
      <c r="AW36" s="1036"/>
      <c r="AX36" s="1036"/>
    </row>
    <row r="37" spans="1:50" ht="15" customHeight="1">
      <c r="E37" s="474"/>
      <c r="F37" s="1041"/>
      <c r="G37" s="1041"/>
      <c r="H37" s="1041"/>
      <c r="I37" s="1041"/>
      <c r="J37" s="1036"/>
      <c r="K37" s="1036"/>
      <c r="L37" s="1036"/>
      <c r="M37" s="1036"/>
      <c r="N37" s="1036"/>
      <c r="O37" s="1036"/>
      <c r="P37" s="1036"/>
      <c r="Q37" s="1036"/>
      <c r="R37" s="1036"/>
      <c r="S37" s="1036"/>
      <c r="T37" s="1036"/>
      <c r="U37" s="1036"/>
      <c r="V37" s="1036"/>
      <c r="W37" s="1036"/>
      <c r="X37" s="1036"/>
      <c r="Y37" s="1036"/>
      <c r="Z37" s="1036"/>
      <c r="AA37" s="1036"/>
      <c r="AB37" s="1036"/>
      <c r="AC37" s="1036"/>
      <c r="AD37" s="1036"/>
      <c r="AE37" s="1036"/>
      <c r="AF37" s="1036"/>
      <c r="AG37" s="1036"/>
      <c r="AH37" s="1036"/>
      <c r="AI37" s="1036"/>
      <c r="AJ37" s="1036"/>
      <c r="AK37" s="1036"/>
      <c r="AL37" s="1036"/>
      <c r="AM37" s="1036"/>
      <c r="AN37" s="1036"/>
      <c r="AO37" s="1036"/>
      <c r="AP37" s="1036"/>
      <c r="AQ37" s="1036"/>
      <c r="AR37" s="1036"/>
      <c r="AS37" s="1036"/>
      <c r="AT37" s="1036"/>
      <c r="AU37" s="1036"/>
      <c r="AV37" s="1036"/>
      <c r="AW37" s="1036"/>
      <c r="AX37" s="1036"/>
    </row>
    <row r="38" spans="1:50" s="4" customFormat="1" ht="15" customHeight="1">
      <c r="A38" s="76"/>
      <c r="B38" s="74" t="str">
        <f>Translate!$E$603</f>
        <v>Check project data in correct row</v>
      </c>
      <c r="C38" s="76"/>
      <c r="D38" s="76"/>
      <c r="E38" s="76"/>
      <c r="F38" s="474"/>
      <c r="G38" s="77"/>
      <c r="H38" s="76"/>
      <c r="I38" s="76"/>
      <c r="J38" s="76"/>
      <c r="K38" s="7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row>
    <row r="39" spans="1:50" s="4" customFormat="1" ht="15" customHeight="1">
      <c r="A39" s="76"/>
      <c r="B39" s="76"/>
      <c r="C39" s="76"/>
      <c r="D39" s="76"/>
      <c r="E39" s="106" t="str">
        <f xml:space="preserve"> Inputs!E$15</f>
        <v>First row of project data</v>
      </c>
      <c r="F39" s="106">
        <f xml:space="preserve"> Inputs!F$15</f>
        <v>12</v>
      </c>
      <c r="G39" s="106" t="str">
        <f xml:space="preserve"> Inputs!G$15</f>
        <v>row</v>
      </c>
      <c r="H39" s="76"/>
      <c r="I39" s="76"/>
      <c r="J39" s="76"/>
      <c r="K39" s="7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row>
    <row r="40" spans="1:50" s="4" customFormat="1" ht="15" customHeight="1">
      <c r="A40" s="76"/>
      <c r="B40" s="76"/>
      <c r="C40" s="76"/>
      <c r="D40" s="76"/>
      <c r="E40" s="76" t="str">
        <f>Translate!$E$402</f>
        <v>First row of project data</v>
      </c>
      <c r="F40" s="307">
        <f xml:space="preserve"> ROW(F12)</f>
        <v>12</v>
      </c>
      <c r="G40" s="857" t="str">
        <f xml:space="preserve"> Translate!E$587</f>
        <v>row</v>
      </c>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row>
    <row r="41" spans="1:50" s="4" customFormat="1" ht="15" customHeight="1">
      <c r="A41" s="76"/>
      <c r="B41" s="76"/>
      <c r="C41" s="76"/>
      <c r="D41" s="76"/>
      <c r="E41" s="76" t="str">
        <f xml:space="preserve"> Translate!$E$444 &amp; ": " &amp; Translate!$E$402</f>
        <v>Check: First row of project data</v>
      </c>
      <c r="F41" s="128">
        <f xml:space="preserve"> IF( ABS(F39 - F40) &lt;&gt; 0, 1, 0)</f>
        <v>0</v>
      </c>
      <c r="G41" s="311" t="str">
        <f xml:space="preserve"> Translate!E$444</f>
        <v>Check</v>
      </c>
      <c r="H41" s="76"/>
      <c r="I41" s="76"/>
      <c r="J41" s="76"/>
      <c r="K41" s="7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row>
    <row r="42" spans="1:50" ht="15" customHeight="1">
      <c r="E42" s="474"/>
      <c r="F42" s="1041"/>
      <c r="G42" s="1041"/>
      <c r="H42" s="1041"/>
      <c r="I42" s="1041"/>
      <c r="J42" s="1036"/>
      <c r="K42" s="1036"/>
      <c r="L42" s="1036"/>
      <c r="M42" s="1036"/>
      <c r="N42" s="1036"/>
      <c r="O42" s="1036"/>
      <c r="P42" s="1036"/>
      <c r="Q42" s="1036"/>
      <c r="R42" s="1036"/>
      <c r="S42" s="1036"/>
      <c r="T42" s="1036"/>
      <c r="U42" s="1036"/>
      <c r="V42" s="1036"/>
      <c r="W42" s="1036"/>
      <c r="X42" s="1036"/>
      <c r="Y42" s="1036"/>
      <c r="Z42" s="1036"/>
      <c r="AA42" s="1036"/>
      <c r="AB42" s="1036"/>
      <c r="AC42" s="1036"/>
      <c r="AD42" s="1036"/>
      <c r="AE42" s="1036"/>
      <c r="AF42" s="1036"/>
      <c r="AG42" s="1036"/>
      <c r="AH42" s="1036"/>
      <c r="AI42" s="1036"/>
      <c r="AJ42" s="1036"/>
      <c r="AK42" s="1036"/>
      <c r="AL42" s="1036"/>
      <c r="AM42" s="1036"/>
      <c r="AN42" s="1036"/>
      <c r="AO42" s="1036"/>
      <c r="AP42" s="1036"/>
      <c r="AQ42" s="1036"/>
      <c r="AR42" s="1036"/>
      <c r="AS42" s="1036"/>
      <c r="AT42" s="1036"/>
      <c r="AU42" s="1036"/>
      <c r="AV42" s="1036"/>
      <c r="AW42" s="1036"/>
      <c r="AX42" s="1036"/>
    </row>
    <row r="43" spans="1:50" ht="15" customHeight="1">
      <c r="E43" s="474"/>
      <c r="F43" s="1041"/>
      <c r="G43" s="1041"/>
      <c r="H43" s="1041"/>
      <c r="I43" s="1041"/>
      <c r="J43" s="1036"/>
      <c r="K43" s="1036"/>
      <c r="L43" s="1036"/>
      <c r="M43" s="1036"/>
      <c r="N43" s="1036"/>
      <c r="O43" s="1036"/>
      <c r="P43" s="1036"/>
      <c r="Q43" s="1036"/>
      <c r="R43" s="1036"/>
      <c r="S43" s="1036"/>
      <c r="T43" s="1036"/>
      <c r="U43" s="1036"/>
      <c r="V43" s="1036"/>
      <c r="W43" s="1036"/>
      <c r="X43" s="1036"/>
      <c r="Y43" s="1036"/>
      <c r="Z43" s="1036"/>
      <c r="AA43" s="1036"/>
      <c r="AB43" s="1036"/>
      <c r="AC43" s="1036"/>
      <c r="AD43" s="1036"/>
      <c r="AE43" s="1036"/>
      <c r="AF43" s="1036"/>
      <c r="AG43" s="1036"/>
      <c r="AH43" s="1036"/>
      <c r="AI43" s="1036"/>
      <c r="AJ43" s="1036"/>
      <c r="AK43" s="1036"/>
      <c r="AL43" s="1036"/>
      <c r="AM43" s="1036"/>
      <c r="AN43" s="1036"/>
      <c r="AO43" s="1036"/>
      <c r="AP43" s="1036"/>
      <c r="AQ43" s="1036"/>
      <c r="AR43" s="1036"/>
      <c r="AS43" s="1036"/>
      <c r="AT43" s="1036"/>
      <c r="AU43" s="1036"/>
      <c r="AV43" s="1036"/>
      <c r="AW43" s="1036"/>
      <c r="AX43" s="1036"/>
    </row>
    <row r="44" spans="1:50" ht="15" customHeight="1">
      <c r="A44" s="86" t="str">
        <f xml:space="preserve"> Translate!E$602</f>
        <v>Unit costs</v>
      </c>
      <c r="B44" s="86"/>
      <c r="C44" s="86"/>
      <c r="D44" s="86"/>
      <c r="E44" s="88"/>
      <c r="F44" s="86"/>
      <c r="G44" s="86"/>
      <c r="H44" s="86"/>
      <c r="I44" s="86"/>
      <c r="J44" s="86"/>
      <c r="K44" s="86"/>
      <c r="L44" s="86"/>
      <c r="M44" s="86"/>
      <c r="N44" s="86"/>
      <c r="O44" s="86"/>
      <c r="P44" s="86"/>
      <c r="Q44" s="86"/>
      <c r="R44" s="86"/>
      <c r="S44" s="86"/>
      <c r="T44" s="86"/>
      <c r="U44" s="86"/>
      <c r="V44" s="86"/>
      <c r="W44" s="86"/>
      <c r="X44" s="86"/>
      <c r="Y44" s="86"/>
      <c r="Z44" s="86"/>
      <c r="AA44" s="86"/>
      <c r="AB44" s="86"/>
      <c r="AC44" s="86"/>
      <c r="AD44" s="86"/>
      <c r="AE44" s="86"/>
      <c r="AF44" s="86"/>
      <c r="AG44" s="86"/>
      <c r="AH44" s="86"/>
      <c r="AI44" s="86"/>
      <c r="AJ44" s="86"/>
      <c r="AK44" s="86"/>
      <c r="AL44" s="86"/>
      <c r="AM44" s="86"/>
      <c r="AN44" s="86"/>
      <c r="AO44" s="86"/>
      <c r="AP44" s="86"/>
      <c r="AQ44" s="86"/>
      <c r="AR44" s="86"/>
      <c r="AS44" s="86"/>
      <c r="AT44" s="86"/>
      <c r="AU44" s="86"/>
      <c r="AV44" s="86"/>
      <c r="AW44" s="86"/>
      <c r="AX44" s="86"/>
    </row>
    <row r="45" spans="1:50" ht="15" customHeight="1">
      <c r="E45" s="1041"/>
      <c r="F45" s="1041"/>
      <c r="G45" s="1041"/>
      <c r="H45" s="1041"/>
      <c r="I45" s="1041"/>
      <c r="J45" s="1041"/>
      <c r="K45" s="1041"/>
      <c r="L45" s="1041"/>
      <c r="M45" s="1041"/>
      <c r="N45" s="1041"/>
      <c r="O45" s="1041"/>
      <c r="P45" s="1041"/>
      <c r="Q45" s="1041"/>
      <c r="R45" s="1041"/>
      <c r="S45" s="1041"/>
      <c r="T45" s="1041"/>
      <c r="U45" s="1041"/>
      <c r="V45" s="1041"/>
      <c r="W45" s="1041"/>
      <c r="X45" s="1041"/>
      <c r="Y45" s="1041"/>
      <c r="Z45" s="1041"/>
      <c r="AA45" s="1041"/>
      <c r="AB45" s="1041"/>
      <c r="AC45" s="1041"/>
      <c r="AD45" s="1041"/>
      <c r="AE45" s="1041"/>
      <c r="AF45" s="1041"/>
      <c r="AG45" s="1041"/>
      <c r="AH45" s="1041"/>
      <c r="AI45" s="1041"/>
      <c r="AJ45" s="1041"/>
      <c r="AK45" s="1041"/>
      <c r="AL45" s="1041"/>
      <c r="AM45" s="1041"/>
      <c r="AN45" s="1041"/>
      <c r="AO45" s="1041"/>
      <c r="AP45" s="1041"/>
      <c r="AQ45" s="1041"/>
      <c r="AR45" s="1041"/>
      <c r="AS45" s="1041"/>
      <c r="AT45" s="1041"/>
      <c r="AU45" s="1041"/>
      <c r="AV45" s="1041"/>
      <c r="AW45" s="1041"/>
      <c r="AX45" s="1041"/>
    </row>
    <row r="46" spans="1:50" ht="15" customHeight="1">
      <c r="E46" s="1041" t="str">
        <f xml:space="preserve"> E$12</f>
        <v>Coal Production</v>
      </c>
      <c r="F46" s="1041">
        <f t="shared" ref="F46:AX46" si="5" xml:space="preserve"> F$12</f>
        <v>0</v>
      </c>
      <c r="G46" s="1041" t="str">
        <f t="shared" si="5"/>
        <v>Thousand MT</v>
      </c>
      <c r="H46" s="1041">
        <f t="shared" si="5"/>
        <v>0</v>
      </c>
      <c r="I46" s="1041">
        <f t="shared" si="5"/>
        <v>250000.00000000006</v>
      </c>
      <c r="J46" s="1041">
        <f t="shared" si="5"/>
        <v>0</v>
      </c>
      <c r="K46" s="1041">
        <f t="shared" si="5"/>
        <v>0</v>
      </c>
      <c r="L46" s="1041">
        <f t="shared" si="5"/>
        <v>0</v>
      </c>
      <c r="M46" s="1041">
        <f t="shared" si="5"/>
        <v>0</v>
      </c>
      <c r="N46" s="1041">
        <f t="shared" si="5"/>
        <v>3816</v>
      </c>
      <c r="O46" s="1041">
        <f t="shared" si="5"/>
        <v>6587</v>
      </c>
      <c r="P46" s="1041">
        <f t="shared" si="5"/>
        <v>6593</v>
      </c>
      <c r="Q46" s="1041">
        <f t="shared" si="5"/>
        <v>6594</v>
      </c>
      <c r="R46" s="1041">
        <f t="shared" si="5"/>
        <v>6578</v>
      </c>
      <c r="S46" s="1041">
        <f t="shared" si="5"/>
        <v>10565</v>
      </c>
      <c r="T46" s="1041">
        <f t="shared" si="5"/>
        <v>12385</v>
      </c>
      <c r="U46" s="1041">
        <f t="shared" si="5"/>
        <v>12374</v>
      </c>
      <c r="V46" s="1041">
        <f t="shared" si="5"/>
        <v>12374</v>
      </c>
      <c r="W46" s="1041">
        <f t="shared" si="5"/>
        <v>12374</v>
      </c>
      <c r="X46" s="1041">
        <f t="shared" si="5"/>
        <v>12374</v>
      </c>
      <c r="Y46" s="1041">
        <f t="shared" si="5"/>
        <v>12374</v>
      </c>
      <c r="Z46" s="1041">
        <f t="shared" si="5"/>
        <v>12374</v>
      </c>
      <c r="AA46" s="1041">
        <f t="shared" si="5"/>
        <v>12374</v>
      </c>
      <c r="AB46" s="1041">
        <f t="shared" si="5"/>
        <v>12374</v>
      </c>
      <c r="AC46" s="1041">
        <f t="shared" si="5"/>
        <v>12374</v>
      </c>
      <c r="AD46" s="1041">
        <f t="shared" si="5"/>
        <v>12374</v>
      </c>
      <c r="AE46" s="1041">
        <f t="shared" si="5"/>
        <v>7199</v>
      </c>
      <c r="AF46" s="1041">
        <f t="shared" si="5"/>
        <v>7199</v>
      </c>
      <c r="AG46" s="1041">
        <f t="shared" si="5"/>
        <v>7199</v>
      </c>
      <c r="AH46" s="1041">
        <f t="shared" si="5"/>
        <v>7199</v>
      </c>
      <c r="AI46" s="1041">
        <f t="shared" si="5"/>
        <v>7199</v>
      </c>
      <c r="AJ46" s="1041">
        <f t="shared" si="5"/>
        <v>7199</v>
      </c>
      <c r="AK46" s="1041">
        <f t="shared" si="5"/>
        <v>7199</v>
      </c>
      <c r="AL46" s="1041">
        <f t="shared" si="5"/>
        <v>7199</v>
      </c>
      <c r="AM46" s="1041">
        <f t="shared" si="5"/>
        <v>7199</v>
      </c>
      <c r="AN46" s="1041">
        <f t="shared" si="5"/>
        <v>5351.0000000000491</v>
      </c>
      <c r="AO46" s="1041">
        <f t="shared" si="5"/>
        <v>3000</v>
      </c>
      <c r="AP46" s="1041">
        <f t="shared" si="5"/>
        <v>0</v>
      </c>
      <c r="AQ46" s="1041">
        <f t="shared" si="5"/>
        <v>0</v>
      </c>
      <c r="AR46" s="1041">
        <f t="shared" si="5"/>
        <v>0</v>
      </c>
      <c r="AS46" s="1041">
        <f t="shared" si="5"/>
        <v>0</v>
      </c>
      <c r="AT46" s="1041">
        <f t="shared" si="5"/>
        <v>0</v>
      </c>
      <c r="AU46" s="1041">
        <f t="shared" si="5"/>
        <v>0</v>
      </c>
      <c r="AV46" s="1041">
        <f t="shared" si="5"/>
        <v>0</v>
      </c>
      <c r="AW46" s="1041">
        <f t="shared" si="5"/>
        <v>0</v>
      </c>
      <c r="AX46" s="1041">
        <f t="shared" si="5"/>
        <v>0</v>
      </c>
    </row>
    <row r="47" spans="1:50" ht="15" customHeight="1">
      <c r="E47" s="219" t="str">
        <f xml:space="preserve"> Inputs!E$76</f>
        <v>one thousand</v>
      </c>
      <c r="F47" s="219">
        <f xml:space="preserve"> Inputs!F$76</f>
        <v>1000</v>
      </c>
      <c r="G47" s="219" t="str">
        <f xml:space="preserve"> Inputs!G$76</f>
        <v>Constant</v>
      </c>
      <c r="H47" s="1041"/>
      <c r="I47" s="1041"/>
      <c r="J47" s="1041"/>
      <c r="K47" s="1041"/>
      <c r="L47" s="1041"/>
      <c r="M47" s="1041"/>
      <c r="N47" s="1041"/>
      <c r="O47" s="1041"/>
      <c r="P47" s="1041"/>
      <c r="Q47" s="1041"/>
      <c r="R47" s="1041"/>
      <c r="S47" s="1041"/>
      <c r="T47" s="1041"/>
      <c r="U47" s="1041"/>
      <c r="V47" s="1041"/>
      <c r="W47" s="1041"/>
      <c r="X47" s="1041"/>
      <c r="Y47" s="1041"/>
      <c r="Z47" s="1041"/>
      <c r="AA47" s="1041"/>
      <c r="AB47" s="1041"/>
      <c r="AC47" s="1041"/>
      <c r="AD47" s="1041"/>
      <c r="AE47" s="1041"/>
      <c r="AF47" s="1041"/>
      <c r="AG47" s="1041"/>
      <c r="AH47" s="1041"/>
      <c r="AI47" s="1041"/>
      <c r="AJ47" s="1041"/>
      <c r="AK47" s="1041"/>
      <c r="AL47" s="1041"/>
      <c r="AM47" s="1041"/>
      <c r="AN47" s="1041"/>
      <c r="AO47" s="1041"/>
      <c r="AP47" s="1041"/>
      <c r="AQ47" s="1041"/>
      <c r="AR47" s="1041"/>
      <c r="AS47" s="1041"/>
      <c r="AT47" s="1041"/>
      <c r="AU47" s="1041"/>
      <c r="AV47" s="1041"/>
      <c r="AW47" s="1041"/>
      <c r="AX47" s="1041"/>
    </row>
    <row r="48" spans="1:50" ht="15" customHeight="1">
      <c r="E48" s="219"/>
      <c r="F48" s="219"/>
      <c r="G48" s="219"/>
      <c r="H48" s="1041"/>
      <c r="I48" s="1041"/>
      <c r="J48" s="1041"/>
      <c r="K48" s="1041"/>
      <c r="L48" s="1041"/>
      <c r="M48" s="1041"/>
      <c r="N48" s="1041"/>
      <c r="O48" s="1041"/>
      <c r="P48" s="1041"/>
      <c r="Q48" s="1041"/>
      <c r="R48" s="1041"/>
      <c r="S48" s="1041"/>
      <c r="T48" s="1041"/>
      <c r="U48" s="1041"/>
      <c r="V48" s="1041"/>
      <c r="W48" s="1041"/>
      <c r="X48" s="1041"/>
      <c r="Y48" s="1041"/>
      <c r="Z48" s="1041"/>
      <c r="AA48" s="1041"/>
      <c r="AB48" s="1041"/>
      <c r="AC48" s="1041"/>
      <c r="AD48" s="1041"/>
      <c r="AE48" s="1041"/>
      <c r="AF48" s="1041"/>
      <c r="AG48" s="1041"/>
      <c r="AH48" s="1041"/>
      <c r="AI48" s="1041"/>
      <c r="AJ48" s="1041"/>
      <c r="AK48" s="1041"/>
      <c r="AL48" s="1041"/>
      <c r="AM48" s="1041"/>
      <c r="AN48" s="1041"/>
      <c r="AO48" s="1041"/>
      <c r="AP48" s="1041"/>
      <c r="AQ48" s="1041"/>
      <c r="AR48" s="1041"/>
      <c r="AS48" s="1041"/>
      <c r="AT48" s="1041"/>
      <c r="AU48" s="1041"/>
      <c r="AV48" s="1041"/>
      <c r="AW48" s="1041"/>
      <c r="AX48" s="1041"/>
    </row>
    <row r="49" spans="1:50" ht="15" customHeight="1">
      <c r="E49" s="260" t="str">
        <f xml:space="preserve"> E$18</f>
        <v>Operating costs</v>
      </c>
      <c r="F49" s="260">
        <f t="shared" ref="F49:AX49" si="6" xml:space="preserve"> F$18</f>
        <v>0</v>
      </c>
      <c r="G49" s="311" t="str">
        <f xml:space="preserve"> Inputs!F$53</f>
        <v>US$ mn 2021</v>
      </c>
      <c r="H49" s="260">
        <f t="shared" si="6"/>
        <v>0</v>
      </c>
      <c r="I49" s="260">
        <f t="shared" si="6"/>
        <v>8592.5</v>
      </c>
      <c r="J49" s="260">
        <f t="shared" si="6"/>
        <v>0</v>
      </c>
      <c r="K49" s="260">
        <f t="shared" si="6"/>
        <v>0</v>
      </c>
      <c r="L49" s="260">
        <f t="shared" si="6"/>
        <v>0</v>
      </c>
      <c r="M49" s="260">
        <f t="shared" si="6"/>
        <v>0</v>
      </c>
      <c r="N49" s="260">
        <f t="shared" si="6"/>
        <v>131.15591999999998</v>
      </c>
      <c r="O49" s="260">
        <f t="shared" si="6"/>
        <v>226.39518999999999</v>
      </c>
      <c r="P49" s="260">
        <f t="shared" si="6"/>
        <v>226.60140999999999</v>
      </c>
      <c r="Q49" s="260">
        <f t="shared" si="6"/>
        <v>226.63577999999998</v>
      </c>
      <c r="R49" s="260">
        <f t="shared" si="6"/>
        <v>226.08586</v>
      </c>
      <c r="S49" s="260">
        <f t="shared" si="6"/>
        <v>363.11905000000002</v>
      </c>
      <c r="T49" s="260">
        <f t="shared" si="6"/>
        <v>425.67244999999997</v>
      </c>
      <c r="U49" s="260">
        <f t="shared" si="6"/>
        <v>425.29437999999993</v>
      </c>
      <c r="V49" s="260">
        <f t="shared" si="6"/>
        <v>425.29437999999993</v>
      </c>
      <c r="W49" s="260">
        <f t="shared" si="6"/>
        <v>425.29437999999993</v>
      </c>
      <c r="X49" s="260">
        <f t="shared" si="6"/>
        <v>425.29437999999993</v>
      </c>
      <c r="Y49" s="260">
        <f t="shared" si="6"/>
        <v>425.29437999999993</v>
      </c>
      <c r="Z49" s="260">
        <f t="shared" si="6"/>
        <v>425.29437999999993</v>
      </c>
      <c r="AA49" s="260">
        <f t="shared" si="6"/>
        <v>425.29437999999993</v>
      </c>
      <c r="AB49" s="260">
        <f t="shared" si="6"/>
        <v>425.29437999999993</v>
      </c>
      <c r="AC49" s="260">
        <f t="shared" si="6"/>
        <v>425.29437999999993</v>
      </c>
      <c r="AD49" s="260">
        <f t="shared" si="6"/>
        <v>425.29437999999993</v>
      </c>
      <c r="AE49" s="260">
        <f t="shared" si="6"/>
        <v>247.42962999999997</v>
      </c>
      <c r="AF49" s="260">
        <f t="shared" si="6"/>
        <v>247.42962999999997</v>
      </c>
      <c r="AG49" s="260">
        <f t="shared" si="6"/>
        <v>247.42962999999997</v>
      </c>
      <c r="AH49" s="260">
        <f t="shared" si="6"/>
        <v>247.42962999999997</v>
      </c>
      <c r="AI49" s="260">
        <f t="shared" si="6"/>
        <v>247.42962999999997</v>
      </c>
      <c r="AJ49" s="260">
        <f t="shared" si="6"/>
        <v>247.42962999999997</v>
      </c>
      <c r="AK49" s="260">
        <f t="shared" si="6"/>
        <v>247.42962999999997</v>
      </c>
      <c r="AL49" s="260">
        <f t="shared" si="6"/>
        <v>247.42962999999997</v>
      </c>
      <c r="AM49" s="260">
        <f t="shared" si="6"/>
        <v>247.42962999999997</v>
      </c>
      <c r="AN49" s="260">
        <f t="shared" si="6"/>
        <v>183.91387000000168</v>
      </c>
      <c r="AO49" s="260">
        <f t="shared" si="6"/>
        <v>103.10999999999999</v>
      </c>
      <c r="AP49" s="260">
        <f t="shared" si="6"/>
        <v>0</v>
      </c>
      <c r="AQ49" s="260">
        <f t="shared" si="6"/>
        <v>0</v>
      </c>
      <c r="AR49" s="260">
        <f t="shared" si="6"/>
        <v>0</v>
      </c>
      <c r="AS49" s="260">
        <f t="shared" si="6"/>
        <v>0</v>
      </c>
      <c r="AT49" s="260">
        <f t="shared" si="6"/>
        <v>0</v>
      </c>
      <c r="AU49" s="260">
        <f t="shared" si="6"/>
        <v>0</v>
      </c>
      <c r="AV49" s="260">
        <f t="shared" si="6"/>
        <v>0</v>
      </c>
      <c r="AW49" s="260">
        <f t="shared" si="6"/>
        <v>0</v>
      </c>
      <c r="AX49" s="260">
        <f t="shared" si="6"/>
        <v>0</v>
      </c>
    </row>
    <row r="50" spans="1:50" ht="15" customHeight="1">
      <c r="E50" s="1041" t="e">
        <f ca="1">A1 &amp; " " &amp; Translate!E610</f>
        <v>#VALUE!</v>
      </c>
      <c r="F50" s="1041"/>
      <c r="G50" s="1041" t="str">
        <f xml:space="preserve"> Inputs!F$52 &amp; " / " &amp; F$10</f>
        <v>US$ 2021 / MT</v>
      </c>
      <c r="H50" s="1041"/>
      <c r="I50" s="1041"/>
      <c r="J50" s="1041"/>
      <c r="K50" s="1041">
        <f t="shared" ref="K50:AX50" si="7" xml:space="preserve"> IFERROR(K49 / K46 * $F47, 0)</f>
        <v>0</v>
      </c>
      <c r="L50" s="1041">
        <f t="shared" si="7"/>
        <v>0</v>
      </c>
      <c r="M50" s="1041">
        <f t="shared" si="7"/>
        <v>0</v>
      </c>
      <c r="N50" s="1041">
        <f t="shared" si="7"/>
        <v>34.369999999999997</v>
      </c>
      <c r="O50" s="1041">
        <f t="shared" si="7"/>
        <v>34.369999999999997</v>
      </c>
      <c r="P50" s="1041">
        <f t="shared" si="7"/>
        <v>34.369999999999997</v>
      </c>
      <c r="Q50" s="1041">
        <f t="shared" si="7"/>
        <v>34.369999999999997</v>
      </c>
      <c r="R50" s="1041">
        <f t="shared" si="7"/>
        <v>34.369999999999997</v>
      </c>
      <c r="S50" s="1041">
        <f t="shared" si="7"/>
        <v>34.370000000000005</v>
      </c>
      <c r="T50" s="1041">
        <f t="shared" si="7"/>
        <v>34.369999999999997</v>
      </c>
      <c r="U50" s="1041">
        <f t="shared" si="7"/>
        <v>34.369999999999997</v>
      </c>
      <c r="V50" s="1041">
        <f t="shared" si="7"/>
        <v>34.369999999999997</v>
      </c>
      <c r="W50" s="1041">
        <f t="shared" si="7"/>
        <v>34.369999999999997</v>
      </c>
      <c r="X50" s="1041">
        <f t="shared" si="7"/>
        <v>34.369999999999997</v>
      </c>
      <c r="Y50" s="1041">
        <f t="shared" si="7"/>
        <v>34.369999999999997</v>
      </c>
      <c r="Z50" s="1041">
        <f t="shared" si="7"/>
        <v>34.369999999999997</v>
      </c>
      <c r="AA50" s="1041">
        <f t="shared" si="7"/>
        <v>34.369999999999997</v>
      </c>
      <c r="AB50" s="1041">
        <f t="shared" si="7"/>
        <v>34.369999999999997</v>
      </c>
      <c r="AC50" s="1041">
        <f t="shared" si="7"/>
        <v>34.369999999999997</v>
      </c>
      <c r="AD50" s="1041">
        <f t="shared" si="7"/>
        <v>34.369999999999997</v>
      </c>
      <c r="AE50" s="1041">
        <f t="shared" si="7"/>
        <v>34.369999999999997</v>
      </c>
      <c r="AF50" s="1041">
        <f t="shared" si="7"/>
        <v>34.369999999999997</v>
      </c>
      <c r="AG50" s="1041">
        <f t="shared" si="7"/>
        <v>34.369999999999997</v>
      </c>
      <c r="AH50" s="1041">
        <f t="shared" si="7"/>
        <v>34.369999999999997</v>
      </c>
      <c r="AI50" s="1041">
        <f t="shared" si="7"/>
        <v>34.369999999999997</v>
      </c>
      <c r="AJ50" s="1041">
        <f t="shared" si="7"/>
        <v>34.369999999999997</v>
      </c>
      <c r="AK50" s="1041">
        <f t="shared" si="7"/>
        <v>34.369999999999997</v>
      </c>
      <c r="AL50" s="1041">
        <f t="shared" si="7"/>
        <v>34.369999999999997</v>
      </c>
      <c r="AM50" s="1041">
        <f t="shared" si="7"/>
        <v>34.369999999999997</v>
      </c>
      <c r="AN50" s="1041">
        <f t="shared" si="7"/>
        <v>34.369999999999997</v>
      </c>
      <c r="AO50" s="1041">
        <f t="shared" si="7"/>
        <v>34.369999999999997</v>
      </c>
      <c r="AP50" s="1041">
        <f t="shared" si="7"/>
        <v>0</v>
      </c>
      <c r="AQ50" s="1041">
        <f t="shared" si="7"/>
        <v>0</v>
      </c>
      <c r="AR50" s="1041">
        <f t="shared" si="7"/>
        <v>0</v>
      </c>
      <c r="AS50" s="1041">
        <f t="shared" si="7"/>
        <v>0</v>
      </c>
      <c r="AT50" s="1041">
        <f t="shared" si="7"/>
        <v>0</v>
      </c>
      <c r="AU50" s="1041">
        <f t="shared" si="7"/>
        <v>0</v>
      </c>
      <c r="AV50" s="1041">
        <f t="shared" si="7"/>
        <v>0</v>
      </c>
      <c r="AW50" s="1041">
        <f t="shared" si="7"/>
        <v>0</v>
      </c>
      <c r="AX50" s="1041">
        <f t="shared" si="7"/>
        <v>0</v>
      </c>
    </row>
    <row r="51" spans="1:50" ht="15" customHeight="1">
      <c r="E51" s="1041"/>
      <c r="F51" s="1041"/>
      <c r="G51" s="1041"/>
      <c r="H51" s="1041"/>
      <c r="I51" s="1041"/>
      <c r="J51" s="1041"/>
      <c r="K51" s="1041"/>
      <c r="L51" s="1041"/>
      <c r="M51" s="1041"/>
      <c r="N51" s="1041"/>
      <c r="O51" s="1041"/>
      <c r="P51" s="1041"/>
      <c r="Q51" s="1041"/>
      <c r="R51" s="1041"/>
      <c r="S51" s="1041"/>
      <c r="T51" s="1041"/>
      <c r="U51" s="1041"/>
      <c r="V51" s="1041"/>
      <c r="W51" s="1041"/>
      <c r="X51" s="1041"/>
      <c r="Y51" s="1041"/>
      <c r="Z51" s="1041"/>
      <c r="AA51" s="1041"/>
      <c r="AB51" s="1041"/>
      <c r="AC51" s="1041"/>
      <c r="AD51" s="1041"/>
      <c r="AE51" s="1041"/>
      <c r="AF51" s="1041"/>
      <c r="AG51" s="1041"/>
      <c r="AH51" s="1041"/>
      <c r="AI51" s="1041"/>
      <c r="AJ51" s="1041"/>
      <c r="AK51" s="1041"/>
      <c r="AL51" s="1041"/>
      <c r="AM51" s="1041"/>
      <c r="AN51" s="1041"/>
      <c r="AO51" s="1041"/>
      <c r="AP51" s="1041"/>
      <c r="AQ51" s="1041"/>
      <c r="AR51" s="1041"/>
      <c r="AS51" s="1041"/>
      <c r="AT51" s="1041"/>
      <c r="AU51" s="1041"/>
      <c r="AV51" s="1041"/>
      <c r="AW51" s="1041"/>
      <c r="AX51" s="1041"/>
    </row>
    <row r="52" spans="1:50" ht="15" customHeight="1">
      <c r="E52" s="1041"/>
      <c r="F52" s="1041"/>
      <c r="G52" s="1041"/>
      <c r="H52" s="1041"/>
      <c r="I52" s="1041"/>
      <c r="J52" s="1041"/>
      <c r="K52" s="1041"/>
      <c r="L52" s="1041"/>
      <c r="M52" s="1041"/>
      <c r="N52" s="1041"/>
      <c r="O52" s="1041"/>
      <c r="P52" s="1041"/>
      <c r="Q52" s="1041"/>
      <c r="R52" s="1041"/>
      <c r="S52" s="1041"/>
      <c r="T52" s="1041"/>
      <c r="U52" s="1041"/>
      <c r="V52" s="1041"/>
      <c r="W52" s="1041"/>
      <c r="X52" s="1041"/>
      <c r="Y52" s="1041"/>
      <c r="Z52" s="1041"/>
      <c r="AA52" s="1041"/>
      <c r="AB52" s="1041"/>
      <c r="AC52" s="1041"/>
      <c r="AD52" s="1041"/>
      <c r="AE52" s="1041"/>
      <c r="AF52" s="1041"/>
      <c r="AG52" s="1041"/>
      <c r="AH52" s="1041"/>
      <c r="AI52" s="1041"/>
      <c r="AJ52" s="1041"/>
      <c r="AK52" s="1041"/>
      <c r="AL52" s="1041"/>
      <c r="AM52" s="1041"/>
      <c r="AN52" s="1041"/>
      <c r="AO52" s="1041"/>
      <c r="AP52" s="1041"/>
      <c r="AQ52" s="1041"/>
      <c r="AR52" s="1041"/>
      <c r="AS52" s="1041"/>
      <c r="AT52" s="1041"/>
      <c r="AU52" s="1041"/>
      <c r="AV52" s="1041"/>
      <c r="AW52" s="1041"/>
      <c r="AX52" s="1041"/>
    </row>
    <row r="53" spans="1:50" ht="15" customHeight="1">
      <c r="A53" s="86" t="str">
        <f xml:space="preserve"> Translate!E$757</f>
        <v>Charts</v>
      </c>
      <c r="B53" s="86"/>
      <c r="C53" s="86"/>
      <c r="D53" s="86"/>
      <c r="E53" s="88"/>
      <c r="F53" s="86"/>
      <c r="G53" s="86"/>
      <c r="H53" s="86"/>
      <c r="I53" s="86"/>
      <c r="J53" s="86"/>
      <c r="K53" s="86"/>
      <c r="L53" s="86"/>
      <c r="M53" s="86"/>
      <c r="N53" s="86"/>
      <c r="O53" s="86"/>
      <c r="P53" s="86"/>
      <c r="Q53" s="86"/>
      <c r="R53" s="86"/>
      <c r="S53" s="86"/>
      <c r="T53" s="86"/>
      <c r="U53" s="86"/>
      <c r="V53" s="86"/>
      <c r="W53" s="86"/>
      <c r="X53" s="86"/>
      <c r="Y53" s="86"/>
      <c r="Z53" s="86"/>
      <c r="AA53" s="86"/>
      <c r="AB53" s="86"/>
      <c r="AC53" s="86"/>
      <c r="AD53" s="86"/>
      <c r="AE53" s="86"/>
      <c r="AF53" s="86"/>
      <c r="AG53" s="86"/>
      <c r="AH53" s="86"/>
      <c r="AI53" s="86"/>
      <c r="AJ53" s="86"/>
      <c r="AK53" s="86"/>
      <c r="AL53" s="86"/>
      <c r="AM53" s="86"/>
      <c r="AN53" s="86"/>
      <c r="AO53" s="86"/>
      <c r="AP53" s="86"/>
      <c r="AQ53" s="86"/>
      <c r="AR53" s="86"/>
      <c r="AS53" s="86"/>
      <c r="AT53" s="86"/>
      <c r="AU53" s="86"/>
      <c r="AV53" s="86"/>
      <c r="AW53" s="86"/>
      <c r="AX53" s="86"/>
    </row>
    <row r="54" spans="1:50" ht="15" customHeight="1">
      <c r="E54" s="1041"/>
      <c r="F54" s="1041"/>
      <c r="G54" s="1041"/>
      <c r="H54" s="1041"/>
      <c r="I54" s="1041"/>
      <c r="J54" s="1041"/>
      <c r="K54" s="1041"/>
      <c r="L54" s="1041"/>
      <c r="M54" s="1041"/>
      <c r="N54" s="1041"/>
      <c r="O54" s="1041"/>
      <c r="P54" s="1041"/>
      <c r="Q54" s="1041"/>
      <c r="R54" s="1041"/>
      <c r="S54" s="1041"/>
      <c r="T54" s="1041"/>
      <c r="U54" s="1041"/>
      <c r="V54" s="1041"/>
      <c r="W54" s="1041"/>
      <c r="X54" s="1041"/>
      <c r="Y54" s="1041"/>
      <c r="Z54" s="1041"/>
      <c r="AA54" s="1041"/>
      <c r="AB54" s="1041"/>
      <c r="AC54" s="1041"/>
      <c r="AD54" s="1041"/>
      <c r="AE54" s="1041"/>
      <c r="AF54" s="1041"/>
      <c r="AG54" s="1041"/>
      <c r="AH54" s="1041"/>
      <c r="AI54" s="1041"/>
      <c r="AJ54" s="1041"/>
      <c r="AK54" s="1041"/>
      <c r="AL54" s="1041"/>
      <c r="AM54" s="1041"/>
      <c r="AN54" s="1041"/>
      <c r="AO54" s="1041"/>
      <c r="AP54" s="1041"/>
      <c r="AQ54" s="1041"/>
      <c r="AR54" s="1041"/>
      <c r="AS54" s="1041"/>
      <c r="AT54" s="1041"/>
      <c r="AU54" s="1041"/>
      <c r="AV54" s="1041"/>
      <c r="AW54" s="1041"/>
      <c r="AX54" s="1041"/>
    </row>
    <row r="55" spans="1:50" ht="15" customHeight="1">
      <c r="E55" s="1041"/>
      <c r="F55" s="1041"/>
      <c r="G55" s="1041"/>
      <c r="H55" s="1041"/>
      <c r="I55" s="1041"/>
      <c r="J55" s="1041"/>
      <c r="K55" s="1041"/>
      <c r="L55" s="1041"/>
      <c r="M55" s="1041"/>
      <c r="N55" s="1041"/>
      <c r="O55" s="1041"/>
      <c r="P55" s="1041"/>
      <c r="Q55" s="1041"/>
      <c r="R55" s="1041"/>
      <c r="S55" s="1041"/>
      <c r="T55" s="1041"/>
      <c r="U55" s="1041"/>
      <c r="V55" s="1041"/>
      <c r="W55" s="1041"/>
      <c r="X55" s="1041"/>
      <c r="Y55" s="1041"/>
      <c r="Z55" s="1041"/>
      <c r="AA55" s="1041"/>
      <c r="AB55" s="1041"/>
      <c r="AC55" s="1041"/>
      <c r="AD55" s="1041"/>
      <c r="AE55" s="1041"/>
      <c r="AF55" s="1041"/>
      <c r="AG55" s="1041"/>
      <c r="AH55" s="1041"/>
      <c r="AI55" s="1041"/>
      <c r="AJ55" s="1041"/>
      <c r="AK55" s="1041"/>
      <c r="AL55" s="1041"/>
      <c r="AM55" s="1041"/>
      <c r="AN55" s="1041"/>
      <c r="AO55" s="1041"/>
      <c r="AP55" s="1041"/>
      <c r="AQ55" s="1041"/>
      <c r="AR55" s="1041"/>
      <c r="AS55" s="1041"/>
      <c r="AT55" s="1041"/>
      <c r="AU55" s="1041"/>
      <c r="AV55" s="1041"/>
      <c r="AW55" s="1041"/>
      <c r="AX55" s="1041"/>
    </row>
    <row r="56" spans="1:50" ht="15" customHeight="1">
      <c r="E56" s="1041"/>
      <c r="F56" s="1041"/>
      <c r="G56" s="1041"/>
      <c r="H56" s="1041"/>
      <c r="I56" s="1041"/>
      <c r="J56" s="1041"/>
      <c r="K56" s="1041"/>
      <c r="L56" s="1041"/>
      <c r="M56" s="1041"/>
      <c r="N56" s="1041"/>
      <c r="O56" s="1041"/>
      <c r="P56" s="1041"/>
      <c r="Q56" s="1041"/>
      <c r="R56" s="1041"/>
      <c r="S56" s="1041"/>
      <c r="T56" s="1041"/>
      <c r="U56" s="1041"/>
      <c r="V56" s="1041"/>
      <c r="W56" s="1041"/>
      <c r="X56" s="1041"/>
      <c r="Y56" s="1041"/>
      <c r="Z56" s="1041"/>
      <c r="AA56" s="1041"/>
      <c r="AB56" s="1041"/>
      <c r="AC56" s="1041"/>
      <c r="AD56" s="1041"/>
      <c r="AE56" s="1041"/>
      <c r="AF56" s="1041"/>
      <c r="AG56" s="1041"/>
      <c r="AH56" s="1041"/>
      <c r="AI56" s="1041"/>
      <c r="AJ56" s="1041"/>
      <c r="AK56" s="1041"/>
      <c r="AL56" s="1041"/>
      <c r="AM56" s="1041"/>
      <c r="AN56" s="1041"/>
      <c r="AO56" s="1041"/>
      <c r="AP56" s="1041"/>
      <c r="AQ56" s="1041"/>
      <c r="AR56" s="1041"/>
      <c r="AS56" s="1041"/>
      <c r="AT56" s="1041"/>
      <c r="AU56" s="1041"/>
      <c r="AV56" s="1041"/>
      <c r="AW56" s="1041"/>
      <c r="AX56" s="1041"/>
    </row>
    <row r="57" spans="1:50" ht="15" customHeight="1">
      <c r="E57" s="1041"/>
      <c r="F57" s="1041"/>
      <c r="G57" s="1041"/>
      <c r="H57" s="1041"/>
      <c r="I57" s="1041"/>
      <c r="J57" s="1041"/>
      <c r="K57" s="1041"/>
      <c r="L57" s="1041"/>
      <c r="M57" s="1041"/>
      <c r="N57" s="1041"/>
      <c r="O57" s="1041"/>
      <c r="P57" s="1041"/>
      <c r="Q57" s="1041"/>
      <c r="R57" s="1041"/>
      <c r="S57" s="1041"/>
      <c r="T57" s="1041"/>
      <c r="U57" s="1041"/>
      <c r="V57" s="1041"/>
      <c r="W57" s="1041"/>
      <c r="X57" s="1041"/>
      <c r="Y57" s="1041"/>
      <c r="Z57" s="1041"/>
      <c r="AA57" s="1041"/>
      <c r="AB57" s="1041"/>
      <c r="AC57" s="1041"/>
      <c r="AD57" s="1041"/>
      <c r="AE57" s="1041"/>
      <c r="AF57" s="1041"/>
      <c r="AG57" s="1041"/>
      <c r="AH57" s="1041"/>
      <c r="AI57" s="1041"/>
      <c r="AJ57" s="1041"/>
      <c r="AK57" s="1041"/>
      <c r="AL57" s="1041"/>
      <c r="AM57" s="1041"/>
      <c r="AN57" s="1041"/>
      <c r="AO57" s="1041"/>
      <c r="AP57" s="1041"/>
      <c r="AQ57" s="1041"/>
      <c r="AR57" s="1041"/>
      <c r="AS57" s="1041"/>
      <c r="AT57" s="1041"/>
      <c r="AU57" s="1041"/>
      <c r="AV57" s="1041"/>
      <c r="AW57" s="1041"/>
      <c r="AX57" s="1041"/>
    </row>
    <row r="58" spans="1:50" ht="15" customHeight="1">
      <c r="E58" s="1041"/>
      <c r="F58" s="1041"/>
      <c r="G58" s="1041"/>
      <c r="H58" s="1041"/>
      <c r="I58" s="1041"/>
      <c r="J58" s="1041"/>
      <c r="K58" s="1041"/>
      <c r="L58" s="1041"/>
      <c r="M58" s="1041"/>
      <c r="N58" s="1041"/>
      <c r="O58" s="1041"/>
      <c r="P58" s="1041"/>
      <c r="Q58" s="1041"/>
      <c r="R58" s="1041"/>
      <c r="S58" s="1041"/>
      <c r="T58" s="1041"/>
      <c r="U58" s="1041"/>
      <c r="V58" s="1041"/>
      <c r="W58" s="1041"/>
      <c r="X58" s="1041"/>
      <c r="Y58" s="1041"/>
      <c r="Z58" s="1041"/>
      <c r="AA58" s="1041"/>
      <c r="AB58" s="1041"/>
      <c r="AC58" s="1041"/>
      <c r="AD58" s="1041"/>
      <c r="AE58" s="1041"/>
      <c r="AF58" s="1041"/>
      <c r="AG58" s="1041"/>
      <c r="AH58" s="1041"/>
      <c r="AI58" s="1041"/>
      <c r="AJ58" s="1041"/>
      <c r="AK58" s="1041"/>
      <c r="AL58" s="1041"/>
      <c r="AM58" s="1041"/>
      <c r="AN58" s="1041"/>
      <c r="AO58" s="1041"/>
      <c r="AP58" s="1041"/>
      <c r="AQ58" s="1041"/>
      <c r="AR58" s="1041"/>
      <c r="AS58" s="1041"/>
      <c r="AT58" s="1041"/>
      <c r="AU58" s="1041"/>
      <c r="AV58" s="1041"/>
      <c r="AW58" s="1041"/>
      <c r="AX58" s="1041"/>
    </row>
    <row r="59" spans="1:50" ht="15" customHeight="1">
      <c r="E59" s="1041"/>
      <c r="F59" s="1041"/>
      <c r="G59" s="1041"/>
      <c r="H59" s="1041"/>
      <c r="I59" s="1041"/>
      <c r="J59" s="1041"/>
      <c r="K59" s="1041"/>
      <c r="L59" s="1041"/>
      <c r="M59" s="1041"/>
      <c r="N59" s="1041"/>
      <c r="O59" s="1041"/>
      <c r="P59" s="1041"/>
      <c r="Q59" s="1041"/>
      <c r="R59" s="1041"/>
      <c r="S59" s="1041"/>
      <c r="T59" s="1041"/>
      <c r="U59" s="1041"/>
      <c r="V59" s="1041"/>
      <c r="W59" s="1041"/>
      <c r="X59" s="1041"/>
      <c r="Y59" s="1041"/>
      <c r="Z59" s="1041"/>
      <c r="AA59" s="1041"/>
      <c r="AB59" s="1041"/>
      <c r="AC59" s="1041"/>
      <c r="AD59" s="1041"/>
      <c r="AE59" s="1041"/>
      <c r="AF59" s="1041"/>
      <c r="AG59" s="1041"/>
      <c r="AH59" s="1041"/>
      <c r="AI59" s="1041"/>
      <c r="AJ59" s="1041"/>
      <c r="AK59" s="1041"/>
      <c r="AL59" s="1041"/>
      <c r="AM59" s="1041"/>
      <c r="AN59" s="1041"/>
      <c r="AO59" s="1041"/>
      <c r="AP59" s="1041"/>
      <c r="AQ59" s="1041"/>
      <c r="AR59" s="1041"/>
      <c r="AS59" s="1041"/>
      <c r="AT59" s="1041"/>
      <c r="AU59" s="1041"/>
      <c r="AV59" s="1041"/>
      <c r="AW59" s="1041"/>
      <c r="AX59" s="1041"/>
    </row>
    <row r="60" spans="1:50" ht="15" customHeight="1">
      <c r="E60" s="1041"/>
      <c r="F60" s="1041"/>
      <c r="G60" s="1041"/>
      <c r="H60" s="1041"/>
      <c r="I60" s="1041"/>
      <c r="J60" s="1041"/>
      <c r="K60" s="1041"/>
      <c r="L60" s="1041"/>
      <c r="M60" s="1041"/>
      <c r="N60" s="1041"/>
      <c r="O60" s="1041"/>
      <c r="P60" s="1041"/>
      <c r="Q60" s="1041"/>
      <c r="R60" s="1041"/>
      <c r="S60" s="1041"/>
      <c r="T60" s="1041"/>
      <c r="U60" s="1041"/>
      <c r="V60" s="1041"/>
      <c r="W60" s="1041"/>
      <c r="X60" s="1041"/>
      <c r="Y60" s="1041"/>
      <c r="Z60" s="1041"/>
      <c r="AA60" s="1041"/>
      <c r="AB60" s="1041"/>
      <c r="AC60" s="1041"/>
      <c r="AD60" s="1041"/>
      <c r="AE60" s="1041"/>
      <c r="AF60" s="1041"/>
      <c r="AG60" s="1041"/>
      <c r="AH60" s="1041"/>
      <c r="AI60" s="1041"/>
      <c r="AJ60" s="1041"/>
      <c r="AK60" s="1041"/>
      <c r="AL60" s="1041"/>
      <c r="AM60" s="1041"/>
      <c r="AN60" s="1041"/>
      <c r="AO60" s="1041"/>
      <c r="AP60" s="1041"/>
      <c r="AQ60" s="1041"/>
      <c r="AR60" s="1041"/>
      <c r="AS60" s="1041"/>
      <c r="AT60" s="1041"/>
      <c r="AU60" s="1041"/>
      <c r="AV60" s="1041"/>
      <c r="AW60" s="1041"/>
      <c r="AX60" s="1041"/>
    </row>
    <row r="61" spans="1:50" ht="15" customHeight="1">
      <c r="E61" s="1041"/>
      <c r="F61" s="1041"/>
      <c r="G61" s="1041"/>
      <c r="H61" s="1041"/>
      <c r="I61" s="1041"/>
      <c r="J61" s="1041"/>
      <c r="K61" s="1041"/>
      <c r="L61" s="1041"/>
      <c r="M61" s="1041"/>
      <c r="N61" s="1041"/>
      <c r="O61" s="1041"/>
      <c r="P61" s="1041"/>
      <c r="Q61" s="1041"/>
      <c r="R61" s="1041"/>
      <c r="S61" s="1041"/>
      <c r="T61" s="1041"/>
      <c r="U61" s="1041"/>
      <c r="V61" s="1041"/>
      <c r="W61" s="1041"/>
      <c r="X61" s="1041"/>
      <c r="Y61" s="1041"/>
      <c r="Z61" s="1041"/>
      <c r="AA61" s="1041"/>
      <c r="AB61" s="1041"/>
      <c r="AC61" s="1041"/>
      <c r="AD61" s="1041"/>
      <c r="AE61" s="1041"/>
      <c r="AF61" s="1041"/>
      <c r="AG61" s="1041"/>
      <c r="AH61" s="1041"/>
      <c r="AI61" s="1041"/>
      <c r="AJ61" s="1041"/>
      <c r="AK61" s="1041"/>
      <c r="AL61" s="1041"/>
      <c r="AM61" s="1041"/>
      <c r="AN61" s="1041"/>
      <c r="AO61" s="1041"/>
      <c r="AP61" s="1041"/>
      <c r="AQ61" s="1041"/>
      <c r="AR61" s="1041"/>
      <c r="AS61" s="1041"/>
      <c r="AT61" s="1041"/>
      <c r="AU61" s="1041"/>
      <c r="AV61" s="1041"/>
      <c r="AW61" s="1041"/>
      <c r="AX61" s="1041"/>
    </row>
    <row r="62" spans="1:50" s="19" customFormat="1" ht="15" customHeight="1">
      <c r="C62" s="202"/>
      <c r="D62" s="203"/>
      <c r="E62" s="1041"/>
      <c r="F62" s="1041"/>
      <c r="G62" s="1041"/>
      <c r="H62" s="1041"/>
      <c r="I62" s="1041"/>
      <c r="J62" s="1041"/>
      <c r="K62" s="1041"/>
      <c r="L62" s="1041"/>
      <c r="M62" s="1041"/>
      <c r="N62" s="1041"/>
      <c r="O62" s="1041"/>
      <c r="P62" s="1041"/>
      <c r="Q62" s="1041"/>
      <c r="R62" s="1041"/>
      <c r="S62" s="1041"/>
      <c r="T62" s="1041"/>
      <c r="U62" s="1041"/>
      <c r="V62" s="1041"/>
      <c r="W62" s="1041"/>
      <c r="X62" s="1041"/>
      <c r="Y62" s="1041"/>
      <c r="Z62" s="1041"/>
      <c r="AA62" s="1041"/>
      <c r="AB62" s="1041"/>
      <c r="AC62" s="1041"/>
      <c r="AD62" s="1041"/>
      <c r="AE62" s="1041"/>
      <c r="AF62" s="1041"/>
      <c r="AG62" s="1041"/>
      <c r="AH62" s="1041"/>
      <c r="AI62" s="1041"/>
      <c r="AJ62" s="1041"/>
      <c r="AK62" s="1041"/>
      <c r="AL62" s="1041"/>
      <c r="AM62" s="1041"/>
      <c r="AN62" s="1041"/>
      <c r="AO62" s="1041"/>
      <c r="AP62" s="1041"/>
      <c r="AQ62" s="1041"/>
      <c r="AR62" s="1041"/>
      <c r="AS62" s="1041"/>
      <c r="AT62" s="1041"/>
      <c r="AU62" s="1041"/>
      <c r="AV62" s="1041"/>
      <c r="AW62" s="1041"/>
      <c r="AX62" s="1041"/>
    </row>
    <row r="63" spans="1:50" s="19" customFormat="1" ht="15" customHeight="1">
      <c r="C63" s="202"/>
      <c r="D63" s="203"/>
      <c r="E63" s="1041"/>
      <c r="F63" s="1041"/>
      <c r="G63" s="1041"/>
      <c r="H63" s="1041"/>
      <c r="I63" s="1041"/>
      <c r="J63" s="1041"/>
      <c r="K63" s="1041"/>
      <c r="L63" s="1041"/>
      <c r="M63" s="1041"/>
      <c r="N63" s="1041"/>
      <c r="O63" s="1041"/>
      <c r="P63" s="1041"/>
      <c r="Q63" s="1041"/>
      <c r="R63" s="1041"/>
      <c r="S63" s="1041"/>
      <c r="T63" s="1041"/>
      <c r="U63" s="1041"/>
      <c r="V63" s="1041"/>
      <c r="W63" s="1041"/>
      <c r="X63" s="1041"/>
      <c r="Y63" s="1041"/>
      <c r="Z63" s="1041"/>
      <c r="AA63" s="1041"/>
      <c r="AB63" s="1041"/>
      <c r="AC63" s="1041"/>
      <c r="AD63" s="1041"/>
      <c r="AE63" s="1041"/>
      <c r="AF63" s="1041"/>
      <c r="AG63" s="1041"/>
      <c r="AH63" s="1041"/>
      <c r="AI63" s="1041"/>
      <c r="AJ63" s="1041"/>
      <c r="AK63" s="1041"/>
      <c r="AL63" s="1041"/>
      <c r="AM63" s="1041"/>
      <c r="AN63" s="1041"/>
      <c r="AO63" s="1041"/>
      <c r="AP63" s="1041"/>
      <c r="AQ63" s="1041"/>
      <c r="AR63" s="1041"/>
      <c r="AS63" s="1041"/>
      <c r="AT63" s="1041"/>
      <c r="AU63" s="1041"/>
      <c r="AV63" s="1041"/>
      <c r="AW63" s="1041"/>
      <c r="AX63" s="1041"/>
    </row>
    <row r="64" spans="1:50" s="19" customFormat="1" ht="15" customHeight="1">
      <c r="C64" s="202"/>
      <c r="D64" s="203"/>
      <c r="E64" s="1041"/>
      <c r="F64" s="1041"/>
      <c r="G64" s="1041"/>
      <c r="H64" s="1041"/>
      <c r="I64" s="1041"/>
      <c r="J64" s="1041"/>
      <c r="K64" s="1041"/>
      <c r="L64" s="1041"/>
      <c r="M64" s="1041"/>
      <c r="N64" s="1041"/>
      <c r="O64" s="1041"/>
      <c r="P64" s="1041"/>
      <c r="Q64" s="1041"/>
      <c r="R64" s="1041"/>
      <c r="S64" s="1041"/>
      <c r="T64" s="1041"/>
      <c r="U64" s="1041"/>
      <c r="V64" s="1041"/>
      <c r="W64" s="1041"/>
      <c r="X64" s="1041"/>
      <c r="Y64" s="1041"/>
      <c r="Z64" s="1041"/>
      <c r="AA64" s="1041"/>
      <c r="AB64" s="1041"/>
      <c r="AC64" s="1041"/>
      <c r="AD64" s="1041"/>
      <c r="AE64" s="1041"/>
      <c r="AF64" s="1041"/>
      <c r="AG64" s="1041"/>
      <c r="AH64" s="1041"/>
      <c r="AI64" s="1041"/>
      <c r="AJ64" s="1041"/>
      <c r="AK64" s="1041"/>
      <c r="AL64" s="1041"/>
      <c r="AM64" s="1041"/>
      <c r="AN64" s="1041"/>
      <c r="AO64" s="1041"/>
      <c r="AP64" s="1041"/>
      <c r="AQ64" s="1041"/>
      <c r="AR64" s="1041"/>
      <c r="AS64" s="1041"/>
      <c r="AT64" s="1041"/>
      <c r="AU64" s="1041"/>
      <c r="AV64" s="1041"/>
      <c r="AW64" s="1041"/>
      <c r="AX64" s="1041"/>
    </row>
    <row r="65" spans="1:50" s="19" customFormat="1" ht="15" customHeight="1">
      <c r="C65" s="202"/>
      <c r="D65" s="203"/>
      <c r="E65" s="1041"/>
      <c r="F65" s="1041"/>
      <c r="G65" s="1041"/>
      <c r="H65" s="1041"/>
      <c r="I65" s="1041"/>
      <c r="J65" s="1041"/>
      <c r="K65" s="1041"/>
      <c r="L65" s="1041"/>
      <c r="M65" s="1041"/>
      <c r="N65" s="1041"/>
      <c r="O65" s="1041"/>
      <c r="P65" s="1041"/>
      <c r="Q65" s="1041"/>
      <c r="R65" s="1041"/>
      <c r="S65" s="1041"/>
      <c r="T65" s="1041"/>
      <c r="U65" s="1041"/>
      <c r="V65" s="1041"/>
      <c r="W65" s="1041"/>
      <c r="X65" s="1041"/>
      <c r="Y65" s="1041"/>
      <c r="Z65" s="1041"/>
      <c r="AA65" s="1041"/>
      <c r="AB65" s="1041"/>
      <c r="AC65" s="1041"/>
      <c r="AD65" s="1041"/>
      <c r="AE65" s="1041"/>
      <c r="AF65" s="1041"/>
      <c r="AG65" s="1041"/>
      <c r="AH65" s="1041"/>
      <c r="AI65" s="1041"/>
      <c r="AJ65" s="1041"/>
      <c r="AK65" s="1041"/>
      <c r="AL65" s="1041"/>
      <c r="AM65" s="1041"/>
      <c r="AN65" s="1041"/>
      <c r="AO65" s="1041"/>
      <c r="AP65" s="1041"/>
      <c r="AQ65" s="1041"/>
      <c r="AR65" s="1041"/>
      <c r="AS65" s="1041"/>
      <c r="AT65" s="1041"/>
      <c r="AU65" s="1041"/>
      <c r="AV65" s="1041"/>
      <c r="AW65" s="1041"/>
      <c r="AX65" s="1041"/>
    </row>
    <row r="66" spans="1:50" s="19" customFormat="1" ht="15" customHeight="1">
      <c r="C66" s="202"/>
      <c r="D66" s="203"/>
      <c r="E66" s="1041"/>
      <c r="F66" s="1041"/>
      <c r="G66" s="1041"/>
      <c r="H66" s="1041"/>
      <c r="I66" s="1041"/>
      <c r="J66" s="1041"/>
      <c r="K66" s="1041"/>
      <c r="L66" s="1041"/>
      <c r="M66" s="1041"/>
      <c r="N66" s="1041"/>
      <c r="O66" s="1041"/>
      <c r="P66" s="1041"/>
      <c r="Q66" s="1041"/>
      <c r="R66" s="1041"/>
      <c r="S66" s="1041"/>
      <c r="T66" s="1041"/>
      <c r="U66" s="1041"/>
      <c r="V66" s="1041"/>
      <c r="W66" s="1041"/>
      <c r="X66" s="1041"/>
      <c r="Y66" s="1041"/>
      <c r="Z66" s="1041"/>
      <c r="AA66" s="1041"/>
      <c r="AB66" s="1041"/>
      <c r="AC66" s="1041"/>
      <c r="AD66" s="1041"/>
      <c r="AE66" s="1041"/>
      <c r="AF66" s="1041"/>
      <c r="AG66" s="1041"/>
      <c r="AH66" s="1041"/>
      <c r="AI66" s="1041"/>
      <c r="AJ66" s="1041"/>
      <c r="AK66" s="1041"/>
      <c r="AL66" s="1041"/>
      <c r="AM66" s="1041"/>
      <c r="AN66" s="1041"/>
      <c r="AO66" s="1041"/>
      <c r="AP66" s="1041"/>
      <c r="AQ66" s="1041"/>
      <c r="AR66" s="1041"/>
      <c r="AS66" s="1041"/>
      <c r="AT66" s="1041"/>
      <c r="AU66" s="1041"/>
      <c r="AV66" s="1041"/>
      <c r="AW66" s="1041"/>
      <c r="AX66" s="1041"/>
    </row>
    <row r="67" spans="1:50" s="19" customFormat="1" ht="15" customHeight="1">
      <c r="C67" s="202"/>
      <c r="D67" s="203"/>
      <c r="E67" s="1041"/>
      <c r="F67" s="1041"/>
      <c r="G67" s="1041"/>
      <c r="H67" s="1041"/>
      <c r="I67" s="1041"/>
      <c r="J67" s="1041"/>
      <c r="K67" s="1041"/>
      <c r="L67" s="1041"/>
      <c r="M67" s="1041"/>
      <c r="N67" s="1041"/>
      <c r="O67" s="1041"/>
      <c r="P67" s="1041"/>
      <c r="Q67" s="1041"/>
      <c r="R67" s="1041"/>
      <c r="S67" s="1041"/>
      <c r="T67" s="1041"/>
      <c r="U67" s="1041"/>
      <c r="V67" s="1041"/>
      <c r="W67" s="1041"/>
      <c r="X67" s="1041"/>
      <c r="Y67" s="1041"/>
      <c r="Z67" s="1041"/>
      <c r="AA67" s="1041"/>
      <c r="AB67" s="1041"/>
      <c r="AC67" s="1041"/>
      <c r="AD67" s="1041"/>
      <c r="AE67" s="1041"/>
      <c r="AF67" s="1041"/>
      <c r="AG67" s="1041"/>
      <c r="AH67" s="1041"/>
      <c r="AI67" s="1041"/>
      <c r="AJ67" s="1041"/>
      <c r="AK67" s="1041"/>
      <c r="AL67" s="1041"/>
      <c r="AM67" s="1041"/>
      <c r="AN67" s="1041"/>
      <c r="AO67" s="1041"/>
      <c r="AP67" s="1041"/>
      <c r="AQ67" s="1041"/>
      <c r="AR67" s="1041"/>
      <c r="AS67" s="1041"/>
      <c r="AT67" s="1041"/>
      <c r="AU67" s="1041"/>
      <c r="AV67" s="1041"/>
      <c r="AW67" s="1041"/>
      <c r="AX67" s="1041"/>
    </row>
    <row r="68" spans="1:50" s="19" customFormat="1" ht="15" customHeight="1">
      <c r="C68" s="202"/>
      <c r="D68" s="203"/>
      <c r="E68" s="1041"/>
      <c r="F68" s="1041"/>
      <c r="G68" s="1041"/>
      <c r="H68" s="1041"/>
      <c r="I68" s="1041"/>
      <c r="J68" s="1041"/>
      <c r="K68" s="1041"/>
      <c r="L68" s="1041"/>
      <c r="M68" s="1041"/>
      <c r="N68" s="1041"/>
      <c r="O68" s="1041"/>
      <c r="P68" s="1041"/>
      <c r="Q68" s="1041"/>
      <c r="R68" s="1041"/>
      <c r="S68" s="1041"/>
      <c r="T68" s="1041"/>
      <c r="U68" s="1041"/>
      <c r="V68" s="1041"/>
      <c r="W68" s="1041"/>
      <c r="X68" s="1041"/>
      <c r="Y68" s="1041"/>
      <c r="Z68" s="1041"/>
      <c r="AA68" s="1041"/>
      <c r="AB68" s="1041"/>
      <c r="AC68" s="1041"/>
      <c r="AD68" s="1041"/>
      <c r="AE68" s="1041"/>
      <c r="AF68" s="1041"/>
      <c r="AG68" s="1041"/>
      <c r="AH68" s="1041"/>
      <c r="AI68" s="1041"/>
      <c r="AJ68" s="1041"/>
      <c r="AK68" s="1041"/>
      <c r="AL68" s="1041"/>
      <c r="AM68" s="1041"/>
      <c r="AN68" s="1041"/>
      <c r="AO68" s="1041"/>
      <c r="AP68" s="1041"/>
      <c r="AQ68" s="1041"/>
      <c r="AR68" s="1041"/>
      <c r="AS68" s="1041"/>
      <c r="AT68" s="1041"/>
      <c r="AU68" s="1041"/>
      <c r="AV68" s="1041"/>
      <c r="AW68" s="1041"/>
      <c r="AX68" s="1041"/>
    </row>
    <row r="69" spans="1:50" s="19" customFormat="1" ht="15" customHeight="1">
      <c r="C69" s="202"/>
      <c r="D69" s="203"/>
      <c r="E69" s="1041"/>
      <c r="F69" s="1041"/>
      <c r="G69" s="1041"/>
      <c r="H69" s="1041"/>
      <c r="I69" s="1041"/>
      <c r="J69" s="1041"/>
      <c r="K69" s="1041"/>
      <c r="L69" s="1041"/>
      <c r="M69" s="1041"/>
      <c r="N69" s="1041"/>
      <c r="O69" s="1041"/>
      <c r="P69" s="1041"/>
      <c r="Q69" s="1041"/>
      <c r="R69" s="1041"/>
      <c r="S69" s="1041"/>
      <c r="T69" s="1041"/>
      <c r="U69" s="1041"/>
      <c r="V69" s="1041"/>
      <c r="W69" s="1041"/>
      <c r="X69" s="1041"/>
      <c r="Y69" s="1041"/>
      <c r="Z69" s="1041"/>
      <c r="AA69" s="1041"/>
      <c r="AB69" s="1041"/>
      <c r="AC69" s="1041"/>
      <c r="AD69" s="1041"/>
      <c r="AE69" s="1041"/>
      <c r="AF69" s="1041"/>
      <c r="AG69" s="1041"/>
      <c r="AH69" s="1041"/>
      <c r="AI69" s="1041"/>
      <c r="AJ69" s="1041"/>
      <c r="AK69" s="1041"/>
      <c r="AL69" s="1041"/>
      <c r="AM69" s="1041"/>
      <c r="AN69" s="1041"/>
      <c r="AO69" s="1041"/>
      <c r="AP69" s="1041"/>
      <c r="AQ69" s="1041"/>
      <c r="AR69" s="1041"/>
      <c r="AS69" s="1041"/>
      <c r="AT69" s="1041"/>
      <c r="AU69" s="1041"/>
      <c r="AV69" s="1041"/>
      <c r="AW69" s="1041"/>
      <c r="AX69" s="1041"/>
    </row>
    <row r="70" spans="1:50" s="19" customFormat="1" ht="15" customHeight="1">
      <c r="C70" s="202"/>
      <c r="D70" s="203"/>
      <c r="E70" s="1041"/>
      <c r="F70" s="1041"/>
      <c r="G70" s="1041"/>
      <c r="H70" s="1041"/>
      <c r="I70" s="1041"/>
      <c r="J70" s="1041"/>
      <c r="K70" s="1041"/>
      <c r="L70" s="1041"/>
      <c r="M70" s="1041"/>
      <c r="N70" s="1041"/>
      <c r="O70" s="1041"/>
      <c r="P70" s="1041"/>
      <c r="Q70" s="1041"/>
      <c r="R70" s="1041"/>
      <c r="S70" s="1041"/>
      <c r="T70" s="1041"/>
      <c r="U70" s="1041"/>
      <c r="V70" s="1041"/>
      <c r="W70" s="1041"/>
      <c r="X70" s="1041"/>
      <c r="Y70" s="1041"/>
      <c r="Z70" s="1041"/>
      <c r="AA70" s="1041"/>
      <c r="AB70" s="1041"/>
      <c r="AC70" s="1041"/>
      <c r="AD70" s="1041"/>
      <c r="AE70" s="1041"/>
      <c r="AF70" s="1041"/>
      <c r="AG70" s="1041"/>
      <c r="AH70" s="1041"/>
      <c r="AI70" s="1041"/>
      <c r="AJ70" s="1041"/>
      <c r="AK70" s="1041"/>
      <c r="AL70" s="1041"/>
      <c r="AM70" s="1041"/>
      <c r="AN70" s="1041"/>
      <c r="AO70" s="1041"/>
      <c r="AP70" s="1041"/>
      <c r="AQ70" s="1041"/>
      <c r="AR70" s="1041"/>
      <c r="AS70" s="1041"/>
      <c r="AT70" s="1041"/>
      <c r="AU70" s="1041"/>
      <c r="AV70" s="1041"/>
      <c r="AW70" s="1041"/>
      <c r="AX70" s="1041"/>
    </row>
    <row r="71" spans="1:50" s="19" customFormat="1" ht="15" customHeight="1">
      <c r="C71" s="202"/>
      <c r="D71" s="203"/>
      <c r="E71" s="1041"/>
      <c r="F71" s="1041"/>
      <c r="G71" s="1041"/>
      <c r="H71" s="1041"/>
      <c r="I71" s="1041"/>
      <c r="J71" s="1041"/>
      <c r="K71" s="1041"/>
      <c r="L71" s="1041"/>
      <c r="M71" s="1041"/>
      <c r="N71" s="1041"/>
      <c r="O71" s="1041"/>
      <c r="P71" s="1041"/>
      <c r="Q71" s="1041"/>
      <c r="R71" s="1041"/>
      <c r="S71" s="1041"/>
      <c r="T71" s="1041"/>
      <c r="U71" s="1041"/>
      <c r="V71" s="1041"/>
      <c r="W71" s="1041"/>
      <c r="X71" s="1041"/>
      <c r="Y71" s="1041"/>
      <c r="Z71" s="1041"/>
      <c r="AA71" s="1041"/>
      <c r="AB71" s="1041"/>
      <c r="AC71" s="1041"/>
      <c r="AD71" s="1041"/>
      <c r="AE71" s="1041"/>
      <c r="AF71" s="1041"/>
      <c r="AG71" s="1041"/>
      <c r="AH71" s="1041"/>
      <c r="AI71" s="1041"/>
      <c r="AJ71" s="1041"/>
      <c r="AK71" s="1041"/>
      <c r="AL71" s="1041"/>
      <c r="AM71" s="1041"/>
      <c r="AN71" s="1041"/>
      <c r="AO71" s="1041"/>
      <c r="AP71" s="1041"/>
      <c r="AQ71" s="1041"/>
      <c r="AR71" s="1041"/>
      <c r="AS71" s="1041"/>
      <c r="AT71" s="1041"/>
      <c r="AU71" s="1041"/>
      <c r="AV71" s="1041"/>
      <c r="AW71" s="1041"/>
      <c r="AX71" s="1041"/>
    </row>
    <row r="72" spans="1:50" s="19" customFormat="1" ht="15" customHeight="1">
      <c r="C72" s="202"/>
      <c r="D72" s="203"/>
      <c r="E72" s="1041"/>
      <c r="F72" s="1041"/>
      <c r="G72" s="1041"/>
      <c r="H72" s="1041"/>
      <c r="I72" s="1041"/>
      <c r="J72" s="1041"/>
      <c r="K72" s="1041"/>
      <c r="L72" s="1041"/>
      <c r="M72" s="1041"/>
      <c r="N72" s="1041"/>
      <c r="O72" s="1041"/>
      <c r="P72" s="1041"/>
      <c r="Q72" s="1041"/>
      <c r="R72" s="1041"/>
      <c r="S72" s="1041"/>
      <c r="T72" s="1041"/>
      <c r="U72" s="1041"/>
      <c r="V72" s="1041"/>
      <c r="W72" s="1041"/>
      <c r="X72" s="1041"/>
      <c r="Y72" s="1041"/>
      <c r="Z72" s="1041"/>
      <c r="AA72" s="1041"/>
      <c r="AB72" s="1041"/>
      <c r="AC72" s="1041"/>
      <c r="AD72" s="1041"/>
      <c r="AE72" s="1041"/>
      <c r="AF72" s="1041"/>
      <c r="AG72" s="1041"/>
      <c r="AH72" s="1041"/>
      <c r="AI72" s="1041"/>
      <c r="AJ72" s="1041"/>
      <c r="AK72" s="1041"/>
      <c r="AL72" s="1041"/>
      <c r="AM72" s="1041"/>
      <c r="AN72" s="1041"/>
      <c r="AO72" s="1041"/>
      <c r="AP72" s="1041"/>
      <c r="AQ72" s="1041"/>
      <c r="AR72" s="1041"/>
      <c r="AS72" s="1041"/>
      <c r="AT72" s="1041"/>
      <c r="AU72" s="1041"/>
      <c r="AV72" s="1041"/>
      <c r="AW72" s="1041"/>
      <c r="AX72" s="1041"/>
    </row>
    <row r="73" spans="1:50" s="19" customFormat="1" ht="15" customHeight="1">
      <c r="C73" s="202"/>
      <c r="D73" s="203"/>
      <c r="E73" s="1041"/>
      <c r="F73" s="1041"/>
      <c r="G73" s="1041"/>
      <c r="H73" s="1041"/>
      <c r="I73" s="1041"/>
      <c r="J73" s="1041"/>
      <c r="K73" s="1041"/>
      <c r="L73" s="1041"/>
      <c r="M73" s="1041"/>
      <c r="N73" s="1041"/>
      <c r="O73" s="1041"/>
      <c r="P73" s="1041"/>
      <c r="Q73" s="1041"/>
      <c r="R73" s="1041"/>
      <c r="S73" s="1041"/>
      <c r="T73" s="1041"/>
      <c r="U73" s="1041"/>
      <c r="V73" s="1041"/>
      <c r="W73" s="1041"/>
      <c r="X73" s="1041"/>
      <c r="Y73" s="1041"/>
      <c r="Z73" s="1041"/>
      <c r="AA73" s="1041"/>
      <c r="AB73" s="1041"/>
      <c r="AC73" s="1041"/>
      <c r="AD73" s="1041"/>
      <c r="AE73" s="1041"/>
      <c r="AF73" s="1041"/>
      <c r="AG73" s="1041"/>
      <c r="AH73" s="1041"/>
      <c r="AI73" s="1041"/>
      <c r="AJ73" s="1041"/>
      <c r="AK73" s="1041"/>
      <c r="AL73" s="1041"/>
      <c r="AM73" s="1041"/>
      <c r="AN73" s="1041"/>
      <c r="AO73" s="1041"/>
      <c r="AP73" s="1041"/>
      <c r="AQ73" s="1041"/>
      <c r="AR73" s="1041"/>
      <c r="AS73" s="1041"/>
      <c r="AT73" s="1041"/>
      <c r="AU73" s="1041"/>
      <c r="AV73" s="1041"/>
      <c r="AW73" s="1041"/>
      <c r="AX73" s="1041"/>
    </row>
    <row r="74" spans="1:50" s="19" customFormat="1" ht="15" customHeight="1">
      <c r="C74" s="202"/>
      <c r="D74" s="203"/>
      <c r="E74" s="1041"/>
      <c r="F74" s="1041"/>
      <c r="G74" s="1041"/>
      <c r="H74" s="1041"/>
      <c r="I74" s="1041"/>
      <c r="J74" s="1041"/>
      <c r="K74" s="1041"/>
      <c r="L74" s="1041"/>
      <c r="M74" s="1041"/>
      <c r="N74" s="1041"/>
      <c r="O74" s="1041"/>
      <c r="P74" s="1041"/>
      <c r="Q74" s="1041"/>
      <c r="R74" s="1041"/>
      <c r="S74" s="1041"/>
      <c r="T74" s="1041"/>
      <c r="U74" s="1041"/>
      <c r="V74" s="1041"/>
      <c r="W74" s="1041"/>
      <c r="X74" s="1041"/>
      <c r="Y74" s="1041"/>
      <c r="Z74" s="1041"/>
      <c r="AA74" s="1041"/>
      <c r="AB74" s="1041"/>
      <c r="AC74" s="1041"/>
      <c r="AD74" s="1041"/>
      <c r="AE74" s="1041"/>
      <c r="AF74" s="1041"/>
      <c r="AG74" s="1041"/>
      <c r="AH74" s="1041"/>
      <c r="AI74" s="1041"/>
      <c r="AJ74" s="1041"/>
      <c r="AK74" s="1041"/>
      <c r="AL74" s="1041"/>
      <c r="AM74" s="1041"/>
      <c r="AN74" s="1041"/>
      <c r="AO74" s="1041"/>
      <c r="AP74" s="1041"/>
      <c r="AQ74" s="1041"/>
      <c r="AR74" s="1041"/>
      <c r="AS74" s="1041"/>
      <c r="AT74" s="1041"/>
      <c r="AU74" s="1041"/>
      <c r="AV74" s="1041"/>
      <c r="AW74" s="1041"/>
      <c r="AX74" s="1041"/>
    </row>
    <row r="75" spans="1:50" s="19" customFormat="1" ht="15" customHeight="1">
      <c r="C75" s="202"/>
      <c r="D75" s="203"/>
      <c r="E75" s="1041"/>
      <c r="F75" s="1041"/>
      <c r="G75" s="1041"/>
      <c r="H75" s="1041"/>
      <c r="I75" s="1041"/>
      <c r="J75" s="1041"/>
      <c r="K75" s="1041"/>
      <c r="L75" s="1041"/>
      <c r="M75" s="1041"/>
      <c r="N75" s="1041"/>
      <c r="O75" s="1041"/>
      <c r="P75" s="1041"/>
      <c r="Q75" s="1041"/>
      <c r="R75" s="1041"/>
      <c r="S75" s="1041"/>
      <c r="T75" s="1041"/>
      <c r="U75" s="1041"/>
      <c r="V75" s="1041"/>
      <c r="W75" s="1041"/>
      <c r="X75" s="1041"/>
      <c r="Y75" s="1041"/>
      <c r="Z75" s="1041"/>
      <c r="AA75" s="1041"/>
      <c r="AB75" s="1041"/>
      <c r="AC75" s="1041"/>
      <c r="AD75" s="1041"/>
      <c r="AE75" s="1041"/>
      <c r="AF75" s="1041"/>
      <c r="AG75" s="1041"/>
      <c r="AH75" s="1041"/>
      <c r="AI75" s="1041"/>
      <c r="AJ75" s="1041"/>
      <c r="AK75" s="1041"/>
      <c r="AL75" s="1041"/>
      <c r="AM75" s="1041"/>
      <c r="AN75" s="1041"/>
      <c r="AO75" s="1041"/>
      <c r="AP75" s="1041"/>
      <c r="AQ75" s="1041"/>
      <c r="AR75" s="1041"/>
      <c r="AS75" s="1041"/>
      <c r="AT75" s="1041"/>
      <c r="AU75" s="1041"/>
      <c r="AV75" s="1041"/>
      <c r="AW75" s="1041"/>
      <c r="AX75" s="1041"/>
    </row>
    <row r="76" spans="1:50" s="19" customFormat="1" ht="15" customHeight="1">
      <c r="C76" s="202"/>
      <c r="D76" s="203"/>
      <c r="E76" s="1041"/>
      <c r="F76" s="1041"/>
      <c r="G76" s="1041"/>
      <c r="H76" s="1041"/>
      <c r="I76" s="1041"/>
      <c r="J76" s="1041"/>
      <c r="K76" s="1041"/>
      <c r="L76" s="1041"/>
      <c r="M76" s="1041"/>
      <c r="N76" s="1041"/>
      <c r="O76" s="1041"/>
      <c r="P76" s="1041"/>
      <c r="Q76" s="1041"/>
      <c r="R76" s="1041"/>
      <c r="S76" s="1041"/>
      <c r="T76" s="1041"/>
      <c r="U76" s="1041"/>
      <c r="V76" s="1041"/>
      <c r="W76" s="1041"/>
      <c r="X76" s="1041"/>
      <c r="Y76" s="1041"/>
      <c r="Z76" s="1041"/>
      <c r="AA76" s="1041"/>
      <c r="AB76" s="1041"/>
      <c r="AC76" s="1041"/>
      <c r="AD76" s="1041"/>
      <c r="AE76" s="1041"/>
      <c r="AF76" s="1041"/>
      <c r="AG76" s="1041"/>
      <c r="AH76" s="1041"/>
      <c r="AI76" s="1041"/>
      <c r="AJ76" s="1041"/>
      <c r="AK76" s="1041"/>
      <c r="AL76" s="1041"/>
      <c r="AM76" s="1041"/>
      <c r="AN76" s="1041"/>
      <c r="AO76" s="1041"/>
      <c r="AP76" s="1041"/>
      <c r="AQ76" s="1041"/>
      <c r="AR76" s="1041"/>
      <c r="AS76" s="1041"/>
      <c r="AT76" s="1041"/>
      <c r="AU76" s="1041"/>
      <c r="AV76" s="1041"/>
      <c r="AW76" s="1041"/>
      <c r="AX76" s="1041"/>
    </row>
    <row r="77" spans="1:50" s="19" customFormat="1" ht="15" customHeight="1">
      <c r="C77" s="202"/>
      <c r="D77" s="203"/>
      <c r="E77" s="1041"/>
      <c r="F77" s="1041"/>
      <c r="G77" s="1041"/>
      <c r="H77" s="1041"/>
      <c r="I77" s="1041"/>
      <c r="J77" s="1041"/>
      <c r="K77" s="1041"/>
      <c r="L77" s="1041"/>
      <c r="M77" s="1041"/>
      <c r="N77" s="1041"/>
      <c r="O77" s="1041"/>
      <c r="P77" s="1041"/>
      <c r="Q77" s="1041"/>
      <c r="R77" s="1041"/>
      <c r="S77" s="1041"/>
      <c r="T77" s="1041"/>
      <c r="U77" s="1041"/>
      <c r="V77" s="1041"/>
      <c r="W77" s="1041"/>
      <c r="X77" s="1041"/>
      <c r="Y77" s="1041"/>
      <c r="Z77" s="1041"/>
      <c r="AA77" s="1041"/>
      <c r="AB77" s="1041"/>
      <c r="AC77" s="1041"/>
      <c r="AD77" s="1041"/>
      <c r="AE77" s="1041"/>
      <c r="AF77" s="1041"/>
      <c r="AG77" s="1041"/>
      <c r="AH77" s="1041"/>
      <c r="AI77" s="1041"/>
      <c r="AJ77" s="1041"/>
      <c r="AK77" s="1041"/>
      <c r="AL77" s="1041"/>
      <c r="AM77" s="1041"/>
      <c r="AN77" s="1041"/>
      <c r="AO77" s="1041"/>
      <c r="AP77" s="1041"/>
      <c r="AQ77" s="1041"/>
      <c r="AR77" s="1041"/>
      <c r="AS77" s="1041"/>
      <c r="AT77" s="1041"/>
      <c r="AU77" s="1041"/>
      <c r="AV77" s="1041"/>
      <c r="AW77" s="1041"/>
      <c r="AX77" s="1041"/>
    </row>
    <row r="78" spans="1:50" ht="15" customHeight="1">
      <c r="A78" s="56" t="e">
        <f ca="1">A$1 &amp; ": " &amp; Translate!$E$609</f>
        <v>#VALUE!</v>
      </c>
      <c r="B78" s="86"/>
      <c r="C78" s="86"/>
      <c r="D78" s="86"/>
      <c r="E78" s="88"/>
      <c r="F78" s="86"/>
      <c r="G78" s="86"/>
      <c r="H78" s="86"/>
      <c r="I78" s="86"/>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row>
    <row r="79" spans="1:50" ht="15" customHeight="1">
      <c r="E79" s="1041"/>
      <c r="F79" s="1041"/>
      <c r="G79" s="1041"/>
      <c r="H79" s="1041"/>
      <c r="I79" s="1041"/>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row>
    <row r="80" spans="1:50" ht="15" customHeight="1">
      <c r="A80" s="57"/>
      <c r="B80" s="58"/>
      <c r="C80" s="201"/>
      <c r="D80" s="59"/>
      <c r="E80" s="57"/>
      <c r="F80" s="851" t="str">
        <f xml:space="preserve"> Translate!E$565</f>
        <v>do not delete row</v>
      </c>
      <c r="G80" s="57"/>
      <c r="H80" s="57"/>
      <c r="I80" s="57"/>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row>
    <row r="81" spans="1:50" ht="15" customHeight="1">
      <c r="A81" s="1041"/>
      <c r="B81" s="1041"/>
      <c r="C81" s="1041"/>
      <c r="D81" s="1041"/>
      <c r="E81" s="223" t="str">
        <f xml:space="preserve"> E$41</f>
        <v>Check: First row of project data</v>
      </c>
      <c r="F81" s="29">
        <f xml:space="preserve"> F$41</f>
        <v>0</v>
      </c>
      <c r="G81" s="223" t="str">
        <f xml:space="preserve"> G$41</f>
        <v>Check</v>
      </c>
      <c r="H81" s="1041"/>
      <c r="I81" s="1041"/>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row>
    <row r="82" spans="1:50" ht="15" customHeight="1">
      <c r="A82" s="57"/>
      <c r="B82" s="58"/>
      <c r="C82" s="201"/>
      <c r="D82" s="59"/>
      <c r="E82" s="57"/>
      <c r="F82" s="851" t="str">
        <f xml:space="preserve"> Translate!E$565</f>
        <v>do not delete row</v>
      </c>
      <c r="G82" s="57"/>
      <c r="H82" s="57"/>
      <c r="I82" s="57"/>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row>
    <row r="83" spans="1:50" ht="15" customHeight="1">
      <c r="E83" s="1041" t="e">
        <f ca="1" xml:space="preserve"> Translate!$E$639 &amp; ": " &amp; $A$1</f>
        <v>#VALUE!</v>
      </c>
      <c r="F83" s="62">
        <f xml:space="preserve"> SUM(F80:F82)</f>
        <v>0</v>
      </c>
      <c r="G83" s="1041" t="str">
        <f xml:space="preserve"> Translate!E$444</f>
        <v>Check</v>
      </c>
      <c r="H83" s="1041"/>
      <c r="I83" s="1041"/>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row>
  </sheetData>
  <conditionalFormatting sqref="F83">
    <cfRule type="cellIs" dxfId="25" priority="15" stopIfTrue="1" operator="notEqual">
      <formula>0</formula>
    </cfRule>
    <cfRule type="cellIs" dxfId="24" priority="16" stopIfTrue="1" operator="equal">
      <formula>""</formula>
    </cfRule>
  </conditionalFormatting>
  <conditionalFormatting sqref="F3">
    <cfRule type="cellIs" dxfId="23" priority="11" stopIfTrue="1" operator="notEqual">
      <formula>0</formula>
    </cfRule>
    <cfRule type="cellIs" dxfId="22" priority="12" stopIfTrue="1" operator="equal">
      <formula>""</formula>
    </cfRule>
  </conditionalFormatting>
  <conditionalFormatting sqref="F3">
    <cfRule type="cellIs" dxfId="21" priority="9" stopIfTrue="1" operator="notEqual">
      <formula>0</formula>
    </cfRule>
    <cfRule type="cellIs" dxfId="20" priority="10" stopIfTrue="1" operator="equal">
      <formula>""</formula>
    </cfRule>
  </conditionalFormatting>
  <conditionalFormatting sqref="F41">
    <cfRule type="cellIs" dxfId="19" priority="7" stopIfTrue="1" operator="notEqual">
      <formula>0</formula>
    </cfRule>
    <cfRule type="cellIs" dxfId="18" priority="8" stopIfTrue="1" operator="equal">
      <formula>""</formula>
    </cfRule>
  </conditionalFormatting>
  <conditionalFormatting sqref="F41">
    <cfRule type="cellIs" dxfId="17" priority="5" stopIfTrue="1" operator="notEqual">
      <formula>0</formula>
    </cfRule>
    <cfRule type="cellIs" dxfId="16" priority="6" stopIfTrue="1" operator="equal">
      <formula>""</formula>
    </cfRule>
  </conditionalFormatting>
  <conditionalFormatting sqref="F81">
    <cfRule type="cellIs" dxfId="15" priority="1" stopIfTrue="1" operator="notEqual">
      <formula>0</formula>
    </cfRule>
    <cfRule type="cellIs" dxfId="14" priority="2" stopIfTrue="1" operator="equal">
      <formula>""</formula>
    </cfRule>
  </conditionalFormatting>
  <printOptions headings="1"/>
  <pageMargins left="0.74803149606299213" right="0.70866141732283472" top="0.98425196850393704" bottom="0.74803149606299213" header="0.51181102362204722" footer="0.31496062992125984"/>
  <pageSetup scale="55" orientation="landscape" blackAndWhite="1" r:id="rId1"/>
  <headerFooter>
    <oddHeader>&amp;LPROJECT BULYANHULU&amp;CSheet:&amp;A&amp;RSTRICTLY CONFIDENTIAL</oddHeader>
    <oddFooter>&amp;L&amp;F ( printed on &amp;D at &amp;T )&amp;RPage &amp;P of &amp;N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E0C92-E92F-4411-809B-671F74BF2C8E}">
  <sheetPr codeName="Sheet12">
    <tabColor rgb="FFA6A6A6"/>
    <pageSetUpPr autoPageBreaks="0"/>
  </sheetPr>
  <dimension ref="A1:AW765"/>
  <sheetViews>
    <sheetView zoomScale="85" zoomScaleNormal="85" workbookViewId="0">
      <pane xSplit="10" ySplit="2" topLeftCell="L39" activePane="bottomRight" state="frozen"/>
      <selection pane="bottomRight" activeCell="L39" sqref="L39"/>
      <selection pane="bottomLeft" activeCell="H1" sqref="H1:H1048576"/>
      <selection pane="topRight" activeCell="H1" sqref="H1:H1048576"/>
    </sheetView>
  </sheetViews>
  <sheetFormatPr defaultColWidth="10.7109375" defaultRowHeight="15" outlineLevelCol="1"/>
  <cols>
    <col min="1" max="4" width="1.28515625" style="893" customWidth="1"/>
    <col min="5" max="5" width="55" style="984" customWidth="1"/>
    <col min="6" max="6" width="12.7109375" style="893" customWidth="1"/>
    <col min="7" max="7" width="15.7109375" style="893" customWidth="1"/>
    <col min="8" max="8" width="40.7109375" style="7" hidden="1" customWidth="1" outlineLevel="1"/>
    <col min="9" max="9" width="12.7109375" style="893" customWidth="1" collapsed="1"/>
    <col min="10" max="10" width="3.7109375" style="893" customWidth="1"/>
    <col min="11" max="15" width="70.140625" style="984" customWidth="1"/>
    <col min="16" max="16" width="3.7109375" style="893" customWidth="1"/>
    <col min="17" max="17" width="10.7109375" style="893"/>
    <col min="18" max="18" width="10.7109375" style="893" customWidth="1"/>
    <col min="19" max="16384" width="10.7109375" style="893"/>
  </cols>
  <sheetData>
    <row r="1" spans="1:49" s="846" customFormat="1">
      <c r="A1" s="299" t="e">
        <f ca="1" xml:space="preserve"> RIGHT( CELL("filename",$A$1), LEN( CELL("filename",$A$1)) - SEARCH("]", CELL("filename",$A$1)))</f>
        <v>#VALUE!</v>
      </c>
      <c r="B1" s="845"/>
      <c r="C1" s="845"/>
      <c r="D1" s="845"/>
      <c r="E1" s="845"/>
      <c r="F1" s="845"/>
      <c r="G1" s="845"/>
      <c r="H1" s="845"/>
      <c r="I1" s="845"/>
      <c r="J1" s="845"/>
      <c r="K1" s="845"/>
      <c r="L1" s="845"/>
      <c r="M1" s="979"/>
      <c r="N1" s="845"/>
      <c r="O1" s="845"/>
      <c r="P1" s="845"/>
      <c r="Q1" s="845"/>
      <c r="R1" s="845"/>
      <c r="S1" s="845"/>
      <c r="T1" s="845"/>
      <c r="U1" s="845"/>
      <c r="V1" s="845"/>
      <c r="W1" s="845"/>
      <c r="X1" s="845"/>
      <c r="Y1" s="845"/>
      <c r="Z1" s="845"/>
      <c r="AA1" s="845"/>
      <c r="AB1" s="845"/>
      <c r="AC1" s="845"/>
      <c r="AD1" s="845"/>
      <c r="AE1" s="845"/>
      <c r="AF1" s="845"/>
      <c r="AG1" s="845"/>
      <c r="AH1" s="845"/>
      <c r="AI1" s="845"/>
      <c r="AJ1" s="845"/>
      <c r="AK1" s="845"/>
      <c r="AL1" s="845"/>
      <c r="AM1" s="845"/>
      <c r="AN1" s="845"/>
      <c r="AO1" s="845"/>
      <c r="AP1" s="845"/>
      <c r="AQ1" s="845"/>
      <c r="AR1" s="845"/>
      <c r="AS1" s="845"/>
      <c r="AT1" s="845"/>
      <c r="AU1" s="845"/>
      <c r="AV1" s="845"/>
      <c r="AW1" s="845"/>
    </row>
    <row r="2" spans="1:49" s="980" customFormat="1">
      <c r="E2" s="981" t="str">
        <f xml:space="preserve"> Inputs!E$95</f>
        <v>Language selected</v>
      </c>
      <c r="F2" s="982">
        <f xml:space="preserve"> Inputs!F$95</f>
        <v>1</v>
      </c>
      <c r="G2" s="982" t="str">
        <f xml:space="preserve"> Inputs!G$95</f>
        <v>option selected</v>
      </c>
      <c r="H2" s="1052" t="str">
        <f>Translate!$E$280</f>
        <v>Comments</v>
      </c>
      <c r="K2" s="983" t="str">
        <f xml:space="preserve"> Inputs!F$90</f>
        <v>English</v>
      </c>
      <c r="L2" s="983" t="str">
        <f xml:space="preserve"> Inputs!F$91</f>
        <v>French</v>
      </c>
      <c r="M2" s="983" t="str">
        <f xml:space="preserve"> Inputs!F$92</f>
        <v>Spanish</v>
      </c>
      <c r="N2" s="983" t="str">
        <f xml:space="preserve"> Inputs!F$93</f>
        <v>Other1</v>
      </c>
      <c r="O2" s="983" t="str">
        <f xml:space="preserve"> Inputs!F$94</f>
        <v>Other2</v>
      </c>
    </row>
    <row r="3" spans="1:49" s="7" customFormat="1">
      <c r="E3" s="879" t="str" cm="1">
        <f t="array" ref="E3">INDEX(K3:P3, , F$2)</f>
        <v>full-cycle</v>
      </c>
      <c r="J3" s="869"/>
      <c r="K3" s="880" t="s">
        <v>48</v>
      </c>
      <c r="L3" s="880" t="s">
        <v>49</v>
      </c>
      <c r="M3" s="875" t="s">
        <v>50</v>
      </c>
      <c r="N3" s="880"/>
      <c r="O3" s="880"/>
      <c r="P3" s="869"/>
      <c r="Q3" s="45"/>
      <c r="R3" s="45"/>
    </row>
    <row r="4" spans="1:49">
      <c r="E4" s="895" t="str" cm="1">
        <f t="array" ref="E4">INDEX(K4:P4, , F$2)</f>
        <v>FID forward</v>
      </c>
      <c r="J4" s="894"/>
      <c r="K4" s="875" t="s">
        <v>51</v>
      </c>
      <c r="L4" s="995" t="s">
        <v>52</v>
      </c>
      <c r="M4" s="875" t="s">
        <v>53</v>
      </c>
      <c r="N4" s="875"/>
      <c r="O4" s="875"/>
      <c r="P4" s="894"/>
      <c r="Q4" s="985"/>
      <c r="R4" s="985"/>
    </row>
    <row r="5" spans="1:49" s="7" customFormat="1">
      <c r="E5" s="879" t="str" cm="1">
        <f t="array" ref="E5">INDEX(K5:P5, , F$2)</f>
        <v>nominal</v>
      </c>
      <c r="J5" s="869"/>
      <c r="K5" s="880" t="s">
        <v>42</v>
      </c>
      <c r="L5" s="880" t="s">
        <v>42</v>
      </c>
      <c r="M5" s="875" t="s">
        <v>42</v>
      </c>
      <c r="N5" s="880"/>
      <c r="O5" s="880"/>
      <c r="P5" s="869"/>
      <c r="Q5" s="45"/>
      <c r="R5" s="45"/>
    </row>
    <row r="6" spans="1:49" s="7" customFormat="1">
      <c r="E6" s="879" t="str" cm="1">
        <f t="array" ref="E6">INDEX(K6:P6, , F$2)</f>
        <v>real</v>
      </c>
      <c r="J6" s="869"/>
      <c r="K6" s="880" t="s">
        <v>54</v>
      </c>
      <c r="L6" s="880" t="s">
        <v>55</v>
      </c>
      <c r="M6" s="875" t="s">
        <v>54</v>
      </c>
      <c r="N6" s="880"/>
      <c r="O6" s="880"/>
      <c r="P6" s="869"/>
      <c r="Q6" s="45"/>
      <c r="R6" s="45"/>
    </row>
    <row r="7" spans="1:49" s="7" customFormat="1">
      <c r="E7" s="879" t="str" cm="1">
        <f t="array" ref="E7">INDEX(K7:P7, , F$2)</f>
        <v>undiscounted</v>
      </c>
      <c r="J7" s="869"/>
      <c r="K7" s="880" t="s">
        <v>56</v>
      </c>
      <c r="L7" s="880" t="s">
        <v>57</v>
      </c>
      <c r="M7" s="875" t="s">
        <v>58</v>
      </c>
      <c r="N7" s="880"/>
      <c r="O7" s="880"/>
      <c r="P7" s="869"/>
      <c r="Q7" s="45"/>
      <c r="R7" s="45"/>
    </row>
    <row r="8" spans="1:49" s="7" customFormat="1">
      <c r="E8" s="879" t="str" cm="1">
        <f t="array" ref="E8">INDEX(K8:P8, , F$2)</f>
        <v>NPV</v>
      </c>
      <c r="J8" s="869"/>
      <c r="K8" s="892" t="s">
        <v>59</v>
      </c>
      <c r="L8" s="892" t="s">
        <v>60</v>
      </c>
      <c r="M8" s="1007" t="s">
        <v>61</v>
      </c>
      <c r="N8" s="892"/>
      <c r="O8" s="892"/>
      <c r="P8" s="869"/>
      <c r="Q8" s="45"/>
      <c r="R8" s="45"/>
    </row>
    <row r="9" spans="1:49" s="7" customFormat="1">
      <c r="E9" s="879" t="str" cm="1">
        <f t="array" ref="E9">INDEX(K9:P9, , F$2)</f>
        <v>US$</v>
      </c>
      <c r="J9" s="869"/>
      <c r="K9" s="880" t="s">
        <v>62</v>
      </c>
      <c r="L9" s="880" t="s">
        <v>62</v>
      </c>
      <c r="M9" s="875" t="s">
        <v>63</v>
      </c>
      <c r="N9" s="880"/>
      <c r="O9" s="880"/>
      <c r="P9" s="869"/>
      <c r="Q9" s="45"/>
      <c r="R9" s="45"/>
    </row>
    <row r="10" spans="1:49" s="7" customFormat="1">
      <c r="E10" s="879" t="str" cm="1">
        <f t="array" ref="E10">INDEX(K10:P10, , F$2)</f>
        <v>US$ mn</v>
      </c>
      <c r="J10" s="869"/>
      <c r="K10" s="892" t="s">
        <v>64</v>
      </c>
      <c r="L10" s="892" t="s">
        <v>65</v>
      </c>
      <c r="M10" s="1007" t="s">
        <v>66</v>
      </c>
      <c r="N10" s="892"/>
      <c r="O10" s="892"/>
      <c r="P10" s="869"/>
      <c r="Q10" s="45"/>
      <c r="R10" s="45"/>
    </row>
    <row r="11" spans="1:49" s="7" customFormat="1">
      <c r="E11" s="879" t="str" cm="1">
        <f t="array" ref="E11">INDEX(K11:P11, , F$2)</f>
        <v>Analysis</v>
      </c>
      <c r="J11" s="869"/>
      <c r="K11" s="880" t="s">
        <v>67</v>
      </c>
      <c r="L11" s="880" t="s">
        <v>68</v>
      </c>
      <c r="M11" s="875" t="s">
        <v>69</v>
      </c>
      <c r="N11" s="880"/>
      <c r="O11" s="880"/>
      <c r="P11" s="869"/>
      <c r="Q11" s="45"/>
      <c r="R11" s="45"/>
    </row>
    <row r="12" spans="1:49" s="7" customFormat="1">
      <c r="E12" s="879" t="str" cm="1">
        <f t="array" ref="E12">INDEX(K12:P12, , F$2)</f>
        <v>Cashflows</v>
      </c>
      <c r="J12" s="869"/>
      <c r="K12" s="880" t="s">
        <v>70</v>
      </c>
      <c r="L12" s="880" t="s">
        <v>71</v>
      </c>
      <c r="M12" s="875" t="s">
        <v>72</v>
      </c>
      <c r="N12" s="880"/>
      <c r="O12" s="880"/>
      <c r="P12" s="869"/>
      <c r="Q12" s="45"/>
      <c r="R12" s="45"/>
    </row>
    <row r="13" spans="1:49" s="7" customFormat="1">
      <c r="E13" s="879" t="str" cm="1">
        <f t="array" ref="E13">INDEX(K13:P13, , F$2)</f>
        <v>IRR</v>
      </c>
      <c r="J13" s="869"/>
      <c r="K13" s="880" t="s">
        <v>73</v>
      </c>
      <c r="L13" s="880" t="s">
        <v>74</v>
      </c>
      <c r="M13" s="875" t="s">
        <v>75</v>
      </c>
      <c r="N13" s="880"/>
      <c r="O13" s="880"/>
      <c r="P13" s="869"/>
      <c r="Q13" s="45"/>
      <c r="R13" s="45"/>
    </row>
    <row r="14" spans="1:49">
      <c r="E14" s="895" t="str" cm="1">
        <f t="array" ref="E14">INDEX(K14:P14, , F$2)</f>
        <v>Payback</v>
      </c>
      <c r="J14" s="894"/>
      <c r="K14" s="875" t="s">
        <v>76</v>
      </c>
      <c r="L14" s="995" t="s">
        <v>77</v>
      </c>
      <c r="M14" s="875" t="s">
        <v>78</v>
      </c>
      <c r="N14" s="875"/>
      <c r="O14" s="875"/>
      <c r="P14" s="894"/>
      <c r="Q14" s="985"/>
      <c r="R14" s="985"/>
    </row>
    <row r="15" spans="1:49" s="7" customFormat="1">
      <c r="E15" s="879" t="str" cm="1">
        <f t="array" ref="E15">INDEX(K15:P15, , F$2)</f>
        <v>Project cashflows</v>
      </c>
      <c r="J15" s="869"/>
      <c r="K15" s="880" t="s">
        <v>79</v>
      </c>
      <c r="L15" s="880" t="s">
        <v>80</v>
      </c>
      <c r="M15" s="875" t="s">
        <v>81</v>
      </c>
      <c r="N15" s="880"/>
      <c r="O15" s="880"/>
      <c r="P15" s="869"/>
      <c r="Q15" s="45"/>
      <c r="R15" s="45"/>
    </row>
    <row r="16" spans="1:49" s="7" customFormat="1">
      <c r="E16" s="879" t="str" cm="1">
        <f t="array" ref="E16">INDEX(K16:P16, , F$2)</f>
        <v>Project participants</v>
      </c>
      <c r="J16" s="869"/>
      <c r="K16" s="880" t="s">
        <v>82</v>
      </c>
      <c r="L16" s="880" t="s">
        <v>83</v>
      </c>
      <c r="M16" s="875" t="s">
        <v>84</v>
      </c>
      <c r="N16" s="880"/>
      <c r="O16" s="880"/>
      <c r="P16" s="869"/>
      <c r="Q16" s="45"/>
      <c r="R16" s="45"/>
    </row>
    <row r="17" spans="5:18">
      <c r="E17" s="895" t="str" cm="1">
        <f t="array" ref="E17">INDEX(K17:P17, , F$2)</f>
        <v>Government share metrics</v>
      </c>
      <c r="J17" s="894"/>
      <c r="K17" s="875" t="s">
        <v>85</v>
      </c>
      <c r="L17" s="995" t="s">
        <v>86</v>
      </c>
      <c r="M17" s="875" t="s">
        <v>87</v>
      </c>
      <c r="N17" s="875"/>
      <c r="O17" s="875"/>
      <c r="P17" s="894"/>
      <c r="Q17" s="985"/>
      <c r="R17" s="985"/>
    </row>
    <row r="18" spans="5:18" s="7" customFormat="1">
      <c r="E18" s="879" t="str" cm="1">
        <f t="array" ref="E18">INDEX(K18:P18, , F$2)</f>
        <v>p.a.</v>
      </c>
      <c r="J18" s="869"/>
      <c r="K18" s="880" t="s">
        <v>88</v>
      </c>
      <c r="L18" s="880" t="s">
        <v>88</v>
      </c>
      <c r="M18" s="875" t="s">
        <v>89</v>
      </c>
      <c r="N18" s="880"/>
      <c r="O18" s="880"/>
      <c r="P18" s="869"/>
      <c r="Q18" s="45"/>
      <c r="R18" s="45"/>
    </row>
    <row r="19" spans="5:18" s="7" customFormat="1">
      <c r="E19" s="879" t="str" cm="1">
        <f t="array" ref="E19">INDEX(K19:P19, , F$2)</f>
        <v>Total</v>
      </c>
      <c r="J19" s="869"/>
      <c r="K19" s="880" t="s">
        <v>90</v>
      </c>
      <c r="L19" s="880" t="s">
        <v>90</v>
      </c>
      <c r="M19" s="875" t="s">
        <v>90</v>
      </c>
      <c r="N19" s="880"/>
      <c r="O19" s="880"/>
      <c r="P19" s="869"/>
      <c r="Q19" s="45"/>
      <c r="R19" s="45"/>
    </row>
    <row r="20" spans="5:18" s="7" customFormat="1">
      <c r="E20" s="879" t="str" cm="1">
        <f t="array" ref="E20">INDEX(K20:P20, , F$2)</f>
        <v>Fiscal regime parameters</v>
      </c>
      <c r="J20" s="869"/>
      <c r="K20" s="880" t="s">
        <v>91</v>
      </c>
      <c r="L20" s="880" t="s">
        <v>92</v>
      </c>
      <c r="M20" s="875" t="s">
        <v>93</v>
      </c>
      <c r="N20" s="880"/>
      <c r="O20" s="880"/>
      <c r="P20" s="869"/>
      <c r="Q20" s="45"/>
      <c r="R20" s="45"/>
    </row>
    <row r="21" spans="5:18" s="7" customFormat="1">
      <c r="E21" s="879" t="str" cm="1">
        <f t="array" ref="E21">INDEX(K21:P21, , F$2)</f>
        <v>Top of fiscal regime parameters</v>
      </c>
      <c r="J21" s="869"/>
      <c r="K21" s="880" t="s">
        <v>94</v>
      </c>
      <c r="L21" s="880" t="s">
        <v>95</v>
      </c>
      <c r="M21" s="875" t="s">
        <v>96</v>
      </c>
      <c r="N21" s="880"/>
      <c r="O21" s="880"/>
      <c r="P21" s="869"/>
      <c r="Q21" s="45"/>
      <c r="R21" s="45"/>
    </row>
    <row r="22" spans="5:18">
      <c r="E22" s="895" t="str" cm="1">
        <f t="array" ref="E22">INDEX(K22:P22, , F$2)</f>
        <v>Bottom of fiscal regime parameters</v>
      </c>
      <c r="J22" s="894"/>
      <c r="K22" s="875" t="s">
        <v>97</v>
      </c>
      <c r="L22" s="995" t="s">
        <v>98</v>
      </c>
      <c r="M22" s="875" t="s">
        <v>99</v>
      </c>
      <c r="N22" s="875"/>
      <c r="O22" s="875"/>
      <c r="P22" s="894"/>
      <c r="Q22" s="985"/>
      <c r="R22" s="985"/>
    </row>
    <row r="23" spans="5:18">
      <c r="E23" s="895" t="str" cm="1">
        <f t="array" ref="E23">INDEX(K23:P23, , F$2)</f>
        <v>Decommissioning fund</v>
      </c>
      <c r="J23" s="894"/>
      <c r="K23" s="875" t="s">
        <v>100</v>
      </c>
      <c r="L23" s="995" t="s">
        <v>101</v>
      </c>
      <c r="M23" s="875" t="s">
        <v>102</v>
      </c>
      <c r="N23" s="875"/>
      <c r="O23" s="875"/>
      <c r="P23" s="894"/>
      <c r="Q23" s="985"/>
      <c r="R23" s="985"/>
    </row>
    <row r="24" spans="5:18">
      <c r="E24" s="895" t="str" cm="1">
        <f t="array" ref="E24">INDEX(K24:P24, , F$2)</f>
        <v>Bonus</v>
      </c>
      <c r="J24" s="894"/>
      <c r="K24" s="875" t="s">
        <v>103</v>
      </c>
      <c r="L24" s="995" t="s">
        <v>103</v>
      </c>
      <c r="M24" s="875" t="s">
        <v>104</v>
      </c>
      <c r="N24" s="875"/>
      <c r="O24" s="875"/>
      <c r="P24" s="894"/>
      <c r="Q24" s="985"/>
      <c r="R24" s="985"/>
    </row>
    <row r="25" spans="5:18" s="7" customFormat="1">
      <c r="E25" s="879" t="str" cm="1">
        <f t="array" ref="E25">INDEX(K25:P25, , F$2)</f>
        <v>Royalty</v>
      </c>
      <c r="J25" s="869"/>
      <c r="K25" s="880" t="s">
        <v>105</v>
      </c>
      <c r="L25" s="880" t="s">
        <v>106</v>
      </c>
      <c r="M25" s="875" t="s">
        <v>107</v>
      </c>
      <c r="N25" s="880"/>
      <c r="O25" s="880"/>
      <c r="P25" s="869"/>
      <c r="Q25" s="45"/>
      <c r="R25" s="45"/>
    </row>
    <row r="26" spans="5:18">
      <c r="E26" s="895" t="str" cm="1">
        <f t="array" ref="E26">INDEX(K26:P26, , F$2)</f>
        <v>Carbon tax</v>
      </c>
      <c r="J26" s="894"/>
      <c r="K26" s="875" t="s">
        <v>108</v>
      </c>
      <c r="L26" s="995" t="s">
        <v>109</v>
      </c>
      <c r="M26" s="875" t="s">
        <v>110</v>
      </c>
      <c r="N26" s="875"/>
      <c r="O26" s="875"/>
      <c r="P26" s="894"/>
      <c r="Q26" s="985"/>
      <c r="R26" s="985"/>
    </row>
    <row r="27" spans="5:18" ht="30">
      <c r="E27" s="895" t="str" cm="1">
        <f t="array" ref="E27">INDEX(K27:P27, , F$2)</f>
        <v>Project cashflows after decommissioning, royalty, bonus and carbon tax</v>
      </c>
      <c r="J27" s="894"/>
      <c r="K27" s="875" t="s">
        <v>111</v>
      </c>
      <c r="L27" s="995" t="s">
        <v>112</v>
      </c>
      <c r="M27" s="875" t="s">
        <v>113</v>
      </c>
      <c r="N27" s="875"/>
      <c r="O27" s="875"/>
      <c r="P27" s="894"/>
      <c r="Q27" s="985"/>
      <c r="R27" s="985"/>
    </row>
    <row r="28" spans="5:18" s="7" customFormat="1">
      <c r="E28" s="879" t="str" cm="1">
        <f t="array" ref="E28">INDEX(K28:P28, , F$2)</f>
        <v>Project debt financing</v>
      </c>
      <c r="J28" s="869"/>
      <c r="K28" s="880" t="s">
        <v>114</v>
      </c>
      <c r="L28" s="880" t="s">
        <v>115</v>
      </c>
      <c r="M28" s="875" t="s">
        <v>116</v>
      </c>
      <c r="N28" s="880"/>
      <c r="O28" s="880"/>
      <c r="P28" s="869"/>
      <c r="Q28" s="45"/>
      <c r="R28" s="45"/>
    </row>
    <row r="29" spans="5:18" s="7" customFormat="1">
      <c r="E29" s="879" t="str" cm="1">
        <f t="array" ref="E29">INDEX(K29:P29, , F$2)</f>
        <v>CIT depreciation</v>
      </c>
      <c r="J29" s="869"/>
      <c r="K29" s="880" t="s">
        <v>117</v>
      </c>
      <c r="L29" s="880" t="s">
        <v>118</v>
      </c>
      <c r="M29" s="875" t="s">
        <v>119</v>
      </c>
      <c r="N29" s="880"/>
      <c r="O29" s="880"/>
      <c r="P29" s="869"/>
      <c r="Q29" s="45"/>
      <c r="R29" s="45"/>
    </row>
    <row r="30" spans="5:18" s="7" customFormat="1">
      <c r="E30" s="879" t="str" cm="1">
        <f t="array" ref="E30">INDEX(K30:P30, , F$2)</f>
        <v>Corporate income tax</v>
      </c>
      <c r="J30" s="869"/>
      <c r="K30" s="880" t="s">
        <v>120</v>
      </c>
      <c r="L30" s="880" t="s">
        <v>121</v>
      </c>
      <c r="M30" s="875" t="s">
        <v>122</v>
      </c>
      <c r="N30" s="880"/>
      <c r="O30" s="880"/>
      <c r="P30" s="869"/>
      <c r="Q30" s="45"/>
      <c r="R30" s="45"/>
    </row>
    <row r="31" spans="5:18" s="7" customFormat="1">
      <c r="E31" s="879" t="str" cm="1">
        <f t="array" ref="E31">INDEX(K31:P31, , F$2)</f>
        <v>CIT</v>
      </c>
      <c r="J31" s="869"/>
      <c r="K31" s="880" t="s">
        <v>123</v>
      </c>
      <c r="L31" s="880" t="s">
        <v>124</v>
      </c>
      <c r="M31" s="875" t="s">
        <v>125</v>
      </c>
      <c r="N31" s="880"/>
      <c r="O31" s="880"/>
      <c r="P31" s="869"/>
      <c r="Q31" s="45"/>
      <c r="R31" s="45"/>
    </row>
    <row r="32" spans="5:18" s="7" customFormat="1">
      <c r="E32" s="879" t="str" cm="1">
        <f t="array" ref="E32">INDEX(K32:P32, , F$2)</f>
        <v xml:space="preserve">Cumulative cashflow </v>
      </c>
      <c r="J32" s="869"/>
      <c r="K32" s="880" t="s">
        <v>126</v>
      </c>
      <c r="L32" s="880" t="s">
        <v>127</v>
      </c>
      <c r="M32" s="875" t="s">
        <v>128</v>
      </c>
      <c r="N32" s="880"/>
      <c r="O32" s="880"/>
      <c r="P32" s="869"/>
      <c r="Q32" s="45"/>
      <c r="R32" s="45"/>
    </row>
    <row r="33" spans="5:18" ht="30">
      <c r="E33" s="895" t="str" cm="1">
        <f t="array" ref="E33">INDEX(K33:P33, , F$2)</f>
        <v>VAT cashflow: Simplified approach assuming VAT is creditable</v>
      </c>
      <c r="J33" s="894"/>
      <c r="K33" s="875" t="s">
        <v>129</v>
      </c>
      <c r="L33" s="995" t="s">
        <v>130</v>
      </c>
      <c r="M33" s="875" t="s">
        <v>131</v>
      </c>
      <c r="N33" s="875"/>
      <c r="O33" s="875"/>
      <c r="P33" s="894"/>
      <c r="Q33" s="985"/>
      <c r="R33" s="985"/>
    </row>
    <row r="34" spans="5:18" s="7" customFormat="1">
      <c r="E34" s="879" t="str" cm="1">
        <f t="array" ref="E34">INDEX(K34:P34, , F$2)</f>
        <v>Mining company cashflows</v>
      </c>
      <c r="J34" s="869"/>
      <c r="K34" s="880" t="s">
        <v>132</v>
      </c>
      <c r="L34" s="880" t="s">
        <v>133</v>
      </c>
      <c r="M34" s="875" t="s">
        <v>134</v>
      </c>
      <c r="N34" s="880"/>
      <c r="O34" s="880"/>
      <c r="P34" s="869"/>
      <c r="Q34" s="45"/>
      <c r="R34" s="45"/>
    </row>
    <row r="35" spans="5:18" s="7" customFormat="1">
      <c r="E35" s="879" t="str" cm="1">
        <f t="array" ref="E35">INDEX(K35:P35, , F$2)</f>
        <v>Mining company economic limit</v>
      </c>
      <c r="J35" s="869"/>
      <c r="K35" s="880" t="s">
        <v>135</v>
      </c>
      <c r="L35" s="880" t="s">
        <v>136</v>
      </c>
      <c r="M35" s="875" t="s">
        <v>137</v>
      </c>
      <c r="N35" s="880"/>
      <c r="O35" s="880"/>
      <c r="P35" s="869"/>
      <c r="Q35" s="45"/>
      <c r="R35" s="45"/>
    </row>
    <row r="36" spans="5:18" s="7" customFormat="1">
      <c r="E36" s="879" t="str" cm="1">
        <f t="array" ref="E36">INDEX(K36:P36, , F$2)</f>
        <v>State participation (Share of mining company equity)</v>
      </c>
      <c r="J36" s="869"/>
      <c r="K36" s="880" t="s">
        <v>138</v>
      </c>
      <c r="L36" s="880" t="s">
        <v>139</v>
      </c>
      <c r="M36" s="875" t="s">
        <v>140</v>
      </c>
      <c r="N36" s="880"/>
      <c r="O36" s="880"/>
      <c r="P36" s="869"/>
      <c r="Q36" s="45"/>
      <c r="R36" s="45"/>
    </row>
    <row r="37" spans="5:18" s="7" customFormat="1">
      <c r="E37" s="879" t="str" cm="1">
        <f t="array" ref="E37">INDEX(K37:P37, , F$2)</f>
        <v>State participation (Share of mining company loan)</v>
      </c>
      <c r="J37" s="869"/>
      <c r="K37" s="880" t="s">
        <v>141</v>
      </c>
      <c r="L37" s="880" t="s">
        <v>142</v>
      </c>
      <c r="M37" s="875" t="s">
        <v>143</v>
      </c>
      <c r="N37" s="880"/>
      <c r="O37" s="880"/>
      <c r="P37" s="869"/>
      <c r="Q37" s="45"/>
      <c r="R37" s="45"/>
    </row>
    <row r="38" spans="5:18" s="7" customFormat="1">
      <c r="E38" s="879" t="str" cm="1">
        <f t="array" ref="E38">INDEX(K38:P38, , F$2)</f>
        <v>Parent company cashflows</v>
      </c>
      <c r="J38" s="869"/>
      <c r="K38" s="880" t="s">
        <v>144</v>
      </c>
      <c r="L38" s="880" t="s">
        <v>145</v>
      </c>
      <c r="M38" s="875" t="s">
        <v>146</v>
      </c>
      <c r="N38" s="880"/>
      <c r="O38" s="880"/>
      <c r="P38" s="869"/>
      <c r="Q38" s="45"/>
      <c r="R38" s="45"/>
    </row>
    <row r="39" spans="5:18">
      <c r="E39" s="895" t="str" cm="1">
        <f t="array" ref="E39">INDEX(K39:P39, , F$2)</f>
        <v>Government revenues</v>
      </c>
      <c r="J39" s="894"/>
      <c r="K39" s="875" t="s">
        <v>147</v>
      </c>
      <c r="L39" s="995" t="s">
        <v>148</v>
      </c>
      <c r="M39" s="875" t="s">
        <v>149</v>
      </c>
      <c r="N39" s="875"/>
      <c r="O39" s="875"/>
      <c r="P39" s="894"/>
      <c r="Q39" s="985"/>
      <c r="R39" s="985"/>
    </row>
    <row r="40" spans="5:18" s="7" customFormat="1">
      <c r="E40" s="879" t="str" cm="1">
        <f t="array" ref="E40">INDEX(K40:P40, , F$2)</f>
        <v>Cashflow reconciliation</v>
      </c>
      <c r="J40" s="869"/>
      <c r="K40" s="880" t="s">
        <v>150</v>
      </c>
      <c r="L40" s="880" t="s">
        <v>151</v>
      </c>
      <c r="M40" s="875" t="s">
        <v>152</v>
      </c>
      <c r="N40" s="880"/>
      <c r="O40" s="880"/>
      <c r="P40" s="869"/>
      <c r="Q40" s="45"/>
      <c r="R40" s="45"/>
    </row>
    <row r="41" spans="5:18" s="7" customFormat="1">
      <c r="E41" s="879" t="str" cm="1">
        <f t="array" ref="E41">INDEX(K41:P41, , F$2)</f>
        <v>Fiscal regime selection</v>
      </c>
      <c r="J41" s="869"/>
      <c r="K41" s="881" t="s">
        <v>153</v>
      </c>
      <c r="L41" s="881" t="s">
        <v>154</v>
      </c>
      <c r="M41" s="986" t="s">
        <v>155</v>
      </c>
      <c r="N41" s="881"/>
      <c r="O41" s="881"/>
      <c r="P41" s="869"/>
      <c r="Q41" s="45"/>
      <c r="R41" s="45"/>
    </row>
    <row r="42" spans="5:18">
      <c r="E42" s="895" t="str" cm="1">
        <f t="array" ref="E42">INDEX(K42:P42, , F$2)</f>
        <v>Decommissioning</v>
      </c>
      <c r="J42" s="894"/>
      <c r="K42" s="986" t="s">
        <v>156</v>
      </c>
      <c r="L42" s="996" t="s">
        <v>157</v>
      </c>
      <c r="M42" s="986" t="s">
        <v>158</v>
      </c>
      <c r="N42" s="986"/>
      <c r="O42" s="986"/>
      <c r="P42" s="894"/>
      <c r="Q42" s="985"/>
      <c r="R42" s="985"/>
    </row>
    <row r="43" spans="5:18" s="7" customFormat="1">
      <c r="E43" s="879" t="str" cm="1">
        <f t="array" ref="E43">INDEX(K43:P43, , F$2)</f>
        <v>CIT rate</v>
      </c>
      <c r="J43" s="869"/>
      <c r="K43" s="881" t="s">
        <v>159</v>
      </c>
      <c r="L43" s="881" t="s">
        <v>160</v>
      </c>
      <c r="M43" s="986" t="s">
        <v>161</v>
      </c>
      <c r="N43" s="881"/>
      <c r="O43" s="881"/>
      <c r="P43" s="869"/>
      <c r="Q43" s="45"/>
      <c r="R43" s="45"/>
    </row>
    <row r="44" spans="5:18">
      <c r="E44" s="895" t="str" cm="1">
        <f t="array" ref="E44">INDEX(K44:P44, , F$2)</f>
        <v>Resource rent tax</v>
      </c>
      <c r="J44" s="894"/>
      <c r="K44" s="986" t="s">
        <v>162</v>
      </c>
      <c r="L44" s="996" t="s">
        <v>163</v>
      </c>
      <c r="M44" s="986" t="s">
        <v>164</v>
      </c>
      <c r="N44" s="986"/>
      <c r="O44" s="986"/>
      <c r="P44" s="894"/>
      <c r="Q44" s="985"/>
      <c r="R44" s="985"/>
    </row>
    <row r="45" spans="5:18" s="7" customFormat="1">
      <c r="E45" s="879" t="str" cm="1">
        <f t="array" ref="E45">INDEX(K45:P45, , F$2)</f>
        <v>RRT</v>
      </c>
      <c r="J45" s="869"/>
      <c r="K45" s="881" t="s">
        <v>31</v>
      </c>
      <c r="L45" s="881" t="s">
        <v>165</v>
      </c>
      <c r="M45" s="986" t="s">
        <v>165</v>
      </c>
      <c r="N45" s="881"/>
      <c r="O45" s="881"/>
      <c r="P45" s="869"/>
      <c r="Q45" s="45"/>
      <c r="R45" s="45"/>
    </row>
    <row r="46" spans="5:18" s="7" customFormat="1">
      <c r="E46" s="879" t="str" cm="1">
        <f t="array" ref="E46">INDEX(K46:P46, , F$2)</f>
        <v>Withholding tax on dividends and interest</v>
      </c>
      <c r="J46" s="869"/>
      <c r="K46" s="881" t="s">
        <v>166</v>
      </c>
      <c r="L46" s="881" t="s">
        <v>167</v>
      </c>
      <c r="M46" s="986" t="s">
        <v>168</v>
      </c>
      <c r="N46" s="881"/>
      <c r="O46" s="881"/>
      <c r="P46" s="869"/>
      <c r="Q46" s="45"/>
      <c r="R46" s="45"/>
    </row>
    <row r="47" spans="5:18">
      <c r="E47" s="895" t="str" cm="1">
        <f t="array" ref="E47">INDEX(K47:P47, , F$2)</f>
        <v>State participation: government equity in mining company</v>
      </c>
      <c r="J47" s="894"/>
      <c r="K47" s="986" t="s">
        <v>169</v>
      </c>
      <c r="L47" s="996" t="s">
        <v>170</v>
      </c>
      <c r="M47" s="986" t="s">
        <v>171</v>
      </c>
      <c r="N47" s="986"/>
      <c r="O47" s="986"/>
      <c r="P47" s="894"/>
      <c r="Q47" s="985"/>
      <c r="R47" s="985"/>
    </row>
    <row r="48" spans="5:18" s="7" customFormat="1">
      <c r="E48" s="879" t="str" cm="1">
        <f t="array" ref="E48">INDEX(K48:P48, , F$2)</f>
        <v>Mining company financing assumptions</v>
      </c>
      <c r="J48" s="869"/>
      <c r="K48" s="881" t="s">
        <v>172</v>
      </c>
      <c r="L48" s="881" t="s">
        <v>173</v>
      </c>
      <c r="M48" s="986" t="s">
        <v>174</v>
      </c>
      <c r="N48" s="881"/>
      <c r="O48" s="881"/>
      <c r="P48" s="869"/>
      <c r="Q48" s="45"/>
      <c r="R48" s="45"/>
    </row>
    <row r="49" spans="5:18" s="7" customFormat="1">
      <c r="E49" s="879" t="str" cm="1">
        <f t="array" ref="E49">INDEX(K49:P49, , F$2)</f>
        <v>Value added tax</v>
      </c>
      <c r="J49" s="869"/>
      <c r="K49" s="881" t="s">
        <v>175</v>
      </c>
      <c r="L49" s="881" t="s">
        <v>176</v>
      </c>
      <c r="M49" s="986" t="s">
        <v>177</v>
      </c>
      <c r="N49" s="881"/>
      <c r="O49" s="881"/>
      <c r="P49" s="869"/>
      <c r="Q49" s="45"/>
      <c r="R49" s="45"/>
    </row>
    <row r="50" spans="5:18" s="7" customFormat="1">
      <c r="E50" s="879" t="str" cm="1">
        <f t="array" ref="E50">INDEX(K50:P50, , F$2)</f>
        <v>VAT</v>
      </c>
      <c r="J50" s="869"/>
      <c r="K50" s="882" t="s">
        <v>178</v>
      </c>
      <c r="L50" s="882" t="s">
        <v>179</v>
      </c>
      <c r="M50" s="1008" t="s">
        <v>180</v>
      </c>
      <c r="N50" s="882"/>
      <c r="O50" s="882"/>
      <c r="P50" s="869"/>
      <c r="Q50" s="45"/>
      <c r="R50" s="45"/>
    </row>
    <row r="51" spans="5:18" s="7" customFormat="1">
      <c r="E51" s="879" t="str" cm="1">
        <f t="array" ref="E51">INDEX(K51:P51, , F$2)</f>
        <v>Determine start of contributions</v>
      </c>
      <c r="J51" s="869"/>
      <c r="K51" s="881" t="s">
        <v>181</v>
      </c>
      <c r="L51" s="881" t="s">
        <v>182</v>
      </c>
      <c r="M51" s="986" t="s">
        <v>183</v>
      </c>
      <c r="N51" s="881"/>
      <c r="O51" s="881"/>
      <c r="P51" s="869"/>
      <c r="Q51" s="45"/>
      <c r="R51" s="45"/>
    </row>
    <row r="52" spans="5:18">
      <c r="E52" s="895" t="str" cm="1">
        <f t="array" ref="E52">INDEX(K52:P52, , F$2)</f>
        <v>Decommissioning provision required</v>
      </c>
      <c r="J52" s="894"/>
      <c r="K52" s="987" t="s">
        <v>184</v>
      </c>
      <c r="L52" s="997" t="s">
        <v>185</v>
      </c>
      <c r="M52" s="987" t="s">
        <v>186</v>
      </c>
      <c r="N52" s="987"/>
      <c r="O52" s="987"/>
      <c r="P52" s="894"/>
      <c r="Q52" s="985"/>
      <c r="R52" s="985"/>
    </row>
    <row r="53" spans="5:18">
      <c r="E53" s="895" t="str" cm="1">
        <f t="array" ref="E53">INDEX(K53:P53, , F$2)</f>
        <v>Decommissioning fund transactions</v>
      </c>
      <c r="J53" s="894"/>
      <c r="K53" s="987" t="s">
        <v>187</v>
      </c>
      <c r="L53" s="997" t="s">
        <v>188</v>
      </c>
      <c r="M53" s="987" t="s">
        <v>189</v>
      </c>
      <c r="N53" s="987"/>
      <c r="O53" s="987"/>
      <c r="P53" s="894"/>
      <c r="Q53" s="985"/>
      <c r="R53" s="985"/>
    </row>
    <row r="54" spans="5:18">
      <c r="E54" s="895" t="str" cm="1">
        <f t="array" ref="E54">INDEX(K54:P54, , F$2)</f>
        <v>Net decommissioning cashflows</v>
      </c>
      <c r="J54" s="894"/>
      <c r="K54" s="987" t="s">
        <v>190</v>
      </c>
      <c r="L54" s="997" t="s">
        <v>191</v>
      </c>
      <c r="M54" s="987" t="s">
        <v>192</v>
      </c>
      <c r="N54" s="987"/>
      <c r="O54" s="987"/>
      <c r="P54" s="894"/>
      <c r="Q54" s="985"/>
      <c r="R54" s="985"/>
    </row>
    <row r="55" spans="5:18">
      <c r="E55" s="895" t="str" cm="1">
        <f t="array" ref="E55">INDEX(K55:P55, , F$2)</f>
        <v>Signature bonus</v>
      </c>
      <c r="J55" s="894"/>
      <c r="K55" s="986" t="s">
        <v>193</v>
      </c>
      <c r="L55" s="996" t="s">
        <v>194</v>
      </c>
      <c r="M55" s="986" t="s">
        <v>195</v>
      </c>
      <c r="N55" s="986"/>
      <c r="O55" s="986"/>
      <c r="P55" s="894"/>
      <c r="Q55" s="985"/>
      <c r="R55" s="985"/>
    </row>
    <row r="56" spans="5:18">
      <c r="E56" s="895" t="str" cm="1">
        <f t="array" ref="E56">INDEX(K56:P56, , F$2)</f>
        <v>Base for royalty</v>
      </c>
      <c r="J56" s="894"/>
      <c r="K56" s="987" t="s">
        <v>196</v>
      </c>
      <c r="L56" s="997" t="s">
        <v>197</v>
      </c>
      <c r="M56" s="987" t="s">
        <v>198</v>
      </c>
      <c r="N56" s="987"/>
      <c r="O56" s="987"/>
      <c r="P56" s="894"/>
      <c r="Q56" s="985"/>
      <c r="R56" s="985"/>
    </row>
    <row r="57" spans="5:18">
      <c r="E57" s="895" t="str" cm="1">
        <f t="array" ref="E57">INDEX(K57:P57, , F$2)</f>
        <v>Flat royalty</v>
      </c>
      <c r="J57" s="894"/>
      <c r="K57" s="987" t="s">
        <v>199</v>
      </c>
      <c r="L57" s="997" t="s">
        <v>200</v>
      </c>
      <c r="M57" s="987" t="s">
        <v>201</v>
      </c>
      <c r="N57" s="987"/>
      <c r="O57" s="987"/>
      <c r="P57" s="894"/>
      <c r="Q57" s="985"/>
      <c r="R57" s="985"/>
    </row>
    <row r="58" spans="5:18">
      <c r="E58" s="895" t="str" cm="1">
        <f t="array" ref="E58">INDEX(K58:P58, , F$2)</f>
        <v>Price-based royalty</v>
      </c>
      <c r="J58" s="894"/>
      <c r="K58" s="988" t="s">
        <v>202</v>
      </c>
      <c r="L58" s="998" t="s">
        <v>203</v>
      </c>
      <c r="M58" s="988" t="s">
        <v>204</v>
      </c>
      <c r="N58" s="988"/>
      <c r="O58" s="988"/>
      <c r="P58" s="894"/>
      <c r="Q58" s="985"/>
      <c r="R58" s="985"/>
    </row>
    <row r="59" spans="5:18" s="7" customFormat="1">
      <c r="E59" s="879" t="str" cm="1">
        <f t="array" ref="E59">INDEX(K59:P59, , F$2)</f>
        <v>Aggregate royalty rate</v>
      </c>
      <c r="J59" s="869"/>
      <c r="K59" s="883" t="s">
        <v>205</v>
      </c>
      <c r="L59" s="883" t="s">
        <v>206</v>
      </c>
      <c r="M59" s="987" t="s">
        <v>207</v>
      </c>
      <c r="N59" s="883"/>
      <c r="O59" s="883"/>
      <c r="P59" s="869"/>
      <c r="Q59" s="45"/>
      <c r="R59" s="45"/>
    </row>
    <row r="60" spans="5:18">
      <c r="E60" s="895" t="str" cm="1">
        <f t="array" ref="E60">INDEX(K60:P60, , F$2)</f>
        <v>Net revenues after royalty</v>
      </c>
      <c r="J60" s="894"/>
      <c r="K60" s="987" t="s">
        <v>208</v>
      </c>
      <c r="L60" s="997" t="s">
        <v>209</v>
      </c>
      <c r="M60" s="987" t="s">
        <v>210</v>
      </c>
      <c r="N60" s="987"/>
      <c r="O60" s="987"/>
      <c r="P60" s="894"/>
      <c r="Q60" s="985"/>
      <c r="R60" s="985"/>
    </row>
    <row r="61" spans="5:18">
      <c r="E61" s="895" t="str" cm="1">
        <f t="array" ref="E61">INDEX(K61:P61, , F$2)</f>
        <v>Determination of tax base</v>
      </c>
      <c r="J61" s="894"/>
      <c r="K61" s="987" t="s">
        <v>211</v>
      </c>
      <c r="L61" s="997" t="s">
        <v>212</v>
      </c>
      <c r="M61" s="987" t="s">
        <v>213</v>
      </c>
      <c r="N61" s="987"/>
      <c r="O61" s="987"/>
      <c r="P61" s="894"/>
      <c r="Q61" s="985"/>
      <c r="R61" s="985"/>
    </row>
    <row r="62" spans="5:18" s="7" customFormat="1">
      <c r="E62" s="879" t="str" cm="1">
        <f t="array" ref="E62">INDEX(K62:P62, , F$2)</f>
        <v>Tax applicable</v>
      </c>
      <c r="J62" s="869"/>
      <c r="K62" s="884" t="s">
        <v>214</v>
      </c>
      <c r="L62" s="884" t="s">
        <v>215</v>
      </c>
      <c r="M62" s="994" t="s">
        <v>216</v>
      </c>
      <c r="N62" s="884"/>
      <c r="O62" s="884"/>
      <c r="P62" s="869"/>
      <c r="Q62" s="45"/>
      <c r="R62" s="45"/>
    </row>
    <row r="63" spans="5:18" s="7" customFormat="1">
      <c r="E63" s="879" t="str" cm="1">
        <f t="array" ref="E63">INDEX(K63:P63, , F$2)</f>
        <v>Tax inflation index</v>
      </c>
      <c r="J63" s="869"/>
      <c r="K63" s="884" t="s">
        <v>217</v>
      </c>
      <c r="L63" s="884" t="s">
        <v>218</v>
      </c>
      <c r="M63" s="994" t="s">
        <v>219</v>
      </c>
      <c r="N63" s="884"/>
      <c r="O63" s="884"/>
      <c r="P63" s="869"/>
      <c r="Q63" s="45"/>
      <c r="R63" s="45"/>
    </row>
    <row r="64" spans="5:18" s="7" customFormat="1">
      <c r="E64" s="879" t="str" cm="1">
        <f t="array" ref="E64">INDEX(K64:P64, , F$2)</f>
        <v>Tax rate - percentage</v>
      </c>
      <c r="J64" s="869"/>
      <c r="K64" s="884" t="s">
        <v>220</v>
      </c>
      <c r="L64" s="884" t="s">
        <v>221</v>
      </c>
      <c r="M64" s="994" t="s">
        <v>222</v>
      </c>
      <c r="N64" s="884"/>
      <c r="O64" s="884"/>
      <c r="P64" s="869"/>
      <c r="Q64" s="45"/>
      <c r="R64" s="45"/>
    </row>
    <row r="65" spans="5:18" s="7" customFormat="1">
      <c r="E65" s="879" t="str" cm="1">
        <f t="array" ref="E65">INDEX(K65:P65, , F$2)</f>
        <v>Tax rate - target year</v>
      </c>
      <c r="J65" s="869"/>
      <c r="K65" s="885" t="s">
        <v>223</v>
      </c>
      <c r="L65" s="885" t="s">
        <v>224</v>
      </c>
      <c r="M65" s="1009" t="s">
        <v>225</v>
      </c>
      <c r="N65" s="885"/>
      <c r="O65" s="885"/>
      <c r="P65" s="869"/>
      <c r="Q65" s="45"/>
      <c r="R65" s="45"/>
    </row>
    <row r="66" spans="5:18" s="7" customFormat="1">
      <c r="E66" s="879" t="str" cm="1">
        <f t="array" ref="E66">INDEX(K66:P66, , F$2)</f>
        <v>Tax rate - select</v>
      </c>
      <c r="J66" s="869"/>
      <c r="K66" s="885" t="s">
        <v>226</v>
      </c>
      <c r="L66" s="885" t="s">
        <v>227</v>
      </c>
      <c r="M66" s="1009" t="s">
        <v>228</v>
      </c>
      <c r="N66" s="885"/>
      <c r="O66" s="885"/>
      <c r="P66" s="869"/>
      <c r="Q66" s="45"/>
      <c r="R66" s="45"/>
    </row>
    <row r="67" spans="5:18" s="7" customFormat="1">
      <c r="E67" s="879" t="str" cm="1">
        <f t="array" ref="E67">INDEX(K67:P67, , F$2)</f>
        <v>Development costs to be financed by debt</v>
      </c>
      <c r="J67" s="869"/>
      <c r="K67" s="883" t="s">
        <v>229</v>
      </c>
      <c r="L67" s="883" t="s">
        <v>230</v>
      </c>
      <c r="M67" s="987" t="s">
        <v>231</v>
      </c>
      <c r="N67" s="883"/>
      <c r="O67" s="883"/>
      <c r="P67" s="869"/>
      <c r="Q67" s="45"/>
      <c r="R67" s="45"/>
    </row>
    <row r="68" spans="5:18">
      <c r="E68" s="895" t="str" cm="1">
        <f t="array" ref="E68">INDEX(K68:P68, , F$2)</f>
        <v>Loan repayments</v>
      </c>
      <c r="J68" s="894"/>
      <c r="K68" s="989" t="s">
        <v>232</v>
      </c>
      <c r="L68" s="999" t="s">
        <v>233</v>
      </c>
      <c r="M68" s="989" t="s">
        <v>234</v>
      </c>
      <c r="N68" s="989"/>
      <c r="O68" s="989"/>
      <c r="P68" s="894"/>
      <c r="Q68" s="985"/>
      <c r="R68" s="985"/>
    </row>
    <row r="69" spans="5:18">
      <c r="E69" s="895" t="str" cm="1">
        <f t="array" ref="E69">INDEX(K69:P69, , F$2)</f>
        <v>Loan account</v>
      </c>
      <c r="J69" s="894"/>
      <c r="K69" s="989" t="s">
        <v>235</v>
      </c>
      <c r="L69" s="999" t="s">
        <v>236</v>
      </c>
      <c r="M69" s="989" t="s">
        <v>237</v>
      </c>
      <c r="N69" s="989"/>
      <c r="O69" s="989"/>
      <c r="P69" s="894"/>
      <c r="Q69" s="985"/>
      <c r="R69" s="985"/>
    </row>
    <row r="70" spans="5:18" s="7" customFormat="1">
      <c r="E70" s="879" t="str" cm="1">
        <f t="array" ref="E70">INDEX(K70:P70, , F$2)</f>
        <v>Loan cashflows</v>
      </c>
      <c r="J70" s="869"/>
      <c r="K70" s="886" t="s">
        <v>238</v>
      </c>
      <c r="L70" s="886" t="s">
        <v>239</v>
      </c>
      <c r="M70" s="989" t="s">
        <v>240</v>
      </c>
      <c r="N70" s="886"/>
      <c r="O70" s="886"/>
      <c r="P70" s="869"/>
      <c r="Q70" s="45"/>
      <c r="R70" s="45"/>
    </row>
    <row r="71" spans="5:18">
      <c r="E71" s="895" t="str" cm="1">
        <f t="array" ref="E71">INDEX(K71:P71, , F$2)</f>
        <v>Allocation of loan transactions to mining company</v>
      </c>
      <c r="J71" s="894"/>
      <c r="K71" s="989" t="s">
        <v>241</v>
      </c>
      <c r="L71" s="999" t="s">
        <v>242</v>
      </c>
      <c r="M71" s="989" t="s">
        <v>243</v>
      </c>
      <c r="N71" s="989"/>
      <c r="O71" s="989"/>
      <c r="P71" s="894"/>
      <c r="Q71" s="985"/>
      <c r="R71" s="985"/>
    </row>
    <row r="72" spans="5:18" s="7" customFormat="1">
      <c r="E72" s="879" t="str" cm="1">
        <f t="array" ref="E72">INDEX(K72:P72, , F$2)</f>
        <v>Exploration costs tax treatment</v>
      </c>
      <c r="J72" s="869"/>
      <c r="K72" s="886" t="s">
        <v>244</v>
      </c>
      <c r="L72" s="886" t="s">
        <v>245</v>
      </c>
      <c r="M72" s="989" t="s">
        <v>246</v>
      </c>
      <c r="N72" s="886"/>
      <c r="O72" s="886"/>
      <c r="P72" s="869"/>
      <c r="Q72" s="45"/>
      <c r="R72" s="45"/>
    </row>
    <row r="73" spans="5:18">
      <c r="E73" s="895" t="str" cm="1">
        <f t="array" ref="E73">INDEX(K73:P73, , F$2)</f>
        <v>Bonus tax treatment</v>
      </c>
      <c r="J73" s="894"/>
      <c r="K73" s="989" t="s">
        <v>247</v>
      </c>
      <c r="L73" s="999" t="s">
        <v>248</v>
      </c>
      <c r="M73" s="989" t="s">
        <v>249</v>
      </c>
      <c r="N73" s="989"/>
      <c r="O73" s="989"/>
      <c r="P73" s="894"/>
      <c r="Q73" s="985"/>
      <c r="R73" s="985"/>
    </row>
    <row r="74" spans="5:18">
      <c r="E74" s="895" t="str" cm="1">
        <f t="array" ref="E74">INDEX(K74:P74, , F$2)</f>
        <v>Costs for depreciation calculation</v>
      </c>
      <c r="J74" s="894"/>
      <c r="K74" s="989" t="s">
        <v>250</v>
      </c>
      <c r="L74" s="999" t="s">
        <v>251</v>
      </c>
      <c r="M74" s="989" t="s">
        <v>252</v>
      </c>
      <c r="N74" s="989"/>
      <c r="O74" s="989"/>
      <c r="P74" s="894"/>
      <c r="Q74" s="985"/>
      <c r="R74" s="985"/>
    </row>
    <row r="75" spans="5:18">
      <c r="E75" s="895" t="str" cm="1">
        <f t="array" ref="E75">INDEX(K75:P75, , F$2)</f>
        <v>Costs into depreciation calculation</v>
      </c>
      <c r="J75" s="894"/>
      <c r="K75" s="989" t="s">
        <v>253</v>
      </c>
      <c r="L75" s="999" t="s">
        <v>254</v>
      </c>
      <c r="M75" s="989" t="s">
        <v>255</v>
      </c>
      <c r="N75" s="989"/>
      <c r="O75" s="989"/>
      <c r="P75" s="894"/>
      <c r="Q75" s="985"/>
      <c r="R75" s="985"/>
    </row>
    <row r="76" spans="5:18" s="7" customFormat="1">
      <c r="E76" s="879" t="str" cm="1">
        <f t="array" ref="E76">INDEX(K76:P76, , F$2)</f>
        <v>Straight-line depreciation</v>
      </c>
      <c r="J76" s="869"/>
      <c r="K76" s="886" t="s">
        <v>256</v>
      </c>
      <c r="L76" s="886" t="s">
        <v>257</v>
      </c>
      <c r="M76" s="989" t="s">
        <v>258</v>
      </c>
      <c r="N76" s="886"/>
      <c r="O76" s="886"/>
      <c r="P76" s="869"/>
      <c r="Q76" s="45"/>
      <c r="R76" s="45"/>
    </row>
    <row r="77" spans="5:18">
      <c r="E77" s="895" t="str" cm="1">
        <f t="array" ref="E77">INDEX(K77:P77, , F$2)</f>
        <v>Revenues for tax</v>
      </c>
      <c r="J77" s="894"/>
      <c r="K77" s="990" t="s">
        <v>259</v>
      </c>
      <c r="L77" s="1000" t="s">
        <v>260</v>
      </c>
      <c r="M77" s="990" t="s">
        <v>261</v>
      </c>
      <c r="N77" s="990"/>
      <c r="O77" s="990"/>
      <c r="P77" s="894"/>
      <c r="Q77" s="985"/>
      <c r="R77" s="985"/>
    </row>
    <row r="78" spans="5:18" s="7" customFormat="1">
      <c r="E78" s="879" t="str" cm="1">
        <f t="array" ref="E78">INDEX(K78:P78, , F$2)</f>
        <v>Royalty deductibility</v>
      </c>
      <c r="J78" s="869"/>
      <c r="K78" s="887" t="s">
        <v>262</v>
      </c>
      <c r="L78" s="887" t="s">
        <v>263</v>
      </c>
      <c r="M78" s="990" t="s">
        <v>264</v>
      </c>
      <c r="N78" s="887"/>
      <c r="O78" s="887"/>
      <c r="P78" s="869"/>
      <c r="Q78" s="45"/>
      <c r="R78" s="45"/>
    </row>
    <row r="79" spans="5:18" s="7" customFormat="1">
      <c r="E79" s="879" t="str" cm="1">
        <f t="array" ref="E79">INDEX(K79:P79, , F$2)</f>
        <v>Carbon tax deductibility</v>
      </c>
      <c r="J79" s="869"/>
      <c r="K79" s="887" t="s">
        <v>265</v>
      </c>
      <c r="L79" s="887" t="s">
        <v>266</v>
      </c>
      <c r="M79" s="990" t="s">
        <v>267</v>
      </c>
      <c r="N79" s="887"/>
      <c r="O79" s="887"/>
      <c r="P79" s="869"/>
      <c r="Q79" s="45"/>
      <c r="R79" s="45"/>
    </row>
    <row r="80" spans="5:18" s="7" customFormat="1">
      <c r="E80" s="879" t="str" cm="1">
        <f t="array" ref="E80">INDEX(K80:P80, , F$2)</f>
        <v>Deductions</v>
      </c>
      <c r="J80" s="869"/>
      <c r="K80" s="887" t="s">
        <v>268</v>
      </c>
      <c r="L80" s="887" t="s">
        <v>269</v>
      </c>
      <c r="M80" s="990" t="s">
        <v>270</v>
      </c>
      <c r="N80" s="887"/>
      <c r="O80" s="887"/>
      <c r="P80" s="869"/>
      <c r="Q80" s="45"/>
      <c r="R80" s="45"/>
    </row>
    <row r="81" spans="5:18">
      <c r="E81" s="895" t="str" cm="1">
        <f t="array" ref="E81">INDEX(K81:P81, , F$2)</f>
        <v>Taxable income</v>
      </c>
      <c r="J81" s="894"/>
      <c r="K81" s="990" t="s">
        <v>271</v>
      </c>
      <c r="L81" s="1000" t="s">
        <v>272</v>
      </c>
      <c r="M81" s="990" t="s">
        <v>273</v>
      </c>
      <c r="N81" s="990"/>
      <c r="O81" s="990"/>
      <c r="P81" s="894"/>
      <c r="Q81" s="985"/>
      <c r="R81" s="985"/>
    </row>
    <row r="82" spans="5:18">
      <c r="E82" s="895" t="str" cm="1">
        <f t="array" ref="E82">INDEX(K82:P82, , F$2)</f>
        <v>Determine cashflow for RRT</v>
      </c>
      <c r="J82" s="894"/>
      <c r="K82" s="990" t="s">
        <v>274</v>
      </c>
      <c r="L82" s="1000" t="s">
        <v>275</v>
      </c>
      <c r="M82" s="990" t="s">
        <v>276</v>
      </c>
      <c r="N82" s="990"/>
      <c r="O82" s="990"/>
      <c r="P82" s="894"/>
      <c r="Q82" s="985"/>
      <c r="R82" s="985"/>
    </row>
    <row r="83" spans="5:18" ht="30">
      <c r="E83" s="895" t="str" cm="1">
        <f t="array" ref="E83">INDEX(K83:P83, , F$2)</f>
        <v>Alternative basis for determining mining company net cashflow via taxable income</v>
      </c>
      <c r="J83" s="894"/>
      <c r="K83" s="990" t="s">
        <v>277</v>
      </c>
      <c r="L83" s="1000" t="s">
        <v>278</v>
      </c>
      <c r="M83" s="990" t="s">
        <v>279</v>
      </c>
      <c r="N83" s="990"/>
      <c r="O83" s="990"/>
      <c r="P83" s="894"/>
      <c r="Q83" s="985"/>
      <c r="R83" s="985"/>
    </row>
    <row r="84" spans="5:18">
      <c r="E84" s="895" t="str" cm="1">
        <f t="array" ref="E84">INDEX(K84:P84, , F$2)</f>
        <v>Deduction of CIT for RRT</v>
      </c>
      <c r="J84" s="894"/>
      <c r="K84" s="990" t="s">
        <v>280</v>
      </c>
      <c r="L84" s="1000" t="s">
        <v>281</v>
      </c>
      <c r="M84" s="990" t="s">
        <v>282</v>
      </c>
      <c r="N84" s="990"/>
      <c r="O84" s="990"/>
      <c r="P84" s="894"/>
      <c r="Q84" s="985"/>
      <c r="R84" s="985"/>
    </row>
    <row r="85" spans="5:18">
      <c r="E85" s="895" t="str" cm="1">
        <f t="array" ref="E85">INDEX(K85:P85, , F$2)</f>
        <v>Mining company cumulative cashflow for RRT</v>
      </c>
      <c r="J85" s="894"/>
      <c r="K85" s="990" t="s">
        <v>283</v>
      </c>
      <c r="L85" s="1000" t="s">
        <v>284</v>
      </c>
      <c r="M85" s="990" t="s">
        <v>285</v>
      </c>
      <c r="N85" s="990"/>
      <c r="O85" s="990"/>
      <c r="P85" s="894"/>
      <c r="Q85" s="985"/>
      <c r="R85" s="985"/>
    </row>
    <row r="86" spans="5:18">
      <c r="E86" s="895" t="str" cm="1">
        <f t="array" ref="E86">INDEX(K86:P86, , F$2)</f>
        <v>RRT deductible for CIT</v>
      </c>
      <c r="J86" s="894"/>
      <c r="K86" s="991" t="s">
        <v>286</v>
      </c>
      <c r="L86" s="1001" t="s">
        <v>287</v>
      </c>
      <c r="M86" s="991" t="s">
        <v>288</v>
      </c>
      <c r="N86" s="991"/>
      <c r="O86" s="991"/>
      <c r="P86" s="894"/>
      <c r="Q86" s="985"/>
      <c r="R86" s="985"/>
    </row>
    <row r="87" spans="5:18" s="7" customFormat="1">
      <c r="E87" s="879" t="str" cm="1">
        <f t="array" ref="E87">INDEX(K87:P87, , F$2)</f>
        <v>VAT applicable periods</v>
      </c>
      <c r="J87" s="869"/>
      <c r="K87" s="888" t="s">
        <v>289</v>
      </c>
      <c r="L87" s="888" t="s">
        <v>290</v>
      </c>
      <c r="M87" s="1010" t="s">
        <v>291</v>
      </c>
      <c r="N87" s="888"/>
      <c r="O87" s="888"/>
      <c r="P87" s="869"/>
      <c r="Q87" s="45"/>
      <c r="R87" s="45"/>
    </row>
    <row r="88" spans="5:18" s="7" customFormat="1">
      <c r="E88" s="879" t="str" cm="1">
        <f t="array" ref="E88">INDEX(K88:P88, , F$2)</f>
        <v>VAT cashflow</v>
      </c>
      <c r="J88" s="869"/>
      <c r="K88" s="888" t="s">
        <v>292</v>
      </c>
      <c r="L88" s="888" t="s">
        <v>293</v>
      </c>
      <c r="M88" s="1010" t="s">
        <v>294</v>
      </c>
      <c r="N88" s="888"/>
      <c r="O88" s="888"/>
      <c r="P88" s="869"/>
      <c r="Q88" s="45"/>
      <c r="R88" s="45"/>
    </row>
    <row r="89" spans="5:18" s="7" customFormat="1">
      <c r="E89" s="879" t="str" cm="1">
        <f t="array" ref="E89">INDEX(K89:P89, , F$2)</f>
        <v>Project economic limit: pre-fiscal</v>
      </c>
      <c r="J89" s="869"/>
      <c r="K89" s="887" t="s">
        <v>295</v>
      </c>
      <c r="L89" s="887" t="s">
        <v>296</v>
      </c>
      <c r="M89" s="990" t="s">
        <v>297</v>
      </c>
      <c r="N89" s="887"/>
      <c r="O89" s="887"/>
      <c r="P89" s="869"/>
      <c r="Q89" s="45"/>
      <c r="R89" s="45"/>
    </row>
    <row r="90" spans="5:18" s="7" customFormat="1">
      <c r="E90" s="879" t="str" cm="1">
        <f t="array" ref="E90">INDEX(K90:P90, , F$2)</f>
        <v>Mining company economic limit: post-fiscal</v>
      </c>
      <c r="J90" s="869"/>
      <c r="K90" s="887" t="s">
        <v>298</v>
      </c>
      <c r="L90" s="887" t="s">
        <v>299</v>
      </c>
      <c r="M90" s="990" t="s">
        <v>300</v>
      </c>
      <c r="N90" s="887"/>
      <c r="O90" s="887"/>
      <c r="P90" s="869"/>
      <c r="Q90" s="45"/>
      <c r="R90" s="45"/>
    </row>
    <row r="91" spans="5:18" s="7" customFormat="1">
      <c r="E91" s="879" t="str" cm="1">
        <f t="array" ref="E91">INDEX(K91:P91, , F$2)</f>
        <v>Post-fiscal ELT versus pre-fiscal ELT</v>
      </c>
      <c r="J91" s="869"/>
      <c r="K91" s="887" t="s">
        <v>301</v>
      </c>
      <c r="L91" s="887" t="s">
        <v>302</v>
      </c>
      <c r="M91" s="990" t="s">
        <v>303</v>
      </c>
      <c r="N91" s="887"/>
      <c r="O91" s="887"/>
      <c r="P91" s="869"/>
      <c r="Q91" s="45"/>
      <c r="R91" s="45"/>
    </row>
    <row r="92" spans="5:18">
      <c r="E92" s="895" t="str" cm="1">
        <f t="array" ref="E92">INDEX(K92:P92, , F$2)</f>
        <v>State participation share of equity contributions</v>
      </c>
      <c r="J92" s="894"/>
      <c r="K92" s="990" t="s">
        <v>304</v>
      </c>
      <c r="L92" s="1000" t="s">
        <v>305</v>
      </c>
      <c r="M92" s="990" t="s">
        <v>306</v>
      </c>
      <c r="N92" s="990"/>
      <c r="O92" s="990"/>
      <c r="P92" s="894"/>
      <c r="Q92" s="985"/>
      <c r="R92" s="985"/>
    </row>
    <row r="93" spans="5:18">
      <c r="E93" s="895" t="str" cm="1">
        <f t="array" ref="E93">INDEX(K93:P93, , F$2)</f>
        <v>State participation share of mining company loan</v>
      </c>
      <c r="J93" s="894"/>
      <c r="K93" s="990" t="s">
        <v>307</v>
      </c>
      <c r="L93" s="1000" t="s">
        <v>308</v>
      </c>
      <c r="M93" s="990" t="s">
        <v>309</v>
      </c>
      <c r="N93" s="990"/>
      <c r="O93" s="990"/>
      <c r="P93" s="894"/>
      <c r="Q93" s="985"/>
      <c r="R93" s="985"/>
    </row>
    <row r="94" spans="5:18">
      <c r="E94" s="895" t="str" cm="1">
        <f t="array" ref="E94">INDEX(K94:P94, , F$2)</f>
        <v>Share of loan met directly by state participant</v>
      </c>
      <c r="J94" s="894"/>
      <c r="K94" s="990" t="s">
        <v>310</v>
      </c>
      <c r="L94" s="1000" t="s">
        <v>311</v>
      </c>
      <c r="M94" s="990" t="s">
        <v>312</v>
      </c>
      <c r="N94" s="990"/>
      <c r="O94" s="990"/>
      <c r="P94" s="894"/>
      <c r="Q94" s="985"/>
      <c r="R94" s="985"/>
    </row>
    <row r="95" spans="5:18" ht="30">
      <c r="E95" s="895" t="str" cm="1">
        <f t="array" ref="E95">INDEX(K95:P95, , F$2)</f>
        <v>Share of loan met by parent company on behalf of state participant</v>
      </c>
      <c r="J95" s="894"/>
      <c r="K95" s="990" t="s">
        <v>313</v>
      </c>
      <c r="L95" s="1000" t="s">
        <v>314</v>
      </c>
      <c r="M95" s="990" t="s">
        <v>315</v>
      </c>
      <c r="N95" s="990"/>
      <c r="O95" s="990"/>
      <c r="P95" s="894"/>
      <c r="Q95" s="985"/>
      <c r="R95" s="985"/>
    </row>
    <row r="96" spans="5:18">
      <c r="E96" s="895" t="str" cm="1">
        <f t="array" ref="E96">INDEX(K96:P96, , F$2)</f>
        <v>Project loan cashflows met by state participant</v>
      </c>
      <c r="J96" s="894"/>
      <c r="K96" s="990" t="s">
        <v>316</v>
      </c>
      <c r="L96" s="1000" t="s">
        <v>317</v>
      </c>
      <c r="M96" s="990" t="s">
        <v>318</v>
      </c>
      <c r="N96" s="990"/>
      <c r="O96" s="990"/>
      <c r="P96" s="894"/>
      <c r="Q96" s="985"/>
      <c r="R96" s="985"/>
    </row>
    <row r="97" spans="5:18" ht="30">
      <c r="E97" s="895" t="str" cm="1">
        <f t="array" ref="E97">INDEX(K97:P97, , F$2)</f>
        <v>Project loan cashflows net of state participation share, met by parent company</v>
      </c>
      <c r="J97" s="894"/>
      <c r="K97" s="990" t="s">
        <v>319</v>
      </c>
      <c r="L97" s="1000" t="s">
        <v>320</v>
      </c>
      <c r="M97" s="990" t="s">
        <v>321</v>
      </c>
      <c r="N97" s="990"/>
      <c r="O97" s="990"/>
      <c r="P97" s="894"/>
      <c r="Q97" s="985"/>
      <c r="R97" s="985"/>
    </row>
    <row r="98" spans="5:18">
      <c r="E98" s="895" t="str" cm="1">
        <f t="array" ref="E98">INDEX(K98:P98, , F$2)</f>
        <v>met by state</v>
      </c>
      <c r="J98" s="894"/>
      <c r="K98" s="990" t="s">
        <v>322</v>
      </c>
      <c r="L98" s="1000" t="s">
        <v>323</v>
      </c>
      <c r="M98" s="990" t="s">
        <v>324</v>
      </c>
      <c r="N98" s="990"/>
      <c r="O98" s="990"/>
      <c r="P98" s="894"/>
      <c r="Q98" s="985"/>
      <c r="R98" s="985"/>
    </row>
    <row r="99" spans="5:18">
      <c r="E99" s="895" t="str" cm="1">
        <f t="array" ref="E99">INDEX(K99:P99, , F$2)</f>
        <v>State participation share of distributions</v>
      </c>
      <c r="J99" s="894"/>
      <c r="K99" s="990" t="s">
        <v>325</v>
      </c>
      <c r="L99" s="1000" t="s">
        <v>326</v>
      </c>
      <c r="M99" s="990" t="s">
        <v>327</v>
      </c>
      <c r="N99" s="990"/>
      <c r="O99" s="990"/>
      <c r="P99" s="894"/>
      <c r="Q99" s="985"/>
      <c r="R99" s="985"/>
    </row>
    <row r="100" spans="5:18" ht="30">
      <c r="E100" s="895" t="str" cm="1">
        <f t="array" ref="E100">INDEX(K100:P100, , F$2)</f>
        <v>State participation cashflows after carried interest financing</v>
      </c>
      <c r="J100" s="894"/>
      <c r="K100" s="992" t="s">
        <v>328</v>
      </c>
      <c r="L100" s="1002" t="s">
        <v>329</v>
      </c>
      <c r="M100" s="992" t="s">
        <v>330</v>
      </c>
      <c r="N100" s="992"/>
      <c r="O100" s="992"/>
      <c r="P100" s="894"/>
      <c r="Q100" s="985"/>
      <c r="R100" s="985"/>
    </row>
    <row r="101" spans="5:18">
      <c r="E101" s="895" t="str" cm="1">
        <f t="array" ref="E101">INDEX(K101:P101, , F$2)</f>
        <v>State participation cashflows including share of loan</v>
      </c>
      <c r="J101" s="894"/>
      <c r="K101" s="992" t="s">
        <v>331</v>
      </c>
      <c r="L101" s="1002" t="s">
        <v>332</v>
      </c>
      <c r="M101" s="992" t="s">
        <v>333</v>
      </c>
      <c r="N101" s="992"/>
      <c r="O101" s="992"/>
      <c r="P101" s="894"/>
      <c r="Q101" s="985"/>
      <c r="R101" s="985"/>
    </row>
    <row r="102" spans="5:18" s="7" customFormat="1">
      <c r="E102" s="879" t="str" cm="1">
        <f t="array" ref="E102">INDEX(K102:P102, , F$2)</f>
        <v>Withdrawals</v>
      </c>
      <c r="J102" s="869"/>
      <c r="K102" s="880" t="s">
        <v>334</v>
      </c>
      <c r="L102" s="880" t="s">
        <v>335</v>
      </c>
      <c r="M102" s="875" t="s">
        <v>336</v>
      </c>
      <c r="N102" s="880"/>
      <c r="O102" s="880"/>
      <c r="P102" s="869"/>
      <c r="Q102" s="45"/>
      <c r="R102" s="45"/>
    </row>
    <row r="103" spans="5:18" s="7" customFormat="1">
      <c r="E103" s="879" t="str" cm="1">
        <f t="array" ref="E103">INDEX(K103:P103, , F$2)</f>
        <v>Interest earned on fund</v>
      </c>
      <c r="J103" s="869"/>
      <c r="K103" s="880" t="s">
        <v>337</v>
      </c>
      <c r="L103" s="880" t="s">
        <v>338</v>
      </c>
      <c r="M103" s="875" t="s">
        <v>339</v>
      </c>
      <c r="N103" s="880"/>
      <c r="O103" s="880"/>
      <c r="P103" s="869"/>
      <c r="Q103" s="45"/>
      <c r="R103" s="45"/>
    </row>
    <row r="104" spans="5:18" s="7" customFormat="1">
      <c r="E104" s="879" t="str" cm="1">
        <f t="array" ref="E104">INDEX(K104:P104, , F$2)</f>
        <v>Determine financing and repayment period</v>
      </c>
      <c r="J104" s="869"/>
      <c r="K104" s="880" t="s">
        <v>340</v>
      </c>
      <c r="L104" s="880" t="s">
        <v>341</v>
      </c>
      <c r="M104" s="875" t="s">
        <v>342</v>
      </c>
      <c r="N104" s="880"/>
      <c r="O104" s="880"/>
      <c r="P104" s="869"/>
      <c r="Q104" s="45"/>
      <c r="R104" s="45"/>
    </row>
    <row r="105" spans="5:18" s="7" customFormat="1">
      <c r="E105" s="879" t="str" cm="1">
        <f t="array" ref="E105">INDEX(K105:P105, , F$2)</f>
        <v>Costs to be financed</v>
      </c>
      <c r="J105" s="869"/>
      <c r="K105" s="880" t="s">
        <v>343</v>
      </c>
      <c r="L105" s="880" t="s">
        <v>344</v>
      </c>
      <c r="M105" s="875" t="s">
        <v>345</v>
      </c>
      <c r="N105" s="880"/>
      <c r="O105" s="880"/>
      <c r="P105" s="869"/>
      <c r="Q105" s="45"/>
      <c r="R105" s="45"/>
    </row>
    <row r="106" spans="5:18" s="7" customFormat="1">
      <c r="E106" s="879" t="str" cm="1">
        <f t="array" ref="E106">INDEX(K106:P106, , F$2)</f>
        <v>Interest accounting</v>
      </c>
      <c r="J106" s="869"/>
      <c r="K106" s="880" t="s">
        <v>346</v>
      </c>
      <c r="L106" s="880" t="s">
        <v>347</v>
      </c>
      <c r="M106" s="875" t="s">
        <v>348</v>
      </c>
      <c r="N106" s="880"/>
      <c r="O106" s="880"/>
      <c r="P106" s="869"/>
      <c r="Q106" s="45"/>
      <c r="R106" s="45"/>
    </row>
    <row r="107" spans="5:18">
      <c r="E107" s="895" t="str" cm="1">
        <f t="array" ref="E107">INDEX(K107:P107, , F$2)</f>
        <v>Capitalized costs excluding interest (for RRT)</v>
      </c>
      <c r="J107" s="894"/>
      <c r="K107" s="875" t="s">
        <v>349</v>
      </c>
      <c r="L107" s="995" t="s">
        <v>350</v>
      </c>
      <c r="M107" s="875" t="s">
        <v>351</v>
      </c>
      <c r="N107" s="875"/>
      <c r="O107" s="875"/>
      <c r="P107" s="894"/>
      <c r="Q107" s="985"/>
      <c r="R107" s="985"/>
    </row>
    <row r="108" spans="5:18">
      <c r="E108" s="895" t="str" cm="1">
        <f t="array" ref="E108">INDEX(K108:P108, , F$2)</f>
        <v>Capitalized costs into depreciation calculation</v>
      </c>
      <c r="J108" s="894"/>
      <c r="K108" s="875" t="s">
        <v>352</v>
      </c>
      <c r="L108" s="995" t="s">
        <v>353</v>
      </c>
      <c r="M108" s="875" t="s">
        <v>354</v>
      </c>
      <c r="N108" s="875"/>
      <c r="O108" s="875"/>
      <c r="P108" s="894"/>
      <c r="Q108" s="985"/>
      <c r="R108" s="985"/>
    </row>
    <row r="109" spans="5:18" s="7" customFormat="1">
      <c r="E109" s="879" t="str" cm="1">
        <f t="array" ref="E109">INDEX(K109:P109, , F$2)</f>
        <v>Cost base for straight-line depreciation</v>
      </c>
      <c r="J109" s="869"/>
      <c r="K109" s="880" t="s">
        <v>355</v>
      </c>
      <c r="L109" s="880" t="s">
        <v>356</v>
      </c>
      <c r="M109" s="875" t="s">
        <v>357</v>
      </c>
      <c r="N109" s="880"/>
      <c r="O109" s="880"/>
      <c r="P109" s="869"/>
      <c r="Q109" s="45"/>
      <c r="R109" s="45"/>
    </row>
    <row r="110" spans="5:18" s="7" customFormat="1">
      <c r="E110" s="879" t="str" cm="1">
        <f t="array" ref="E110">INDEX(K110:P110, , F$2)</f>
        <v>Straight-line depreciation charge</v>
      </c>
      <c r="J110" s="869"/>
      <c r="K110" s="880" t="s">
        <v>358</v>
      </c>
      <c r="L110" s="880" t="s">
        <v>359</v>
      </c>
      <c r="M110" s="875" t="s">
        <v>360</v>
      </c>
      <c r="N110" s="880"/>
      <c r="O110" s="880"/>
      <c r="P110" s="869"/>
      <c r="Q110" s="45"/>
      <c r="R110" s="45"/>
    </row>
    <row r="111" spans="5:18">
      <c r="E111" s="895" t="str" cm="1">
        <f t="array" ref="E111">INDEX(K111:P111, , F$2)</f>
        <v>Determine fully depreciated costs</v>
      </c>
      <c r="J111" s="894"/>
      <c r="K111" s="875" t="s">
        <v>361</v>
      </c>
      <c r="L111" s="995" t="s">
        <v>362</v>
      </c>
      <c r="M111" s="875" t="s">
        <v>363</v>
      </c>
      <c r="N111" s="875"/>
      <c r="O111" s="875"/>
      <c r="P111" s="894"/>
      <c r="Q111" s="985"/>
      <c r="R111" s="985"/>
    </row>
    <row r="112" spans="5:18" s="7" customFormat="1">
      <c r="E112" s="879" t="str" cm="1">
        <f t="array" ref="E112">INDEX(K112:P112, , F$2)</f>
        <v>Balance of undepreciated assets</v>
      </c>
      <c r="J112" s="869"/>
      <c r="K112" s="880" t="s">
        <v>364</v>
      </c>
      <c r="L112" s="880" t="s">
        <v>365</v>
      </c>
      <c r="M112" s="875" t="s">
        <v>366</v>
      </c>
      <c r="N112" s="880"/>
      <c r="O112" s="880"/>
      <c r="P112" s="869"/>
      <c r="Q112" s="45"/>
      <c r="R112" s="45"/>
    </row>
    <row r="113" spans="5:18" s="7" customFormat="1">
      <c r="E113" s="879" t="str" cm="1">
        <f t="array" ref="E113">INDEX(K113:P113, , F$2)</f>
        <v>Flags from project cashflows</v>
      </c>
      <c r="J113" s="869"/>
      <c r="K113" s="880" t="s">
        <v>367</v>
      </c>
      <c r="L113" s="880" t="s">
        <v>368</v>
      </c>
      <c r="M113" s="875" t="s">
        <v>369</v>
      </c>
      <c r="N113" s="880"/>
      <c r="O113" s="880"/>
      <c r="P113" s="869"/>
      <c r="Q113" s="45"/>
      <c r="R113" s="45"/>
    </row>
    <row r="114" spans="5:18" s="7" customFormat="1">
      <c r="E114" s="879" t="str" cm="1">
        <f t="array" ref="E114">INDEX(K114:P114, , F$2)</f>
        <v>Start year for each alternative</v>
      </c>
      <c r="J114" s="869"/>
      <c r="K114" s="880" t="s">
        <v>370</v>
      </c>
      <c r="L114" s="880" t="s">
        <v>371</v>
      </c>
      <c r="M114" s="875" t="s">
        <v>372</v>
      </c>
      <c r="N114" s="880"/>
      <c r="O114" s="880"/>
      <c r="P114" s="869"/>
      <c r="Q114" s="45"/>
      <c r="R114" s="45"/>
    </row>
    <row r="115" spans="5:18" s="7" customFormat="1">
      <c r="E115" s="879" t="str" cm="1">
        <f t="array" ref="E115">INDEX(K115:P115, , F$2)</f>
        <v>VAT applicable flag</v>
      </c>
      <c r="J115" s="869"/>
      <c r="K115" s="880" t="s">
        <v>373</v>
      </c>
      <c r="L115" s="880" t="s">
        <v>374</v>
      </c>
      <c r="M115" s="875" t="s">
        <v>375</v>
      </c>
      <c r="N115" s="880"/>
      <c r="O115" s="880"/>
      <c r="P115" s="869"/>
      <c r="Q115" s="45"/>
      <c r="R115" s="45"/>
    </row>
    <row r="116" spans="5:18" s="7" customFormat="1">
      <c r="E116" s="879" t="str" cm="1">
        <f t="array" ref="E116">INDEX(K116:P116, , F$2)</f>
        <v>Scheduled refunds</v>
      </c>
      <c r="J116" s="869"/>
      <c r="K116" s="880" t="s">
        <v>376</v>
      </c>
      <c r="L116" s="880" t="s">
        <v>377</v>
      </c>
      <c r="M116" s="875" t="s">
        <v>378</v>
      </c>
      <c r="N116" s="880"/>
      <c r="O116" s="880"/>
      <c r="P116" s="869"/>
      <c r="Q116" s="45"/>
      <c r="R116" s="45"/>
    </row>
    <row r="117" spans="5:18">
      <c r="E117" s="895" t="str" cm="1">
        <f t="array" ref="E117">INDEX(K117:P117, , F$2)</f>
        <v>Loan available until</v>
      </c>
      <c r="J117" s="894"/>
      <c r="K117" s="875" t="s">
        <v>379</v>
      </c>
      <c r="L117" s="995" t="s">
        <v>380</v>
      </c>
      <c r="M117" s="875" t="s">
        <v>381</v>
      </c>
      <c r="N117" s="875"/>
      <c r="O117" s="875"/>
      <c r="P117" s="894"/>
      <c r="Q117" s="985"/>
      <c r="R117" s="985"/>
    </row>
    <row r="118" spans="5:18" s="7" customFormat="1">
      <c r="E118" s="879" t="str" cm="1">
        <f t="array" ref="E118">INDEX(K118:P118, , F$2)</f>
        <v xml:space="preserve">Drawdowns </v>
      </c>
      <c r="J118" s="869"/>
      <c r="K118" s="880" t="s">
        <v>382</v>
      </c>
      <c r="L118" s="880" t="s">
        <v>383</v>
      </c>
      <c r="M118" s="875" t="s">
        <v>384</v>
      </c>
      <c r="N118" s="880"/>
      <c r="O118" s="880"/>
      <c r="P118" s="869"/>
      <c r="Q118" s="45"/>
      <c r="R118" s="45"/>
    </row>
    <row r="119" spans="5:18" s="7" customFormat="1">
      <c r="E119" s="879" t="str" cm="1">
        <f t="array" ref="E119">INDEX(K119:P119, , F$2)</f>
        <v>Interest rate</v>
      </c>
      <c r="J119" s="869"/>
      <c r="K119" s="880" t="s">
        <v>385</v>
      </c>
      <c r="L119" s="880" t="s">
        <v>386</v>
      </c>
      <c r="M119" s="875" t="s">
        <v>387</v>
      </c>
      <c r="N119" s="880"/>
      <c r="O119" s="880"/>
      <c r="P119" s="869"/>
      <c r="Q119" s="45"/>
      <c r="R119" s="45"/>
    </row>
    <row r="120" spans="5:18" s="7" customFormat="1">
      <c r="E120" s="879" t="str" cm="1">
        <f t="array" ref="E120">INDEX(K120:P120, , F$2)</f>
        <v>Repayments</v>
      </c>
      <c r="J120" s="869"/>
      <c r="K120" s="880" t="s">
        <v>388</v>
      </c>
      <c r="L120" s="880" t="s">
        <v>389</v>
      </c>
      <c r="M120" s="875" t="s">
        <v>390</v>
      </c>
      <c r="N120" s="880"/>
      <c r="O120" s="880"/>
      <c r="P120" s="869"/>
      <c r="Q120" s="45"/>
      <c r="R120" s="45"/>
    </row>
    <row r="121" spans="5:18">
      <c r="E121" s="895" t="str" cm="1">
        <f t="array" ref="E121">INDEX(K121:P121, , F$2)</f>
        <v>Carried interest loan cashflows</v>
      </c>
      <c r="J121" s="894"/>
      <c r="K121" s="875" t="s">
        <v>391</v>
      </c>
      <c r="L121" s="995" t="s">
        <v>392</v>
      </c>
      <c r="M121" s="875" t="s">
        <v>393</v>
      </c>
      <c r="N121" s="875"/>
      <c r="O121" s="875"/>
      <c r="P121" s="894"/>
      <c r="Q121" s="985"/>
      <c r="R121" s="985"/>
    </row>
    <row r="122" spans="5:18">
      <c r="E122" s="895" t="str" cm="1">
        <f t="array" ref="E122">INDEX(K122:P122, , F$2)</f>
        <v>Carried interest loan</v>
      </c>
      <c r="J122" s="894"/>
      <c r="K122" s="875" t="s">
        <v>394</v>
      </c>
      <c r="L122" s="995" t="s">
        <v>395</v>
      </c>
      <c r="M122" s="875" t="s">
        <v>396</v>
      </c>
      <c r="N122" s="875"/>
      <c r="O122" s="875"/>
      <c r="P122" s="894"/>
      <c r="Q122" s="985"/>
      <c r="R122" s="985"/>
    </row>
    <row r="123" spans="5:18" s="7" customFormat="1">
      <c r="E123" s="879" t="str" cm="1">
        <f t="array" ref="E123">INDEX(K123:P123, , F$2)</f>
        <v>Regime number</v>
      </c>
      <c r="J123" s="869"/>
      <c r="K123" s="880" t="s">
        <v>397</v>
      </c>
      <c r="L123" s="880" t="s">
        <v>398</v>
      </c>
      <c r="M123" s="875" t="s">
        <v>399</v>
      </c>
      <c r="N123" s="880"/>
      <c r="O123" s="880"/>
      <c r="P123" s="869"/>
      <c r="Q123" s="45"/>
      <c r="R123" s="45"/>
    </row>
    <row r="124" spans="5:18" s="7" customFormat="1">
      <c r="E124" s="879" t="str" cm="1">
        <f t="array" ref="E124">INDEX(K124:P124, , F$2)</f>
        <v>Regime name</v>
      </c>
      <c r="J124" s="869"/>
      <c r="K124" s="880" t="s">
        <v>400</v>
      </c>
      <c r="L124" s="880" t="s">
        <v>401</v>
      </c>
      <c r="M124" s="875" t="s">
        <v>402</v>
      </c>
      <c r="N124" s="880"/>
      <c r="O124" s="880"/>
      <c r="P124" s="869"/>
      <c r="Q124" s="45"/>
      <c r="R124" s="45"/>
    </row>
    <row r="125" spans="5:18" s="7" customFormat="1">
      <c r="E125" s="879" t="str" cm="1">
        <f t="array" ref="E125">INDEX(K125:P125, , F$2)</f>
        <v>Selected regime number</v>
      </c>
      <c r="J125" s="869"/>
      <c r="K125" s="880" t="s">
        <v>403</v>
      </c>
      <c r="L125" s="880" t="s">
        <v>404</v>
      </c>
      <c r="M125" s="875" t="s">
        <v>405</v>
      </c>
      <c r="N125" s="880"/>
      <c r="O125" s="880"/>
      <c r="P125" s="869"/>
      <c r="Q125" s="45"/>
      <c r="R125" s="45"/>
    </row>
    <row r="126" spans="5:18">
      <c r="E126" s="895" t="str" cm="1">
        <f t="array" ref="E126">INDEX(K126:P126, , F$2)</f>
        <v>Signature bonus (first period of activity)</v>
      </c>
      <c r="J126" s="894"/>
      <c r="K126" s="875" t="s">
        <v>406</v>
      </c>
      <c r="L126" s="995" t="s">
        <v>407</v>
      </c>
      <c r="M126" s="875" t="s">
        <v>408</v>
      </c>
      <c r="N126" s="875"/>
      <c r="O126" s="875"/>
      <c r="P126" s="894"/>
      <c r="Q126" s="985"/>
      <c r="R126" s="985"/>
    </row>
    <row r="127" spans="5:18">
      <c r="E127" s="895" t="str" cm="1">
        <f t="array" ref="E127">INDEX(K127:P127, , F$2)</f>
        <v>Bonuses tax deductible</v>
      </c>
      <c r="J127" s="894"/>
      <c r="K127" s="875" t="s">
        <v>409</v>
      </c>
      <c r="L127" s="995" t="s">
        <v>410</v>
      </c>
      <c r="M127" s="875" t="s">
        <v>411</v>
      </c>
      <c r="N127" s="875"/>
      <c r="O127" s="875"/>
      <c r="P127" s="894"/>
      <c r="Q127" s="985"/>
      <c r="R127" s="985"/>
    </row>
    <row r="128" spans="5:18">
      <c r="E128" s="895" t="str" cm="1">
        <f t="array" ref="E128">INDEX(K128:P128, , F$2)</f>
        <v>Royalty rate: flat</v>
      </c>
      <c r="J128" s="894"/>
      <c r="K128" s="875" t="s">
        <v>412</v>
      </c>
      <c r="L128" s="995" t="s">
        <v>413</v>
      </c>
      <c r="M128" s="875" t="s">
        <v>414</v>
      </c>
      <c r="N128" s="875"/>
      <c r="O128" s="875"/>
      <c r="P128" s="894"/>
      <c r="Q128" s="985"/>
      <c r="R128" s="985"/>
    </row>
    <row r="129" spans="5:18">
      <c r="E129" s="895" t="str" cm="1">
        <f t="array" ref="E129">INDEX(K129:P129, , F$2)</f>
        <v>Additional royalty rate above price threshold</v>
      </c>
      <c r="J129" s="894"/>
      <c r="K129" s="875" t="s">
        <v>415</v>
      </c>
      <c r="L129" s="995" t="s">
        <v>416</v>
      </c>
      <c r="M129" s="875" t="s">
        <v>417</v>
      </c>
      <c r="N129" s="875"/>
      <c r="O129" s="875"/>
      <c r="P129" s="894"/>
      <c r="Q129" s="985"/>
      <c r="R129" s="985"/>
    </row>
    <row r="130" spans="5:18">
      <c r="E130" s="895" t="str" cm="1">
        <f t="array" ref="E130">INDEX(K130:P130, , F$2)</f>
        <v>Threshold for price royalty (0 = no price royalty)</v>
      </c>
      <c r="J130" s="894"/>
      <c r="K130" s="875" t="s">
        <v>418</v>
      </c>
      <c r="L130" s="995" t="s">
        <v>419</v>
      </c>
      <c r="M130" s="875" t="s">
        <v>420</v>
      </c>
      <c r="N130" s="875"/>
      <c r="O130" s="875"/>
      <c r="P130" s="894"/>
      <c r="Q130" s="985"/>
      <c r="R130" s="985"/>
    </row>
    <row r="131" spans="5:18">
      <c r="E131" s="895" t="str" cm="1">
        <f t="array" ref="E131">INDEX(K131:P131, , F$2)</f>
        <v>Price threshold inflation indexed</v>
      </c>
      <c r="J131" s="894"/>
      <c r="K131" s="875" t="s">
        <v>421</v>
      </c>
      <c r="L131" s="995" t="s">
        <v>422</v>
      </c>
      <c r="M131" s="875" t="s">
        <v>423</v>
      </c>
      <c r="N131" s="875"/>
      <c r="O131" s="875"/>
      <c r="P131" s="894"/>
      <c r="Q131" s="985"/>
      <c r="R131" s="985"/>
    </row>
    <row r="132" spans="5:18">
      <c r="E132" s="895" t="str" cm="1">
        <f t="array" ref="E132">INDEX(K132:P132, , F$2)</f>
        <v xml:space="preserve">Royalty base (gross or net revenues) </v>
      </c>
      <c r="J132" s="894"/>
      <c r="K132" s="875" t="s">
        <v>424</v>
      </c>
      <c r="L132" s="995" t="s">
        <v>425</v>
      </c>
      <c r="M132" s="875" t="s">
        <v>426</v>
      </c>
      <c r="N132" s="875"/>
      <c r="O132" s="875"/>
      <c r="P132" s="894"/>
      <c r="Q132" s="985"/>
      <c r="R132" s="985"/>
    </row>
    <row r="133" spans="5:18">
      <c r="E133" s="895" t="str" cm="1">
        <f t="array" ref="E133">INDEX(K133:P133, , F$2)</f>
        <v>Royalty is CIT and RRT deductible</v>
      </c>
      <c r="J133" s="894"/>
      <c r="K133" s="875" t="s">
        <v>427</v>
      </c>
      <c r="L133" s="995" t="s">
        <v>428</v>
      </c>
      <c r="M133" s="875" t="s">
        <v>429</v>
      </c>
      <c r="N133" s="875"/>
      <c r="O133" s="875"/>
      <c r="P133" s="894"/>
      <c r="Q133" s="985"/>
      <c r="R133" s="985"/>
    </row>
    <row r="134" spans="5:18">
      <c r="E134" s="895" t="str" cm="1">
        <f t="array" ref="E134">INDEX(K134:P134, , F$2)</f>
        <v>Tax per ton of CO2 eq emitted in start year</v>
      </c>
      <c r="J134" s="894"/>
      <c r="K134" s="875" t="s">
        <v>430</v>
      </c>
      <c r="L134" s="995" t="s">
        <v>431</v>
      </c>
      <c r="M134" s="875" t="s">
        <v>432</v>
      </c>
      <c r="N134" s="875"/>
      <c r="O134" s="875"/>
      <c r="P134" s="894"/>
      <c r="Q134" s="985"/>
      <c r="R134" s="985"/>
    </row>
    <row r="135" spans="5:18">
      <c r="E135" s="895" t="str" cm="1">
        <f t="array" ref="E135">INDEX(K135:P135, , F$2)</f>
        <v>Start year of carbon tax (0=from beginning)</v>
      </c>
      <c r="J135" s="894"/>
      <c r="K135" s="875" t="s">
        <v>433</v>
      </c>
      <c r="L135" s="995" t="s">
        <v>434</v>
      </c>
      <c r="M135" s="875" t="s">
        <v>435</v>
      </c>
      <c r="N135" s="875"/>
      <c r="O135" s="875"/>
      <c r="P135" s="894"/>
      <c r="Q135" s="985"/>
      <c r="R135" s="985"/>
    </row>
    <row r="136" spans="5:18" s="7" customFormat="1">
      <c r="E136" s="879" t="str" cm="1">
        <f t="array" ref="E136">INDEX(K136:P136, , F$2)</f>
        <v>Carbon tax in real or nominal terms</v>
      </c>
      <c r="J136" s="869"/>
      <c r="K136" s="880" t="s">
        <v>436</v>
      </c>
      <c r="L136" s="880" t="s">
        <v>437</v>
      </c>
      <c r="M136" s="875" t="s">
        <v>438</v>
      </c>
      <c r="N136" s="880"/>
      <c r="O136" s="880"/>
      <c r="P136" s="869"/>
      <c r="Q136" s="45"/>
      <c r="R136" s="45"/>
    </row>
    <row r="137" spans="5:18" s="7" customFormat="1" ht="30">
      <c r="E137" s="879" t="str" cm="1">
        <f t="array" ref="E137">INDEX(K137:P137, , F$2)</f>
        <v>Method to change carbon tax over time</v>
      </c>
      <c r="J137" s="869"/>
      <c r="K137" s="880" t="s">
        <v>439</v>
      </c>
      <c r="L137" s="880" t="s">
        <v>440</v>
      </c>
      <c r="M137" s="875" t="s">
        <v>441</v>
      </c>
      <c r="N137" s="880"/>
      <c r="O137" s="880"/>
      <c r="P137" s="869"/>
      <c r="Q137" s="45"/>
      <c r="R137" s="45"/>
    </row>
    <row r="138" spans="5:18">
      <c r="E138" s="895" t="str" cm="1">
        <f t="array" ref="E138">INDEX(K138:P138, , F$2)</f>
        <v>Percentage - annual increase above inflation</v>
      </c>
      <c r="J138" s="894"/>
      <c r="K138" s="875" t="s">
        <v>442</v>
      </c>
      <c r="L138" s="995" t="s">
        <v>443</v>
      </c>
      <c r="M138" s="875" t="s">
        <v>444</v>
      </c>
      <c r="N138" s="875"/>
      <c r="O138" s="875"/>
      <c r="P138" s="894"/>
      <c r="Q138" s="985"/>
      <c r="R138" s="985"/>
    </row>
    <row r="139" spans="5:18" s="7" customFormat="1">
      <c r="E139" s="879" t="str" cm="1">
        <f t="array" ref="E139">INDEX(K139:P139, , F$2)</f>
        <v>Target year - tax per CO2 eq emitted in future year</v>
      </c>
      <c r="J139" s="869"/>
      <c r="K139" s="880" t="s">
        <v>445</v>
      </c>
      <c r="L139" s="880" t="s">
        <v>446</v>
      </c>
      <c r="M139" s="875" t="s">
        <v>447</v>
      </c>
      <c r="N139" s="880"/>
      <c r="O139" s="880"/>
      <c r="P139" s="869"/>
      <c r="Q139" s="45"/>
      <c r="R139" s="45"/>
    </row>
    <row r="140" spans="5:18" s="7" customFormat="1">
      <c r="E140" s="879" t="str" cm="1">
        <f t="array" ref="E140">INDEX(K140:P140, , F$2)</f>
        <v>Target year - year in which tax reaches target level</v>
      </c>
      <c r="J140" s="869"/>
      <c r="K140" s="880" t="s">
        <v>448</v>
      </c>
      <c r="L140" s="880" t="s">
        <v>449</v>
      </c>
      <c r="M140" s="875" t="s">
        <v>450</v>
      </c>
      <c r="N140" s="880"/>
      <c r="O140" s="880"/>
      <c r="P140" s="869"/>
      <c r="Q140" s="45"/>
      <c r="R140" s="45"/>
    </row>
    <row r="141" spans="5:18" ht="30">
      <c r="E141" s="895" t="str" cm="1">
        <f t="array" ref="E141">INDEX(K141:P141, , F$2)</f>
        <v>Carbon tax imposed on scope 3 emissions levied on investor</v>
      </c>
      <c r="J141" s="894"/>
      <c r="K141" s="875" t="s">
        <v>451</v>
      </c>
      <c r="L141" s="995" t="s">
        <v>452</v>
      </c>
      <c r="M141" s="875" t="s">
        <v>453</v>
      </c>
      <c r="N141" s="875"/>
      <c r="O141" s="875"/>
      <c r="P141" s="894"/>
      <c r="Q141" s="985"/>
      <c r="R141" s="985"/>
    </row>
    <row r="142" spans="5:18">
      <c r="E142" s="895" t="str" cm="1">
        <f t="array" ref="E142">INDEX(K142:P142, , F$2)</f>
        <v>Carbon tax is CIT and RRT deductible</v>
      </c>
      <c r="J142" s="894"/>
      <c r="K142" s="875" t="s">
        <v>454</v>
      </c>
      <c r="L142" s="995" t="s">
        <v>455</v>
      </c>
      <c r="M142" s="875" t="s">
        <v>456</v>
      </c>
      <c r="N142" s="875"/>
      <c r="O142" s="875"/>
      <c r="P142" s="894"/>
      <c r="Q142" s="985"/>
      <c r="R142" s="985"/>
    </row>
    <row r="143" spans="5:18">
      <c r="E143" s="895" t="str" cm="1">
        <f t="array" ref="E143">INDEX(K143:P143, , F$2)</f>
        <v>Commencement of decommissioning provision</v>
      </c>
      <c r="J143" s="894"/>
      <c r="K143" s="875" t="s">
        <v>457</v>
      </c>
      <c r="L143" s="995" t="s">
        <v>458</v>
      </c>
      <c r="M143" s="875" t="s">
        <v>459</v>
      </c>
      <c r="N143" s="875"/>
      <c r="O143" s="875"/>
      <c r="P143" s="894"/>
      <c r="Q143" s="985"/>
      <c r="R143" s="985"/>
    </row>
    <row r="144" spans="5:18" s="7" customFormat="1">
      <c r="E144" s="879" t="str" cm="1">
        <f t="array" ref="E144">INDEX(K144:P144, , F$2)</f>
        <v>Exploration costs depreciated or deducted immediately</v>
      </c>
      <c r="J144" s="869"/>
      <c r="K144" s="880" t="s">
        <v>460</v>
      </c>
      <c r="L144" s="880" t="s">
        <v>461</v>
      </c>
      <c r="M144" s="875" t="s">
        <v>462</v>
      </c>
      <c r="N144" s="880"/>
      <c r="O144" s="880"/>
      <c r="P144" s="869"/>
      <c r="Q144" s="45"/>
      <c r="R144" s="45"/>
    </row>
    <row r="145" spans="5:18">
      <c r="E145" s="895" t="str" cm="1">
        <f t="array" ref="E145">INDEX(K145:P145, , F$2)</f>
        <v>Depreciation starts from</v>
      </c>
      <c r="J145" s="894"/>
      <c r="K145" s="875" t="s">
        <v>463</v>
      </c>
      <c r="L145" s="995" t="s">
        <v>464</v>
      </c>
      <c r="M145" s="875" t="s">
        <v>465</v>
      </c>
      <c r="N145" s="875"/>
      <c r="O145" s="875"/>
      <c r="P145" s="894"/>
      <c r="Q145" s="985"/>
      <c r="R145" s="985"/>
    </row>
    <row r="146" spans="5:18" ht="30">
      <c r="E146" s="895" t="str" cm="1">
        <f t="array" ref="E146">INDEX(K146:P146, , F$2)</f>
        <v>Development costs and replacement capital depreciation</v>
      </c>
      <c r="J146" s="894"/>
      <c r="K146" s="875" t="s">
        <v>466</v>
      </c>
      <c r="L146" s="995" t="s">
        <v>467</v>
      </c>
      <c r="M146" s="875" t="s">
        <v>468</v>
      </c>
      <c r="N146" s="875"/>
      <c r="O146" s="875"/>
      <c r="P146" s="894"/>
      <c r="Q146" s="985"/>
      <c r="R146" s="985"/>
    </row>
    <row r="147" spans="5:18">
      <c r="E147" s="895" t="str" cm="1">
        <f t="array" ref="E147">INDEX(K147:P147, , F$2)</f>
        <v>Uplift on negative cashflows</v>
      </c>
      <c r="J147" s="894"/>
      <c r="K147" s="875" t="s">
        <v>469</v>
      </c>
      <c r="L147" s="995" t="s">
        <v>470</v>
      </c>
      <c r="M147" s="875" t="s">
        <v>471</v>
      </c>
      <c r="N147" s="875"/>
      <c r="O147" s="875"/>
      <c r="P147" s="894"/>
      <c r="Q147" s="985"/>
      <c r="R147" s="985"/>
    </row>
    <row r="148" spans="5:18">
      <c r="E148" s="895" t="str" cm="1">
        <f t="array" ref="E148">INDEX(K148:P148, , F$2)</f>
        <v>CIT is deducted for RRT</v>
      </c>
      <c r="J148" s="894"/>
      <c r="K148" s="875" t="s">
        <v>472</v>
      </c>
      <c r="L148" s="995" t="s">
        <v>473</v>
      </c>
      <c r="M148" s="875" t="s">
        <v>474</v>
      </c>
      <c r="N148" s="875"/>
      <c r="O148" s="875"/>
      <c r="P148" s="894"/>
      <c r="Q148" s="985"/>
      <c r="R148" s="985"/>
    </row>
    <row r="149" spans="5:18">
      <c r="E149" s="895" t="str" cm="1">
        <f t="array" ref="E149">INDEX(K149:P149, , F$2)</f>
        <v>RRT tax rate</v>
      </c>
      <c r="J149" s="894"/>
      <c r="K149" s="875" t="s">
        <v>475</v>
      </c>
      <c r="L149" s="995" t="s">
        <v>476</v>
      </c>
      <c r="M149" s="875" t="s">
        <v>477</v>
      </c>
      <c r="N149" s="875"/>
      <c r="O149" s="875"/>
      <c r="P149" s="894"/>
      <c r="Q149" s="985"/>
      <c r="R149" s="985"/>
    </row>
    <row r="150" spans="5:18" s="7" customFormat="1">
      <c r="E150" s="879" t="str" cm="1">
        <f t="array" ref="E150">INDEX(K150:P150, , F$2)</f>
        <v>Dividend withholding tax</v>
      </c>
      <c r="J150" s="869"/>
      <c r="K150" s="880" t="s">
        <v>478</v>
      </c>
      <c r="L150" s="880" t="s">
        <v>479</v>
      </c>
      <c r="M150" s="875" t="s">
        <v>480</v>
      </c>
      <c r="N150" s="880"/>
      <c r="O150" s="880"/>
      <c r="P150" s="869"/>
      <c r="Q150" s="45"/>
      <c r="R150" s="45"/>
    </row>
    <row r="151" spans="5:18" s="7" customFormat="1">
      <c r="E151" s="879" t="str" cm="1">
        <f t="array" ref="E151">INDEX(K151:P151, , F$2)</f>
        <v>Interest withholding tax</v>
      </c>
      <c r="J151" s="869"/>
      <c r="K151" s="880" t="s">
        <v>481</v>
      </c>
      <c r="L151" s="880" t="s">
        <v>482</v>
      </c>
      <c r="M151" s="875" t="s">
        <v>483</v>
      </c>
      <c r="N151" s="880"/>
      <c r="O151" s="880"/>
      <c r="P151" s="869"/>
      <c r="Q151" s="45"/>
      <c r="R151" s="45"/>
    </row>
    <row r="152" spans="5:18" s="7" customFormat="1">
      <c r="E152" s="879" t="str" cm="1">
        <f t="array" ref="E152">INDEX(K152:P152, , F$2)</f>
        <v>State participation</v>
      </c>
      <c r="J152" s="869"/>
      <c r="K152" s="880" t="s">
        <v>484</v>
      </c>
      <c r="L152" s="880" t="s">
        <v>485</v>
      </c>
      <c r="M152" s="875" t="s">
        <v>486</v>
      </c>
      <c r="N152" s="880"/>
      <c r="O152" s="880"/>
      <c r="P152" s="869"/>
      <c r="Q152" s="45"/>
      <c r="R152" s="45"/>
    </row>
    <row r="153" spans="5:18" ht="30">
      <c r="E153" s="895" t="str" cm="1">
        <f t="array" ref="E153">INDEX(K153:P153, , F$2)</f>
        <v>State participation meets share of equity contributions and mining company loan</v>
      </c>
      <c r="J153" s="894"/>
      <c r="K153" s="875" t="s">
        <v>487</v>
      </c>
      <c r="L153" s="995" t="s">
        <v>488</v>
      </c>
      <c r="M153" s="875" t="s">
        <v>489</v>
      </c>
      <c r="N153" s="875"/>
      <c r="O153" s="875"/>
      <c r="P153" s="894"/>
      <c r="Q153" s="985"/>
      <c r="R153" s="985"/>
    </row>
    <row r="154" spans="5:18" ht="30">
      <c r="E154" s="895" t="str" cm="1">
        <f t="array" ref="E154">INDEX(K154:P154, , F$2)</f>
        <v>Carried interest: State participation equity and share of loan met by parent company</v>
      </c>
      <c r="J154" s="894"/>
      <c r="K154" s="875" t="s">
        <v>490</v>
      </c>
      <c r="L154" s="995" t="s">
        <v>491</v>
      </c>
      <c r="M154" s="875" t="s">
        <v>492</v>
      </c>
      <c r="N154" s="875"/>
      <c r="O154" s="875"/>
      <c r="P154" s="894"/>
      <c r="Q154" s="985"/>
      <c r="R154" s="985"/>
    </row>
    <row r="155" spans="5:18" ht="30">
      <c r="E155" s="895" t="str" cm="1">
        <f t="array" ref="E155">INDEX(K155:P155, , F$2)</f>
        <v>Carried interest: Financing by parent company till production year</v>
      </c>
      <c r="J155" s="894"/>
      <c r="K155" s="875" t="s">
        <v>493</v>
      </c>
      <c r="L155" s="995" t="s">
        <v>494</v>
      </c>
      <c r="M155" s="875" t="s">
        <v>495</v>
      </c>
      <c r="N155" s="875"/>
      <c r="O155" s="875"/>
      <c r="P155" s="894"/>
      <c r="Q155" s="985"/>
      <c r="R155" s="985"/>
    </row>
    <row r="156" spans="5:18">
      <c r="E156" s="895" t="str" cm="1">
        <f t="array" ref="E156">INDEX(K156:P156, , F$2)</f>
        <v>Carried interest: Interest rate margin above LIBOR</v>
      </c>
      <c r="J156" s="894"/>
      <c r="K156" s="875" t="s">
        <v>496</v>
      </c>
      <c r="L156" s="995" t="s">
        <v>497</v>
      </c>
      <c r="M156" s="875" t="s">
        <v>498</v>
      </c>
      <c r="N156" s="875"/>
      <c r="O156" s="875"/>
      <c r="P156" s="894"/>
      <c r="Q156" s="985"/>
      <c r="R156" s="985"/>
    </row>
    <row r="157" spans="5:18" ht="30">
      <c r="E157" s="895" t="str" cm="1">
        <f t="array" ref="E157">INDEX(K157:P157, , F$2)</f>
        <v>Carried interest: Proportion state participation cashflows used to repay equity carry</v>
      </c>
      <c r="J157" s="894"/>
      <c r="K157" s="875" t="s">
        <v>499</v>
      </c>
      <c r="L157" s="995" t="s">
        <v>500</v>
      </c>
      <c r="M157" s="875" t="s">
        <v>501</v>
      </c>
      <c r="N157" s="875"/>
      <c r="O157" s="875"/>
      <c r="P157" s="894"/>
      <c r="Q157" s="985"/>
      <c r="R157" s="985"/>
    </row>
    <row r="158" spans="5:18" s="7" customFormat="1">
      <c r="E158" s="879" t="str" cm="1">
        <f t="array" ref="E158">INDEX(K158:P158, , F$2)</f>
        <v>Proportion development costs borrowed</v>
      </c>
      <c r="J158" s="869"/>
      <c r="K158" s="880" t="s">
        <v>502</v>
      </c>
      <c r="L158" s="880" t="s">
        <v>503</v>
      </c>
      <c r="M158" s="875" t="s">
        <v>504</v>
      </c>
      <c r="N158" s="880"/>
      <c r="O158" s="880"/>
      <c r="P158" s="869"/>
      <c r="Q158" s="45"/>
      <c r="R158" s="45"/>
    </row>
    <row r="159" spans="5:18" s="7" customFormat="1">
      <c r="E159" s="879" t="str" cm="1">
        <f t="array" ref="E159">INDEX(K159:P159, , F$2)</f>
        <v>Repayment period (yrs after financing period) (max)</v>
      </c>
      <c r="J159" s="869"/>
      <c r="K159" s="880" t="s">
        <v>505</v>
      </c>
      <c r="L159" s="880" t="s">
        <v>506</v>
      </c>
      <c r="M159" s="875" t="s">
        <v>507</v>
      </c>
      <c r="N159" s="880"/>
      <c r="O159" s="880"/>
      <c r="P159" s="869"/>
      <c r="Q159" s="45"/>
      <c r="R159" s="45"/>
    </row>
    <row r="160" spans="5:18">
      <c r="E160" s="895" t="str" cm="1">
        <f t="array" ref="E160">INDEX(K160:P160, , F$2)</f>
        <v>Loan real interest rate (margin over LIBOR)</v>
      </c>
      <c r="J160" s="894"/>
      <c r="K160" s="875" t="s">
        <v>508</v>
      </c>
      <c r="L160" s="995" t="s">
        <v>509</v>
      </c>
      <c r="M160" s="875" t="s">
        <v>510</v>
      </c>
      <c r="N160" s="875"/>
      <c r="O160" s="875"/>
      <c r="P160" s="894"/>
      <c r="Q160" s="985"/>
      <c r="R160" s="985"/>
    </row>
    <row r="161" spans="5:18" s="7" customFormat="1">
      <c r="E161" s="879" t="str" cm="1">
        <f t="array" ref="E161">INDEX(K161:P161, , F$2)</f>
        <v>VAT Rate</v>
      </c>
      <c r="J161" s="869"/>
      <c r="K161" s="880" t="s">
        <v>511</v>
      </c>
      <c r="L161" s="880" t="s">
        <v>512</v>
      </c>
      <c r="M161" s="875" t="s">
        <v>513</v>
      </c>
      <c r="N161" s="880"/>
      <c r="O161" s="880"/>
      <c r="P161" s="869"/>
      <c r="Q161" s="45"/>
      <c r="R161" s="45"/>
    </row>
    <row r="162" spans="5:18">
      <c r="E162" s="895" t="str" cm="1">
        <f t="array" ref="E162">INDEX(K162:P162, , F$2)</f>
        <v>% Exploration &amp; capex subject to VAT</v>
      </c>
      <c r="J162" s="894"/>
      <c r="K162" s="875" t="s">
        <v>514</v>
      </c>
      <c r="L162" s="995" t="s">
        <v>515</v>
      </c>
      <c r="M162" s="875" t="s">
        <v>516</v>
      </c>
      <c r="N162" s="875"/>
      <c r="O162" s="875"/>
      <c r="P162" s="894"/>
      <c r="Q162" s="985"/>
      <c r="R162" s="985"/>
    </row>
    <row r="163" spans="5:18" s="7" customFormat="1">
      <c r="E163" s="879" t="str" cm="1">
        <f t="array" ref="E163">INDEX(K163:P163, , F$2)</f>
        <v>% opex subject to VAT</v>
      </c>
      <c r="J163" s="869"/>
      <c r="K163" s="880" t="s">
        <v>517</v>
      </c>
      <c r="L163" s="880" t="s">
        <v>518</v>
      </c>
      <c r="M163" s="875" t="s">
        <v>519</v>
      </c>
      <c r="N163" s="880"/>
      <c r="O163" s="880"/>
      <c r="P163" s="869"/>
      <c r="Q163" s="45"/>
      <c r="R163" s="45"/>
    </row>
    <row r="164" spans="5:18" s="7" customFormat="1">
      <c r="E164" s="879" t="str" cm="1">
        <f t="array" ref="E164">INDEX(K164:P164, , F$2)</f>
        <v>VAT refund delay</v>
      </c>
      <c r="J164" s="869"/>
      <c r="K164" s="880" t="s">
        <v>520</v>
      </c>
      <c r="L164" s="880" t="s">
        <v>521</v>
      </c>
      <c r="M164" s="875" t="s">
        <v>522</v>
      </c>
      <c r="N164" s="880"/>
      <c r="O164" s="880"/>
      <c r="P164" s="869"/>
      <c r="Q164" s="45"/>
      <c r="R164" s="45"/>
    </row>
    <row r="165" spans="5:18" s="7" customFormat="1">
      <c r="E165" s="879" t="str" cm="1">
        <f t="array" ref="E165">INDEX(K165:P165, , F$2)</f>
        <v>VAT applicable from</v>
      </c>
      <c r="J165" s="869"/>
      <c r="K165" s="880" t="s">
        <v>523</v>
      </c>
      <c r="L165" s="880" t="s">
        <v>524</v>
      </c>
      <c r="M165" s="875" t="s">
        <v>525</v>
      </c>
      <c r="N165" s="880"/>
      <c r="O165" s="880"/>
      <c r="P165" s="869"/>
      <c r="Q165" s="45"/>
      <c r="R165" s="45"/>
    </row>
    <row r="166" spans="5:18" s="7" customFormat="1">
      <c r="E166" s="879" t="str" cm="1">
        <f t="array" ref="E166">INDEX(K166:P166, , F$2)</f>
        <v>Proportion reserves produced</v>
      </c>
      <c r="J166" s="869"/>
      <c r="K166" s="880" t="s">
        <v>526</v>
      </c>
      <c r="L166" s="880" t="s">
        <v>527</v>
      </c>
      <c r="M166" s="875" t="s">
        <v>528</v>
      </c>
      <c r="N166" s="880"/>
      <c r="O166" s="880"/>
      <c r="P166" s="869"/>
      <c r="Q166" s="45"/>
      <c r="R166" s="45"/>
    </row>
    <row r="167" spans="5:18">
      <c r="E167" s="895" t="str" cm="1">
        <f t="array" ref="E167">INDEX(K167:P167, , F$2)</f>
        <v>Decommissioning period</v>
      </c>
      <c r="J167" s="894"/>
      <c r="K167" s="875" t="s">
        <v>529</v>
      </c>
      <c r="L167" s="995" t="s">
        <v>530</v>
      </c>
      <c r="M167" s="875" t="s">
        <v>531</v>
      </c>
      <c r="N167" s="875"/>
      <c r="O167" s="875"/>
      <c r="P167" s="894"/>
      <c r="Q167" s="985"/>
      <c r="R167" s="985"/>
    </row>
    <row r="168" spans="5:18">
      <c r="E168" s="895" t="str" cm="1">
        <f t="array" ref="E168">INDEX(K168:P168, , F$2)</f>
        <v>Number of decommissioning periods</v>
      </c>
      <c r="J168" s="894"/>
      <c r="K168" s="875" t="s">
        <v>532</v>
      </c>
      <c r="L168" s="995" t="s">
        <v>533</v>
      </c>
      <c r="M168" s="875" t="s">
        <v>534</v>
      </c>
      <c r="N168" s="875"/>
      <c r="O168" s="875"/>
      <c r="P168" s="894"/>
      <c r="Q168" s="985"/>
      <c r="R168" s="985"/>
    </row>
    <row r="169" spans="5:18">
      <c r="E169" s="895" t="str" cm="1">
        <f t="array" ref="E169">INDEX(K169:P169, , F$2)</f>
        <v>Decommissioning provision required (annuity basis)</v>
      </c>
      <c r="J169" s="894"/>
      <c r="K169" s="875" t="s">
        <v>535</v>
      </c>
      <c r="L169" s="995" t="s">
        <v>536</v>
      </c>
      <c r="M169" s="875" t="s">
        <v>537</v>
      </c>
      <c r="N169" s="875"/>
      <c r="O169" s="875"/>
      <c r="P169" s="894"/>
      <c r="Q169" s="985"/>
      <c r="R169" s="985"/>
    </row>
    <row r="170" spans="5:18">
      <c r="E170" s="895" t="str" cm="1">
        <f t="array" ref="E170">INDEX(K170:P170, , F$2)</f>
        <v>Decommissioning provision for future costs (end of period)</v>
      </c>
      <c r="J170" s="894"/>
      <c r="K170" s="875" t="s">
        <v>538</v>
      </c>
      <c r="L170" s="995" t="s">
        <v>539</v>
      </c>
      <c r="M170" s="875" t="s">
        <v>540</v>
      </c>
      <c r="N170" s="875"/>
      <c r="O170" s="875"/>
      <c r="P170" s="894"/>
      <c r="Q170" s="985"/>
      <c r="R170" s="985"/>
    </row>
    <row r="171" spans="5:18" ht="30">
      <c r="E171" s="895" t="str" cm="1">
        <f t="array" ref="E171">INDEX(K171:P171, , F$2)</f>
        <v>Withdrawals to meet decommissioning costs (end of period)</v>
      </c>
      <c r="J171" s="894"/>
      <c r="K171" s="875" t="s">
        <v>541</v>
      </c>
      <c r="L171" s="995" t="s">
        <v>542</v>
      </c>
      <c r="M171" s="875" t="s">
        <v>543</v>
      </c>
      <c r="N171" s="875"/>
      <c r="O171" s="875"/>
      <c r="P171" s="894"/>
      <c r="Q171" s="985"/>
      <c r="R171" s="985"/>
    </row>
    <row r="172" spans="5:18" s="7" customFormat="1">
      <c r="E172" s="879" t="str" cm="1">
        <f t="array" ref="E172">INDEX(K172:P172, , F$2)</f>
        <v>Interest</v>
      </c>
      <c r="J172" s="869"/>
      <c r="K172" s="880" t="s">
        <v>544</v>
      </c>
      <c r="L172" s="880" t="s">
        <v>545</v>
      </c>
      <c r="M172" s="875" t="s">
        <v>546</v>
      </c>
      <c r="N172" s="880"/>
      <c r="O172" s="880"/>
      <c r="P172" s="869"/>
      <c r="Q172" s="45"/>
      <c r="R172" s="45"/>
    </row>
    <row r="173" spans="5:18">
      <c r="E173" s="895" t="str" cm="1">
        <f t="array" ref="E173">INDEX(K173:P173, , F$2)</f>
        <v>Decommissioning fund opening balance BEG</v>
      </c>
      <c r="J173" s="894"/>
      <c r="K173" s="875" t="s">
        <v>547</v>
      </c>
      <c r="L173" s="995" t="s">
        <v>548</v>
      </c>
      <c r="M173" s="875" t="s">
        <v>549</v>
      </c>
      <c r="N173" s="875"/>
      <c r="O173" s="875"/>
      <c r="P173" s="894"/>
      <c r="Q173" s="985"/>
      <c r="R173" s="985"/>
    </row>
    <row r="174" spans="5:18">
      <c r="E174" s="895" t="str" cm="1">
        <f t="array" ref="E174">INDEX(K174:P174, , F$2)</f>
        <v>Decommissioning fund closing balance: END</v>
      </c>
      <c r="J174" s="894"/>
      <c r="K174" s="875" t="s">
        <v>550</v>
      </c>
      <c r="L174" s="995" t="s">
        <v>551</v>
      </c>
      <c r="M174" s="875" t="s">
        <v>552</v>
      </c>
      <c r="N174" s="875"/>
      <c r="O174" s="875"/>
      <c r="P174" s="894"/>
      <c r="Q174" s="985"/>
      <c r="R174" s="985"/>
    </row>
    <row r="175" spans="5:18">
      <c r="E175" s="895" t="str" cm="1">
        <f t="array" ref="E175">INDEX(K175:P175, , F$2)</f>
        <v>decommissioning cashflows</v>
      </c>
      <c r="J175" s="894"/>
      <c r="K175" s="875" t="s">
        <v>553</v>
      </c>
      <c r="L175" s="995" t="s">
        <v>554</v>
      </c>
      <c r="M175" s="875" t="s">
        <v>555</v>
      </c>
      <c r="N175" s="875"/>
      <c r="O175" s="875"/>
      <c r="P175" s="894"/>
      <c r="Q175" s="985"/>
      <c r="R175" s="985"/>
    </row>
    <row r="176" spans="5:18">
      <c r="E176" s="895" t="str" cm="1">
        <f t="array" ref="E176">INDEX(K176:P176, , F$2)</f>
        <v>Net decommissioning cashflows including fund</v>
      </c>
      <c r="J176" s="894"/>
      <c r="K176" s="875" t="s">
        <v>556</v>
      </c>
      <c r="L176" s="995" t="s">
        <v>557</v>
      </c>
      <c r="M176" s="875" t="s">
        <v>558</v>
      </c>
      <c r="N176" s="875"/>
      <c r="O176" s="875"/>
      <c r="P176" s="894"/>
      <c r="Q176" s="985"/>
      <c r="R176" s="985"/>
    </row>
    <row r="177" spans="5:18" ht="30">
      <c r="E177" s="895" t="str" cm="1">
        <f t="array" ref="E177">INDEX(K177:P177, , F$2)</f>
        <v>Project cashflows before fiscal regime after decommissioning</v>
      </c>
      <c r="J177" s="894"/>
      <c r="K177" s="875" t="s">
        <v>559</v>
      </c>
      <c r="L177" s="995" t="s">
        <v>560</v>
      </c>
      <c r="M177" s="875" t="s">
        <v>561</v>
      </c>
      <c r="N177" s="875"/>
      <c r="O177" s="875"/>
      <c r="P177" s="894"/>
      <c r="Q177" s="985"/>
      <c r="R177" s="985"/>
    </row>
    <row r="178" spans="5:18">
      <c r="E178" s="895" t="str" cm="1">
        <f t="array" ref="E178">INDEX(K178:P178, , F$2)</f>
        <v>Flat royalty rate</v>
      </c>
      <c r="J178" s="894"/>
      <c r="K178" s="875" t="s">
        <v>562</v>
      </c>
      <c r="L178" s="995" t="s">
        <v>563</v>
      </c>
      <c r="M178" s="875" t="s">
        <v>564</v>
      </c>
      <c r="N178" s="875"/>
      <c r="O178" s="875"/>
      <c r="P178" s="894"/>
      <c r="Q178" s="985"/>
      <c r="R178" s="985"/>
    </row>
    <row r="179" spans="5:18" s="7" customFormat="1">
      <c r="E179" s="879" t="str" cm="1">
        <f t="array" ref="E179">INDEX(K179:P179, , F$2)</f>
        <v>Proportion of price above threshold</v>
      </c>
      <c r="J179" s="869"/>
      <c r="K179" s="880" t="s">
        <v>565</v>
      </c>
      <c r="L179" s="880" t="s">
        <v>566</v>
      </c>
      <c r="M179" s="875" t="s">
        <v>567</v>
      </c>
      <c r="N179" s="880"/>
      <c r="O179" s="880"/>
      <c r="P179" s="869"/>
      <c r="Q179" s="45"/>
      <c r="R179" s="45"/>
    </row>
    <row r="180" spans="5:18">
      <c r="E180" s="895" t="str" cm="1">
        <f t="array" ref="E180">INDEX(K180:P180, , F$2)</f>
        <v>Price royalty rate</v>
      </c>
      <c r="J180" s="894"/>
      <c r="K180" s="875" t="s">
        <v>568</v>
      </c>
      <c r="L180" s="995" t="s">
        <v>569</v>
      </c>
      <c r="M180" s="875" t="s">
        <v>570</v>
      </c>
      <c r="N180" s="875"/>
      <c r="O180" s="875"/>
      <c r="P180" s="894"/>
      <c r="Q180" s="985"/>
      <c r="R180" s="985"/>
    </row>
    <row r="181" spans="5:18" s="7" customFormat="1">
      <c r="E181" s="879" t="str" cm="1">
        <f t="array" ref="E181">INDEX(K181:P181, , F$2)</f>
        <v>Royalty rate</v>
      </c>
      <c r="J181" s="869"/>
      <c r="K181" s="880" t="s">
        <v>571</v>
      </c>
      <c r="L181" s="880" t="s">
        <v>572</v>
      </c>
      <c r="M181" s="875" t="s">
        <v>573</v>
      </c>
      <c r="N181" s="880"/>
      <c r="O181" s="880"/>
      <c r="P181" s="869"/>
      <c r="Q181" s="45"/>
      <c r="R181" s="45"/>
    </row>
    <row r="182" spans="5:18">
      <c r="E182" s="895" t="str" cm="1">
        <f t="array" ref="E182">INDEX(K182:P182, , F$2)</f>
        <v>Total GHG emissions applicable for carbon tax</v>
      </c>
      <c r="J182" s="894"/>
      <c r="K182" s="875" t="s">
        <v>574</v>
      </c>
      <c r="L182" s="995" t="s">
        <v>575</v>
      </c>
      <c r="M182" s="875" t="s">
        <v>576</v>
      </c>
      <c r="N182" s="875"/>
      <c r="O182" s="875"/>
      <c r="P182" s="894"/>
      <c r="Q182" s="985"/>
      <c r="R182" s="985"/>
    </row>
    <row r="183" spans="5:18" s="7" customFormat="1">
      <c r="E183" s="879" t="str" cm="1">
        <f t="array" ref="E183">INDEX(K183:P183, , F$2)</f>
        <v>Carbon tax rate applicable</v>
      </c>
      <c r="J183" s="869"/>
      <c r="K183" s="880" t="s">
        <v>577</v>
      </c>
      <c r="L183" s="880" t="s">
        <v>578</v>
      </c>
      <c r="M183" s="875" t="s">
        <v>579</v>
      </c>
      <c r="N183" s="880"/>
      <c r="O183" s="880"/>
      <c r="P183" s="869"/>
      <c r="Q183" s="45"/>
      <c r="R183" s="45"/>
    </row>
    <row r="184" spans="5:18" s="7" customFormat="1">
      <c r="E184" s="879" t="str" cm="1">
        <f t="array" ref="E184">INDEX(K184:P184, , F$2)</f>
        <v>Year of carbon tax</v>
      </c>
      <c r="J184" s="869"/>
      <c r="K184" s="880" t="s">
        <v>580</v>
      </c>
      <c r="L184" s="880" t="s">
        <v>581</v>
      </c>
      <c r="M184" s="875" t="s">
        <v>582</v>
      </c>
      <c r="N184" s="880"/>
      <c r="O184" s="880"/>
      <c r="P184" s="869"/>
      <c r="Q184" s="45"/>
      <c r="R184" s="45"/>
    </row>
    <row r="185" spans="5:18">
      <c r="E185" s="895" t="str" cm="1">
        <f t="array" ref="E185">INDEX(K185:P185, , F$2)</f>
        <v>Carbon tax - inflation</v>
      </c>
      <c r="J185" s="894"/>
      <c r="K185" s="875" t="s">
        <v>583</v>
      </c>
      <c r="L185" s="995" t="s">
        <v>584</v>
      </c>
      <c r="M185" s="875" t="s">
        <v>585</v>
      </c>
      <c r="N185" s="875"/>
      <c r="O185" s="875"/>
      <c r="P185" s="894"/>
      <c r="Q185" s="985"/>
      <c r="R185" s="985"/>
    </row>
    <row r="186" spans="5:18" s="7" customFormat="1">
      <c r="E186" s="879" t="str" cm="1">
        <f t="array" ref="E186">INDEX(K186:P186, , F$2)</f>
        <v>Inflation since carbon tax start year</v>
      </c>
      <c r="J186" s="869"/>
      <c r="K186" s="880" t="s">
        <v>586</v>
      </c>
      <c r="L186" s="880" t="s">
        <v>587</v>
      </c>
      <c r="M186" s="875" t="s">
        <v>588</v>
      </c>
      <c r="N186" s="880"/>
      <c r="O186" s="880"/>
      <c r="P186" s="869"/>
      <c r="Q186" s="45"/>
      <c r="R186" s="45"/>
    </row>
    <row r="187" spans="5:18" s="7" customFormat="1">
      <c r="E187" s="879" t="str" cm="1">
        <f t="array" ref="E187">INDEX(K187:P187, , F$2)</f>
        <v>Carbon tax inflation index</v>
      </c>
      <c r="J187" s="869"/>
      <c r="K187" s="880" t="s">
        <v>589</v>
      </c>
      <c r="L187" s="880" t="s">
        <v>590</v>
      </c>
      <c r="M187" s="875" t="s">
        <v>591</v>
      </c>
      <c r="N187" s="880"/>
      <c r="O187" s="880"/>
      <c r="P187" s="869"/>
      <c r="Q187" s="45"/>
      <c r="R187" s="45"/>
    </row>
    <row r="188" spans="5:18" s="7" customFormat="1" ht="30">
      <c r="E188" s="879" t="str" cm="1">
        <f t="array" ref="E188">INDEX(K188:P188, , F$2)</f>
        <v>Carbon tax - percentage method; before inflation adjustment</v>
      </c>
      <c r="J188" s="869"/>
      <c r="K188" s="880" t="s">
        <v>592</v>
      </c>
      <c r="L188" s="880" t="s">
        <v>593</v>
      </c>
      <c r="M188" s="875" t="s">
        <v>594</v>
      </c>
      <c r="N188" s="880"/>
      <c r="O188" s="880"/>
      <c r="P188" s="869"/>
      <c r="Q188" s="45"/>
      <c r="R188" s="45"/>
    </row>
    <row r="189" spans="5:18" s="7" customFormat="1">
      <c r="E189" s="879" t="str" cm="1">
        <f t="array" ref="E189">INDEX(K189:P189, , F$2)</f>
        <v>Years of carbon tax until it reaches target level</v>
      </c>
      <c r="J189" s="869"/>
      <c r="K189" s="880" t="s">
        <v>595</v>
      </c>
      <c r="L189" s="880" t="s">
        <v>596</v>
      </c>
      <c r="M189" s="875" t="s">
        <v>597</v>
      </c>
      <c r="N189" s="880"/>
      <c r="O189" s="880"/>
      <c r="P189" s="869"/>
      <c r="Q189" s="45"/>
      <c r="R189" s="45"/>
    </row>
    <row r="190" spans="5:18" s="7" customFormat="1" ht="30">
      <c r="E190" s="879" t="str" cm="1">
        <f t="array" ref="E190">INDEX(K190:P190, , F$2)</f>
        <v>Change in carbon tax between start and future year</v>
      </c>
      <c r="J190" s="869"/>
      <c r="K190" s="880" t="s">
        <v>598</v>
      </c>
      <c r="L190" s="880" t="s">
        <v>599</v>
      </c>
      <c r="M190" s="875" t="s">
        <v>600</v>
      </c>
      <c r="N190" s="880"/>
      <c r="O190" s="880"/>
      <c r="P190" s="869"/>
      <c r="Q190" s="45"/>
      <c r="R190" s="45"/>
    </row>
    <row r="191" spans="5:18" s="7" customFormat="1">
      <c r="E191" s="879" t="str" cm="1">
        <f t="array" ref="E191">INDEX(K191:P191, , F$2)</f>
        <v>Annual increase in carbon tax</v>
      </c>
      <c r="J191" s="869"/>
      <c r="K191" s="880" t="s">
        <v>601</v>
      </c>
      <c r="L191" s="880" t="s">
        <v>602</v>
      </c>
      <c r="M191" s="875" t="s">
        <v>603</v>
      </c>
      <c r="N191" s="880"/>
      <c r="O191" s="880"/>
      <c r="P191" s="869"/>
      <c r="Q191" s="45"/>
      <c r="R191" s="45"/>
    </row>
    <row r="192" spans="5:18" s="7" customFormat="1" ht="30">
      <c r="E192" s="879" t="str" cm="1">
        <f t="array" ref="E192">INDEX(K192:P192, , F$2)</f>
        <v>Carbon tax - target level/year; before inflation adjustment</v>
      </c>
      <c r="J192" s="869"/>
      <c r="K192" s="880" t="s">
        <v>604</v>
      </c>
      <c r="L192" s="880" t="s">
        <v>605</v>
      </c>
      <c r="M192" s="875" t="s">
        <v>606</v>
      </c>
      <c r="N192" s="880"/>
      <c r="O192" s="880"/>
      <c r="P192" s="869"/>
      <c r="Q192" s="45"/>
      <c r="R192" s="45"/>
    </row>
    <row r="193" spans="5:18">
      <c r="E193" s="895" t="str" cm="1">
        <f t="array" ref="E193">INDEX(K193:P193, , F$2)</f>
        <v>Carbon tax as share of net revenue</v>
      </c>
      <c r="J193" s="894"/>
      <c r="K193" s="875" t="s">
        <v>607</v>
      </c>
      <c r="L193" s="995" t="s">
        <v>608</v>
      </c>
      <c r="M193" s="875" t="s">
        <v>609</v>
      </c>
      <c r="N193" s="875"/>
      <c r="O193" s="875"/>
      <c r="P193" s="894"/>
      <c r="Q193" s="985"/>
      <c r="R193" s="985"/>
    </row>
    <row r="194" spans="5:18" s="7" customFormat="1">
      <c r="E194" s="879" t="str" cm="1">
        <f t="array" ref="E194">INDEX(K194:P194, , F$2)</f>
        <v>Project cashflows turn positive</v>
      </c>
      <c r="J194" s="869"/>
      <c r="K194" s="880" t="s">
        <v>610</v>
      </c>
      <c r="L194" s="880" t="s">
        <v>611</v>
      </c>
      <c r="M194" s="875" t="s">
        <v>612</v>
      </c>
      <c r="N194" s="880"/>
      <c r="O194" s="880"/>
      <c r="P194" s="869"/>
      <c r="Q194" s="45"/>
      <c r="R194" s="45"/>
    </row>
    <row r="195" spans="5:18" s="7" customFormat="1">
      <c r="E195" s="879" t="str" cm="1">
        <f t="array" ref="E195">INDEX(K195:P195, , F$2)</f>
        <v>Financing period</v>
      </c>
      <c r="J195" s="869"/>
      <c r="K195" s="880" t="s">
        <v>613</v>
      </c>
      <c r="L195" s="880" t="s">
        <v>614</v>
      </c>
      <c r="M195" s="875" t="s">
        <v>615</v>
      </c>
      <c r="N195" s="880"/>
      <c r="O195" s="880"/>
      <c r="P195" s="869"/>
      <c r="Q195" s="45"/>
      <c r="R195" s="45"/>
    </row>
    <row r="196" spans="5:18">
      <c r="E196" s="895" t="str" cm="1">
        <f t="array" ref="E196">INDEX(K196:P196, , F$2)</f>
        <v>Loan drawdowns (mid-period)</v>
      </c>
      <c r="J196" s="894"/>
      <c r="K196" s="875" t="s">
        <v>616</v>
      </c>
      <c r="L196" s="995" t="s">
        <v>617</v>
      </c>
      <c r="M196" s="875" t="s">
        <v>618</v>
      </c>
      <c r="N196" s="875"/>
      <c r="O196" s="875"/>
      <c r="P196" s="894"/>
      <c r="Q196" s="985"/>
      <c r="R196" s="985"/>
    </row>
    <row r="197" spans="5:18">
      <c r="E197" s="895" t="str" cm="1">
        <f t="array" ref="E197">INDEX(K197:P197, , F$2)</f>
        <v>Loan repayment flag</v>
      </c>
      <c r="J197" s="894"/>
      <c r="K197" s="875" t="s">
        <v>619</v>
      </c>
      <c r="L197" s="995" t="s">
        <v>620</v>
      </c>
      <c r="M197" s="875" t="s">
        <v>621</v>
      </c>
      <c r="N197" s="875"/>
      <c r="O197" s="875"/>
      <c r="P197" s="894"/>
      <c r="Q197" s="985"/>
      <c r="R197" s="985"/>
    </row>
    <row r="198" spans="5:18">
      <c r="E198" s="895" t="str" cm="1">
        <f t="array" ref="E198">INDEX(K198:P198, , F$2)</f>
        <v>Proportion of remaining loan balance to be paid</v>
      </c>
      <c r="J198" s="894"/>
      <c r="K198" s="875" t="s">
        <v>622</v>
      </c>
      <c r="L198" s="995" t="s">
        <v>623</v>
      </c>
      <c r="M198" s="875" t="s">
        <v>624</v>
      </c>
      <c r="N198" s="875"/>
      <c r="O198" s="875"/>
      <c r="P198" s="894"/>
      <c r="Q198" s="985"/>
      <c r="R198" s="985"/>
    </row>
    <row r="199" spans="5:18">
      <c r="E199" s="895" t="str" cm="1">
        <f t="array" ref="E199">INDEX(K199:P199, , F$2)</f>
        <v>Loan nominal interest rate</v>
      </c>
      <c r="J199" s="894"/>
      <c r="K199" s="875" t="s">
        <v>625</v>
      </c>
      <c r="L199" s="995" t="s">
        <v>626</v>
      </c>
      <c r="M199" s="875" t="s">
        <v>627</v>
      </c>
      <c r="N199" s="875"/>
      <c r="O199" s="875"/>
      <c r="P199" s="894"/>
      <c r="Q199" s="985"/>
      <c r="R199" s="985"/>
    </row>
    <row r="200" spans="5:18">
      <c r="E200" s="895" t="str" cm="1">
        <f t="array" ref="E200">INDEX(K200:P200, , F$2)</f>
        <v>Loan account opening balance: BEG</v>
      </c>
      <c r="J200" s="894"/>
      <c r="K200" s="875" t="s">
        <v>628</v>
      </c>
      <c r="L200" s="995" t="s">
        <v>629</v>
      </c>
      <c r="M200" s="875" t="s">
        <v>630</v>
      </c>
      <c r="N200" s="875"/>
      <c r="O200" s="875"/>
      <c r="P200" s="894"/>
      <c r="Q200" s="985"/>
      <c r="R200" s="985"/>
    </row>
    <row r="201" spans="5:18" s="7" customFormat="1">
      <c r="E201" s="879" t="str" cm="1">
        <f t="array" ref="E201">INDEX(K201:P201, , F$2)</f>
        <v>Interest charged</v>
      </c>
      <c r="J201" s="869"/>
      <c r="K201" s="880" t="s">
        <v>631</v>
      </c>
      <c r="L201" s="880" t="s">
        <v>632</v>
      </c>
      <c r="M201" s="875" t="s">
        <v>633</v>
      </c>
      <c r="N201" s="880"/>
      <c r="O201" s="880"/>
      <c r="P201" s="869"/>
      <c r="Q201" s="45"/>
      <c r="R201" s="45"/>
    </row>
    <row r="202" spans="5:18" s="7" customFormat="1">
      <c r="E202" s="879" t="str" cm="1">
        <f t="array" ref="E202">INDEX(K202:P202, , F$2)</f>
        <v>Interest payments (end of period)</v>
      </c>
      <c r="J202" s="869"/>
      <c r="K202" s="880" t="s">
        <v>634</v>
      </c>
      <c r="L202" s="880" t="s">
        <v>635</v>
      </c>
      <c r="M202" s="875" t="s">
        <v>636</v>
      </c>
      <c r="N202" s="880"/>
      <c r="O202" s="880"/>
      <c r="P202" s="869"/>
      <c r="Q202" s="45"/>
      <c r="R202" s="45"/>
    </row>
    <row r="203" spans="5:18">
      <c r="E203" s="895" t="str" cm="1">
        <f t="array" ref="E203">INDEX(K203:P203, , F$2)</f>
        <v>Loan balance to be paid</v>
      </c>
      <c r="J203" s="894"/>
      <c r="K203" s="875" t="s">
        <v>637</v>
      </c>
      <c r="L203" s="995" t="s">
        <v>638</v>
      </c>
      <c r="M203" s="875" t="s">
        <v>639</v>
      </c>
      <c r="N203" s="875"/>
      <c r="O203" s="875"/>
      <c r="P203" s="894"/>
      <c r="Q203" s="985"/>
      <c r="R203" s="985"/>
    </row>
    <row r="204" spans="5:18" s="7" customFormat="1">
      <c r="E204" s="879" t="str" cm="1">
        <f t="array" ref="E204">INDEX(K204:P204, , F$2)</f>
        <v>Principal repayments</v>
      </c>
      <c r="J204" s="869"/>
      <c r="K204" s="880" t="s">
        <v>640</v>
      </c>
      <c r="L204" s="880" t="s">
        <v>641</v>
      </c>
      <c r="M204" s="875" t="s">
        <v>642</v>
      </c>
      <c r="N204" s="880"/>
      <c r="O204" s="880"/>
      <c r="P204" s="869"/>
      <c r="Q204" s="45"/>
      <c r="R204" s="45"/>
    </row>
    <row r="205" spans="5:18">
      <c r="E205" s="895" t="str" cm="1">
        <f t="array" ref="E205">INDEX(K205:P205, , F$2)</f>
        <v>Loan closing balance: END</v>
      </c>
      <c r="J205" s="894"/>
      <c r="K205" s="875" t="s">
        <v>643</v>
      </c>
      <c r="L205" s="995" t="s">
        <v>644</v>
      </c>
      <c r="M205" s="875" t="s">
        <v>645</v>
      </c>
      <c r="N205" s="875"/>
      <c r="O205" s="875"/>
      <c r="P205" s="894"/>
      <c r="Q205" s="985"/>
      <c r="R205" s="985"/>
    </row>
    <row r="206" spans="5:18">
      <c r="E206" s="895" t="str" cm="1">
        <f t="array" ref="E206">INDEX(K206:P206, , F$2)</f>
        <v>Loan cashflows before interest withholding tax</v>
      </c>
      <c r="J206" s="894"/>
      <c r="K206" s="875" t="s">
        <v>646</v>
      </c>
      <c r="L206" s="995" t="s">
        <v>647</v>
      </c>
      <c r="M206" s="875" t="s">
        <v>648</v>
      </c>
      <c r="N206" s="875"/>
      <c r="O206" s="875"/>
      <c r="P206" s="894"/>
      <c r="Q206" s="985"/>
      <c r="R206" s="985"/>
    </row>
    <row r="207" spans="5:18" s="7" customFormat="1" ht="30">
      <c r="E207" s="879" t="str" cm="1">
        <f t="array" ref="E207">INDEX(K207:P207, , F$2)</f>
        <v>Lender cashflows after interest withholding tax</v>
      </c>
      <c r="J207" s="869"/>
      <c r="K207" s="880" t="s">
        <v>649</v>
      </c>
      <c r="L207" s="880" t="s">
        <v>650</v>
      </c>
      <c r="M207" s="875" t="s">
        <v>651</v>
      </c>
      <c r="N207" s="880"/>
      <c r="O207" s="880"/>
      <c r="P207" s="869"/>
      <c r="Q207" s="45"/>
      <c r="R207" s="45"/>
    </row>
    <row r="208" spans="5:18">
      <c r="E208" s="895" t="str" cm="1">
        <f t="array" ref="E208">INDEX(K208:P208, , F$2)</f>
        <v>Loan IRR: Lender</v>
      </c>
      <c r="J208" s="894"/>
      <c r="K208" s="875" t="s">
        <v>652</v>
      </c>
      <c r="L208" s="995" t="s">
        <v>653</v>
      </c>
      <c r="M208" s="875" t="s">
        <v>654</v>
      </c>
      <c r="N208" s="875"/>
      <c r="O208" s="875"/>
      <c r="P208" s="894"/>
      <c r="Q208" s="985"/>
      <c r="R208" s="985"/>
    </row>
    <row r="209" spans="5:18">
      <c r="E209" s="895" t="str" cm="1">
        <f t="array" ref="E209">INDEX(K209:P209, , F$2)</f>
        <v>Interest capitalized into development costs</v>
      </c>
      <c r="J209" s="894"/>
      <c r="K209" s="875" t="s">
        <v>655</v>
      </c>
      <c r="L209" s="995" t="s">
        <v>656</v>
      </c>
      <c r="M209" s="875" t="s">
        <v>657</v>
      </c>
      <c r="N209" s="875"/>
      <c r="O209" s="875"/>
      <c r="P209" s="894"/>
      <c r="Q209" s="985"/>
      <c r="R209" s="985"/>
    </row>
    <row r="210" spans="5:18">
      <c r="E210" s="895" t="str" cm="1">
        <f t="array" ref="E210">INDEX(K210:P210, , F$2)</f>
        <v>Interest expensed to P&amp;L</v>
      </c>
      <c r="J210" s="894"/>
      <c r="K210" s="875" t="s">
        <v>658</v>
      </c>
      <c r="L210" s="995" t="s">
        <v>659</v>
      </c>
      <c r="M210" s="875" t="s">
        <v>660</v>
      </c>
      <c r="N210" s="875"/>
      <c r="O210" s="875"/>
      <c r="P210" s="894"/>
      <c r="Q210" s="985"/>
      <c r="R210" s="985"/>
    </row>
    <row r="211" spans="5:18" s="7" customFormat="1">
      <c r="E211" s="879" t="str" cm="1">
        <f t="array" ref="E211">INDEX(K211:P211, , F$2)</f>
        <v>interest allocation</v>
      </c>
      <c r="J211" s="869"/>
      <c r="K211" s="880" t="s">
        <v>661</v>
      </c>
      <c r="L211" s="880" t="s">
        <v>662</v>
      </c>
      <c r="M211" s="875" t="s">
        <v>663</v>
      </c>
      <c r="N211" s="880"/>
      <c r="O211" s="880"/>
      <c r="P211" s="869"/>
      <c r="Q211" s="45"/>
      <c r="R211" s="45"/>
    </row>
    <row r="212" spans="5:18" s="7" customFormat="1">
      <c r="E212" s="879" t="str" cm="1">
        <f t="array" ref="E212">INDEX(K212:P212, , F$2)</f>
        <v>Total final allocation of loan</v>
      </c>
      <c r="J212" s="869"/>
      <c r="K212" s="880" t="s">
        <v>664</v>
      </c>
      <c r="L212" s="880" t="s">
        <v>665</v>
      </c>
      <c r="M212" s="875" t="s">
        <v>666</v>
      </c>
      <c r="N212" s="880"/>
      <c r="O212" s="880"/>
      <c r="P212" s="869"/>
      <c r="Q212" s="45"/>
      <c r="R212" s="45"/>
    </row>
    <row r="213" spans="5:18">
      <c r="E213" s="895" t="str" cm="1">
        <f t="array" ref="E213">INDEX(K213:P213, , F$2)</f>
        <v>loan cashflows allocation</v>
      </c>
      <c r="J213" s="894"/>
      <c r="K213" s="875" t="s">
        <v>667</v>
      </c>
      <c r="L213" s="995" t="s">
        <v>668</v>
      </c>
      <c r="M213" s="875" t="s">
        <v>669</v>
      </c>
      <c r="N213" s="875"/>
      <c r="O213" s="875"/>
      <c r="P213" s="894"/>
      <c r="Q213" s="985"/>
      <c r="R213" s="985"/>
    </row>
    <row r="214" spans="5:18" s="7" customFormat="1">
      <c r="E214" s="879" t="str" cm="1">
        <f t="array" ref="E214">INDEX(K214:P214, , F$2)</f>
        <v>Capitalized costs: Mining company</v>
      </c>
      <c r="J214" s="869"/>
      <c r="K214" s="880" t="s">
        <v>670</v>
      </c>
      <c r="L214" s="880" t="s">
        <v>671</v>
      </c>
      <c r="M214" s="875" t="s">
        <v>672</v>
      </c>
      <c r="N214" s="880"/>
      <c r="O214" s="880"/>
      <c r="P214" s="869"/>
      <c r="Q214" s="45"/>
      <c r="R214" s="45"/>
    </row>
    <row r="215" spans="5:18" s="7" customFormat="1">
      <c r="E215" s="879" t="str" cm="1">
        <f t="array" ref="E215">INDEX(K215:P215, , F$2)</f>
        <v>Capitalized costs excluding interest</v>
      </c>
      <c r="J215" s="869"/>
      <c r="K215" s="880" t="s">
        <v>673</v>
      </c>
      <c r="L215" s="880" t="s">
        <v>674</v>
      </c>
      <c r="M215" s="875" t="s">
        <v>675</v>
      </c>
      <c r="N215" s="880"/>
      <c r="O215" s="880"/>
      <c r="P215" s="869"/>
      <c r="Q215" s="45"/>
      <c r="R215" s="45"/>
    </row>
    <row r="216" spans="5:18" s="7" customFormat="1">
      <c r="E216" s="879" t="str" cm="1">
        <f t="array" ref="E216">INDEX(K216:P216, , F$2)</f>
        <v>Cumulative depreciation years</v>
      </c>
      <c r="J216" s="869"/>
      <c r="K216" s="880" t="s">
        <v>676</v>
      </c>
      <c r="L216" s="880" t="s">
        <v>677</v>
      </c>
      <c r="M216" s="875" t="s">
        <v>678</v>
      </c>
      <c r="N216" s="880"/>
      <c r="O216" s="880"/>
      <c r="P216" s="869"/>
      <c r="Q216" s="45"/>
      <c r="R216" s="45"/>
    </row>
    <row r="217" spans="5:18" s="7" customFormat="1">
      <c r="E217" s="879" t="str" cm="1">
        <f t="array" ref="E217">INDEX(K217:P217, , F$2)</f>
        <v>Remaining depreciation years</v>
      </c>
      <c r="J217" s="869"/>
      <c r="K217" s="880" t="s">
        <v>679</v>
      </c>
      <c r="L217" s="880" t="s">
        <v>680</v>
      </c>
      <c r="M217" s="875" t="s">
        <v>681</v>
      </c>
      <c r="N217" s="880"/>
      <c r="O217" s="880"/>
      <c r="P217" s="869"/>
      <c r="Q217" s="45"/>
      <c r="R217" s="45"/>
    </row>
    <row r="218" spans="5:18">
      <c r="E218" s="895" t="str" cm="1">
        <f t="array" ref="E218">INDEX(K218:P218, , F$2)</f>
        <v>costs into depreciation</v>
      </c>
      <c r="J218" s="894"/>
      <c r="K218" s="875" t="s">
        <v>682</v>
      </c>
      <c r="L218" s="995" t="s">
        <v>254</v>
      </c>
      <c r="M218" s="875" t="s">
        <v>683</v>
      </c>
      <c r="N218" s="875"/>
      <c r="O218" s="875"/>
      <c r="P218" s="894"/>
      <c r="Q218" s="985"/>
      <c r="R218" s="985"/>
    </row>
    <row r="219" spans="5:18" s="7" customFormat="1">
      <c r="E219" s="879" t="str" cm="1">
        <f t="array" ref="E219">INDEX(K219:P219, , F$2)</f>
        <v>Undepreciated costs: opening balance BEG</v>
      </c>
      <c r="J219" s="869"/>
      <c r="K219" s="880" t="s">
        <v>684</v>
      </c>
      <c r="L219" s="880" t="s">
        <v>685</v>
      </c>
      <c r="M219" s="875" t="s">
        <v>686</v>
      </c>
      <c r="N219" s="880"/>
      <c r="O219" s="880"/>
      <c r="P219" s="869"/>
      <c r="Q219" s="45"/>
      <c r="R219" s="45"/>
    </row>
    <row r="220" spans="5:18" s="7" customFormat="1">
      <c r="E220" s="879" t="str" cm="1">
        <f t="array" ref="E220">INDEX(K220:P220, , F$2)</f>
        <v>Cost base written off in final year of production</v>
      </c>
      <c r="J220" s="869"/>
      <c r="K220" s="880" t="s">
        <v>687</v>
      </c>
      <c r="L220" s="880" t="s">
        <v>688</v>
      </c>
      <c r="M220" s="875" t="s">
        <v>689</v>
      </c>
      <c r="N220" s="880"/>
      <c r="O220" s="880"/>
      <c r="P220" s="869"/>
      <c r="Q220" s="45"/>
      <c r="R220" s="45"/>
    </row>
    <row r="221" spans="5:18" s="7" customFormat="1">
      <c r="E221" s="879" t="str" cm="1">
        <f t="array" ref="E221">INDEX(K221:P221, , F$2)</f>
        <v>Cost base for depreciation END</v>
      </c>
      <c r="J221" s="869"/>
      <c r="K221" s="880" t="s">
        <v>690</v>
      </c>
      <c r="L221" s="880" t="s">
        <v>691</v>
      </c>
      <c r="M221" s="875" t="s">
        <v>692</v>
      </c>
      <c r="N221" s="880"/>
      <c r="O221" s="880"/>
      <c r="P221" s="869"/>
      <c r="Q221" s="45"/>
      <c r="R221" s="45"/>
    </row>
    <row r="222" spans="5:18" s="7" customFormat="1">
      <c r="E222" s="879" t="str" cm="1">
        <f t="array" ref="E222">INDEX(K222:P222, , F$2)</f>
        <v>Capitalized costs fully depreciated</v>
      </c>
      <c r="J222" s="869"/>
      <c r="K222" s="880" t="s">
        <v>693</v>
      </c>
      <c r="L222" s="880" t="s">
        <v>694</v>
      </c>
      <c r="M222" s="875" t="s">
        <v>695</v>
      </c>
      <c r="N222" s="880"/>
      <c r="O222" s="880"/>
      <c r="P222" s="869"/>
      <c r="Q222" s="45"/>
      <c r="R222" s="45"/>
    </row>
    <row r="223" spans="5:18" s="7" customFormat="1">
      <c r="E223" s="879" t="str" cm="1">
        <f t="array" ref="E223">INDEX(K223:P223, , F$2)</f>
        <v>Balance of capitalized costs: BEG</v>
      </c>
      <c r="J223" s="869"/>
      <c r="K223" s="880" t="s">
        <v>696</v>
      </c>
      <c r="L223" s="880" t="s">
        <v>697</v>
      </c>
      <c r="M223" s="875" t="s">
        <v>698</v>
      </c>
      <c r="N223" s="880"/>
      <c r="O223" s="880"/>
      <c r="P223" s="869"/>
      <c r="Q223" s="45"/>
      <c r="R223" s="45"/>
    </row>
    <row r="224" spans="5:18" s="7" customFormat="1">
      <c r="E224" s="879" t="str" cm="1">
        <f t="array" ref="E224">INDEX(K224:P224, , F$2)</f>
        <v>Final year write-off</v>
      </c>
      <c r="J224" s="869"/>
      <c r="K224" s="880" t="s">
        <v>699</v>
      </c>
      <c r="L224" s="880" t="s">
        <v>700</v>
      </c>
      <c r="M224" s="875" t="s">
        <v>701</v>
      </c>
      <c r="N224" s="880"/>
      <c r="O224" s="880"/>
      <c r="P224" s="869"/>
      <c r="Q224" s="45"/>
      <c r="R224" s="45"/>
    </row>
    <row r="225" spans="5:18" s="7" customFormat="1">
      <c r="E225" s="879" t="str" cm="1">
        <f t="array" ref="E225">INDEX(K225:P225, , F$2)</f>
        <v>Balance of capitalized costs: END</v>
      </c>
      <c r="J225" s="869"/>
      <c r="K225" s="880" t="s">
        <v>702</v>
      </c>
      <c r="L225" s="880" t="s">
        <v>703</v>
      </c>
      <c r="M225" s="875" t="s">
        <v>704</v>
      </c>
      <c r="N225" s="880"/>
      <c r="O225" s="880"/>
      <c r="P225" s="869"/>
      <c r="Q225" s="45"/>
      <c r="R225" s="45"/>
    </row>
    <row r="226" spans="5:18">
      <c r="E226" s="895" t="str" cm="1">
        <f t="array" ref="E226">INDEX(K226:P226, , F$2)</f>
        <v xml:space="preserve">Tax depreciation charge mining company </v>
      </c>
      <c r="J226" s="894"/>
      <c r="K226" s="875" t="s">
        <v>705</v>
      </c>
      <c r="L226" s="995" t="s">
        <v>706</v>
      </c>
      <c r="M226" s="875" t="s">
        <v>707</v>
      </c>
      <c r="N226" s="875"/>
      <c r="O226" s="875"/>
      <c r="P226" s="894"/>
      <c r="Q226" s="985"/>
      <c r="R226" s="985"/>
    </row>
    <row r="227" spans="5:18" s="7" customFormat="1">
      <c r="E227" s="879" t="str" cm="1">
        <f t="array" ref="E227">INDEX(K227:P227, , F$2)</f>
        <v>depreciation</v>
      </c>
      <c r="J227" s="869"/>
      <c r="K227" s="880" t="s">
        <v>708</v>
      </c>
      <c r="L227" s="880" t="s">
        <v>709</v>
      </c>
      <c r="M227" s="875" t="s">
        <v>710</v>
      </c>
      <c r="N227" s="880"/>
      <c r="O227" s="880"/>
      <c r="P227" s="869"/>
      <c r="Q227" s="45"/>
      <c r="R227" s="45"/>
    </row>
    <row r="228" spans="5:18">
      <c r="E228" s="895" t="str" cm="1">
        <f t="array" ref="E228">INDEX(K228:P228, , F$2)</f>
        <v>Taxable income before prior period losses</v>
      </c>
      <c r="J228" s="894"/>
      <c r="K228" s="875" t="s">
        <v>711</v>
      </c>
      <c r="L228" s="995" t="s">
        <v>712</v>
      </c>
      <c r="M228" s="875" t="s">
        <v>713</v>
      </c>
      <c r="N228" s="875"/>
      <c r="O228" s="875"/>
      <c r="P228" s="894"/>
      <c r="Q228" s="985"/>
      <c r="R228" s="985"/>
    </row>
    <row r="229" spans="5:18" ht="30">
      <c r="E229" s="895" t="str" cm="1">
        <f t="array" ref="E229">INDEX(K229:P229, , F$2)</f>
        <v>Prior period losses carried forward (unlimited carry forward)</v>
      </c>
      <c r="J229" s="894"/>
      <c r="K229" s="875" t="s">
        <v>714</v>
      </c>
      <c r="L229" s="995" t="s">
        <v>715</v>
      </c>
      <c r="M229" s="875" t="s">
        <v>716</v>
      </c>
      <c r="N229" s="875"/>
      <c r="O229" s="875"/>
      <c r="P229" s="894"/>
      <c r="Q229" s="985"/>
      <c r="R229" s="985"/>
    </row>
    <row r="230" spans="5:18">
      <c r="E230" s="895" t="str" cm="1">
        <f t="array" ref="E230">INDEX(K230:P230, , F$2)</f>
        <v>Taxable income after losses</v>
      </c>
      <c r="J230" s="894"/>
      <c r="K230" s="875" t="s">
        <v>717</v>
      </c>
      <c r="L230" s="995" t="s">
        <v>718</v>
      </c>
      <c r="M230" s="875" t="s">
        <v>719</v>
      </c>
      <c r="N230" s="875"/>
      <c r="O230" s="875"/>
      <c r="P230" s="894"/>
      <c r="Q230" s="985"/>
      <c r="R230" s="985"/>
    </row>
    <row r="231" spans="5:18" s="7" customFormat="1">
      <c r="E231" s="879" t="str" cm="1">
        <f t="array" ref="E231">INDEX(K231:P231, , F$2)</f>
        <v>CIT rate applicable</v>
      </c>
      <c r="J231" s="869"/>
      <c r="K231" s="880" t="s">
        <v>720</v>
      </c>
      <c r="L231" s="880" t="s">
        <v>721</v>
      </c>
      <c r="M231" s="875" t="s">
        <v>722</v>
      </c>
      <c r="N231" s="880"/>
      <c r="O231" s="880"/>
      <c r="P231" s="869"/>
      <c r="Q231" s="45"/>
      <c r="R231" s="45"/>
    </row>
    <row r="232" spans="5:18" s="7" customFormat="1">
      <c r="E232" s="879" t="str" cm="1">
        <f t="array" ref="E232">INDEX(K232:P232, , F$2)</f>
        <v>Cost deductions for RRT</v>
      </c>
      <c r="J232" s="869"/>
      <c r="K232" s="880" t="s">
        <v>723</v>
      </c>
      <c r="L232" s="880" t="s">
        <v>724</v>
      </c>
      <c r="M232" s="875" t="s">
        <v>725</v>
      </c>
      <c r="N232" s="880"/>
      <c r="O232" s="880"/>
      <c r="P232" s="869"/>
      <c r="Q232" s="45"/>
      <c r="R232" s="45"/>
    </row>
    <row r="233" spans="5:18" ht="30">
      <c r="E233" s="895" t="str" cm="1">
        <f t="array" ref="E233">INDEX(K233:P233, , F$2)</f>
        <v>Mining company net cashflow before tax for RRT (via cashflows)</v>
      </c>
      <c r="J233" s="894"/>
      <c r="K233" s="875" t="s">
        <v>726</v>
      </c>
      <c r="L233" s="995" t="s">
        <v>727</v>
      </c>
      <c r="M233" s="875" t="s">
        <v>728</v>
      </c>
      <c r="N233" s="875"/>
      <c r="O233" s="875"/>
      <c r="P233" s="894"/>
      <c r="Q233" s="985"/>
      <c r="R233" s="985"/>
    </row>
    <row r="234" spans="5:18" ht="30">
      <c r="E234" s="895" t="str" cm="1">
        <f t="array" ref="E234">INDEX(K234:P234, , F$2)</f>
        <v>Mining company net cashflow before tax for RRT (via tax return)</v>
      </c>
      <c r="J234" s="894"/>
      <c r="K234" s="875" t="s">
        <v>729</v>
      </c>
      <c r="L234" s="995" t="s">
        <v>730</v>
      </c>
      <c r="M234" s="875" t="s">
        <v>731</v>
      </c>
      <c r="N234" s="875"/>
      <c r="O234" s="875"/>
      <c r="P234" s="894"/>
      <c r="Q234" s="985"/>
      <c r="R234" s="985"/>
    </row>
    <row r="235" spans="5:18" ht="30">
      <c r="E235" s="895" t="str" cm="1">
        <f t="array" ref="E235">INDEX(K235:P235, , F$2)</f>
        <v>Mining company cashflows for RRT: cashflow versus tax return</v>
      </c>
      <c r="J235" s="894"/>
      <c r="K235" s="875" t="s">
        <v>732</v>
      </c>
      <c r="L235" s="995" t="s">
        <v>733</v>
      </c>
      <c r="M235" s="875" t="s">
        <v>734</v>
      </c>
      <c r="N235" s="875"/>
      <c r="O235" s="875"/>
      <c r="P235" s="894"/>
      <c r="Q235" s="985"/>
      <c r="R235" s="985"/>
    </row>
    <row r="236" spans="5:18">
      <c r="E236" s="895" t="str" cm="1">
        <f t="array" ref="E236">INDEX(K236:P236, , F$2)</f>
        <v>Mining company RRT cumulative cashflow: BEG</v>
      </c>
      <c r="J236" s="894"/>
      <c r="K236" s="875" t="s">
        <v>735</v>
      </c>
      <c r="L236" s="995" t="s">
        <v>736</v>
      </c>
      <c r="M236" s="875" t="s">
        <v>737</v>
      </c>
      <c r="N236" s="875"/>
      <c r="O236" s="875"/>
      <c r="P236" s="894"/>
      <c r="Q236" s="985"/>
      <c r="R236" s="985"/>
    </row>
    <row r="237" spans="5:18">
      <c r="E237" s="895" t="str" cm="1">
        <f t="array" ref="E237">INDEX(K237:P237, , F$2)</f>
        <v>Uplift on negative cumulative cashflows</v>
      </c>
      <c r="J237" s="894"/>
      <c r="K237" s="875" t="s">
        <v>738</v>
      </c>
      <c r="L237" s="995" t="s">
        <v>739</v>
      </c>
      <c r="M237" s="875" t="s">
        <v>740</v>
      </c>
      <c r="N237" s="875"/>
      <c r="O237" s="875"/>
      <c r="P237" s="894"/>
      <c r="Q237" s="985"/>
      <c r="R237" s="985"/>
    </row>
    <row r="238" spans="5:18">
      <c r="E238" s="895" t="str" cm="1">
        <f t="array" ref="E238">INDEX(K238:P238, , F$2)</f>
        <v>Mining company RRT cumulative cashflow: END</v>
      </c>
      <c r="J238" s="894"/>
      <c r="K238" s="875" t="s">
        <v>741</v>
      </c>
      <c r="L238" s="995" t="s">
        <v>742</v>
      </c>
      <c r="M238" s="875" t="s">
        <v>743</v>
      </c>
      <c r="N238" s="875"/>
      <c r="O238" s="875"/>
      <c r="P238" s="894"/>
      <c r="Q238" s="985"/>
      <c r="R238" s="985"/>
    </row>
    <row r="239" spans="5:18" s="7" customFormat="1">
      <c r="E239" s="879" t="str" cm="1">
        <f t="array" ref="E239">INDEX(K239:P239, , F$2)</f>
        <v>Selected VAT start period</v>
      </c>
      <c r="J239" s="869"/>
      <c r="K239" s="880" t="s">
        <v>744</v>
      </c>
      <c r="L239" s="880" t="s">
        <v>745</v>
      </c>
      <c r="M239" s="875" t="s">
        <v>746</v>
      </c>
      <c r="N239" s="880"/>
      <c r="O239" s="880"/>
      <c r="P239" s="869"/>
      <c r="Q239" s="45"/>
      <c r="R239" s="45"/>
    </row>
    <row r="240" spans="5:18" s="7" customFormat="1">
      <c r="E240" s="879" t="str" cm="1">
        <f t="array" ref="E240">INDEX(K240:P240, , F$2)</f>
        <v>Exploration start year</v>
      </c>
      <c r="J240" s="869"/>
      <c r="K240" s="880" t="s">
        <v>747</v>
      </c>
      <c r="L240" s="880" t="s">
        <v>748</v>
      </c>
      <c r="M240" s="875" t="s">
        <v>749</v>
      </c>
      <c r="N240" s="880"/>
      <c r="O240" s="880"/>
      <c r="P240" s="869"/>
      <c r="Q240" s="45"/>
      <c r="R240" s="45"/>
    </row>
    <row r="241" spans="5:18" s="7" customFormat="1">
      <c r="E241" s="879" t="str" cm="1">
        <f t="array" ref="E241">INDEX(K241:P241, , F$2)</f>
        <v>FID year</v>
      </c>
      <c r="J241" s="869"/>
      <c r="K241" s="880" t="s">
        <v>750</v>
      </c>
      <c r="L241" s="880" t="s">
        <v>751</v>
      </c>
      <c r="M241" s="875" t="s">
        <v>752</v>
      </c>
      <c r="N241" s="880"/>
      <c r="O241" s="880"/>
      <c r="P241" s="869"/>
      <c r="Q241" s="45"/>
      <c r="R241" s="45"/>
    </row>
    <row r="242" spans="5:18" s="7" customFormat="1">
      <c r="E242" s="879" t="str" cm="1">
        <f t="array" ref="E242">INDEX(K242:P242, , F$2)</f>
        <v>Production start year</v>
      </c>
      <c r="J242" s="869"/>
      <c r="K242" s="880" t="s">
        <v>753</v>
      </c>
      <c r="L242" s="880" t="s">
        <v>754</v>
      </c>
      <c r="M242" s="875" t="s">
        <v>755</v>
      </c>
      <c r="N242" s="880"/>
      <c r="O242" s="880"/>
      <c r="P242" s="869"/>
      <c r="Q242" s="45"/>
      <c r="R242" s="45"/>
    </row>
    <row r="243" spans="5:18" s="7" customFormat="1">
      <c r="E243" s="879" t="str" cm="1">
        <f t="array" ref="E243">INDEX(K243:P243, , F$2)</f>
        <v>Input VAT charged</v>
      </c>
      <c r="J243" s="869"/>
      <c r="K243" s="880" t="s">
        <v>756</v>
      </c>
      <c r="L243" s="880" t="s">
        <v>757</v>
      </c>
      <c r="M243" s="875" t="s">
        <v>758</v>
      </c>
      <c r="N243" s="880"/>
      <c r="O243" s="880"/>
      <c r="P243" s="869"/>
      <c r="Q243" s="45"/>
      <c r="R243" s="45"/>
    </row>
    <row r="244" spans="5:18">
      <c r="E244" s="895" t="str" cm="1">
        <f t="array" ref="E244">INDEX(K244:P244, , F$2)</f>
        <v>Input VAT refund due</v>
      </c>
      <c r="J244" s="894"/>
      <c r="K244" s="875" t="s">
        <v>759</v>
      </c>
      <c r="L244" s="995" t="s">
        <v>760</v>
      </c>
      <c r="M244" s="875" t="s">
        <v>761</v>
      </c>
      <c r="N244" s="875"/>
      <c r="O244" s="875"/>
      <c r="P244" s="894"/>
      <c r="Q244" s="985"/>
      <c r="R244" s="985"/>
    </row>
    <row r="245" spans="5:18" s="7" customFormat="1">
      <c r="E245" s="879" t="str" cm="1">
        <f t="array" ref="E245">INDEX(K245:P245, , F$2)</f>
        <v>VAT refund months</v>
      </c>
      <c r="J245" s="869"/>
      <c r="K245" s="880" t="s">
        <v>762</v>
      </c>
      <c r="L245" s="880" t="s">
        <v>763</v>
      </c>
      <c r="M245" s="875" t="s">
        <v>764</v>
      </c>
      <c r="N245" s="880"/>
      <c r="O245" s="880"/>
      <c r="P245" s="869"/>
      <c r="Q245" s="45"/>
      <c r="R245" s="45"/>
    </row>
    <row r="246" spans="5:18" s="7" customFormat="1">
      <c r="E246" s="879" t="str" cm="1">
        <f t="array" ref="E246">INDEX(K246:P246, , F$2)</f>
        <v>VAT refunds years</v>
      </c>
      <c r="J246" s="869"/>
      <c r="K246" s="880" t="s">
        <v>765</v>
      </c>
      <c r="L246" s="880" t="s">
        <v>766</v>
      </c>
      <c r="M246" s="875" t="s">
        <v>767</v>
      </c>
      <c r="N246" s="880"/>
      <c r="O246" s="880"/>
      <c r="P246" s="869"/>
      <c r="Q246" s="45"/>
      <c r="R246" s="45"/>
    </row>
    <row r="247" spans="5:18">
      <c r="E247" s="895" t="str" cm="1">
        <f t="array" ref="E247">INDEX(K247:P247, , F$2)</f>
        <v>interim calc. applying month delay</v>
      </c>
      <c r="J247" s="894"/>
      <c r="K247" s="875" t="s">
        <v>768</v>
      </c>
      <c r="L247" s="995" t="s">
        <v>769</v>
      </c>
      <c r="M247" s="875" t="s">
        <v>770</v>
      </c>
      <c r="N247" s="875"/>
      <c r="O247" s="875"/>
      <c r="P247" s="894"/>
      <c r="Q247" s="985"/>
      <c r="R247" s="985"/>
    </row>
    <row r="248" spans="5:18" s="7" customFormat="1">
      <c r="E248" s="879" t="str" cm="1">
        <f t="array" ref="E248">INDEX(K248:P248, , F$2)</f>
        <v>VAT refunds paid</v>
      </c>
      <c r="J248" s="869"/>
      <c r="K248" s="880" t="s">
        <v>771</v>
      </c>
      <c r="L248" s="880" t="s">
        <v>772</v>
      </c>
      <c r="M248" s="875" t="s">
        <v>773</v>
      </c>
      <c r="N248" s="880"/>
      <c r="O248" s="880"/>
      <c r="P248" s="869"/>
      <c r="Q248" s="45"/>
      <c r="R248" s="45"/>
    </row>
    <row r="249" spans="5:18" s="7" customFormat="1">
      <c r="E249" s="879" t="str" cm="1">
        <f t="array" ref="E249">INDEX(K249:P249, , F$2)</f>
        <v>VAT cashflow: investor</v>
      </c>
      <c r="J249" s="869"/>
      <c r="K249" s="880" t="s">
        <v>774</v>
      </c>
      <c r="L249" s="880" t="s">
        <v>775</v>
      </c>
      <c r="M249" s="875" t="s">
        <v>776</v>
      </c>
      <c r="N249" s="880"/>
      <c r="O249" s="880"/>
      <c r="P249" s="869"/>
      <c r="Q249" s="45"/>
      <c r="R249" s="45"/>
    </row>
    <row r="250" spans="5:18" s="7" customFormat="1">
      <c r="E250" s="879" t="str" cm="1">
        <f t="array" ref="E250">INDEX(K250:P250, , F$2)</f>
        <v>VAT cashflow: government</v>
      </c>
      <c r="J250" s="869"/>
      <c r="K250" s="880" t="s">
        <v>777</v>
      </c>
      <c r="L250" s="880" t="s">
        <v>778</v>
      </c>
      <c r="M250" s="875" t="s">
        <v>779</v>
      </c>
      <c r="N250" s="880"/>
      <c r="O250" s="880"/>
      <c r="P250" s="869"/>
      <c r="Q250" s="45"/>
      <c r="R250" s="45"/>
    </row>
    <row r="251" spans="5:18">
      <c r="E251" s="895" t="str" cm="1">
        <f t="array" ref="E251">INDEX(K251:P251, , F$2)</f>
        <v>Mining company cash flow before distributions</v>
      </c>
      <c r="J251" s="894"/>
      <c r="K251" s="875" t="s">
        <v>780</v>
      </c>
      <c r="L251" s="995" t="s">
        <v>781</v>
      </c>
      <c r="M251" s="875" t="s">
        <v>782</v>
      </c>
      <c r="N251" s="875"/>
      <c r="O251" s="875"/>
      <c r="P251" s="894"/>
      <c r="Q251" s="985"/>
      <c r="R251" s="985"/>
    </row>
    <row r="252" spans="5:18">
      <c r="E252" s="895" t="str" cm="1">
        <f t="array" ref="E252">INDEX(K252:P252, , F$2)</f>
        <v>Mining company equity contributions</v>
      </c>
      <c r="J252" s="894"/>
      <c r="K252" s="875" t="s">
        <v>783</v>
      </c>
      <c r="L252" s="995" t="s">
        <v>784</v>
      </c>
      <c r="M252" s="875" t="s">
        <v>785</v>
      </c>
      <c r="N252" s="875"/>
      <c r="O252" s="875"/>
      <c r="P252" s="894"/>
      <c r="Q252" s="985"/>
      <c r="R252" s="985"/>
    </row>
    <row r="253" spans="5:18">
      <c r="E253" s="895" t="str" cm="1">
        <f t="array" ref="E253">INDEX(K253:P253, , F$2)</f>
        <v>Mining company positive cashflows distributed</v>
      </c>
      <c r="J253" s="894"/>
      <c r="K253" s="875" t="s">
        <v>786</v>
      </c>
      <c r="L253" s="995" t="s">
        <v>787</v>
      </c>
      <c r="M253" s="875" t="s">
        <v>788</v>
      </c>
      <c r="N253" s="875"/>
      <c r="O253" s="875"/>
      <c r="P253" s="894"/>
      <c r="Q253" s="985"/>
      <c r="R253" s="985"/>
    </row>
    <row r="254" spans="5:18">
      <c r="E254" s="895" t="str" cm="1">
        <f t="array" ref="E254">INDEX(K254:P254, , F$2)</f>
        <v>Maximum cumulative cashflow</v>
      </c>
      <c r="J254" s="894"/>
      <c r="K254" s="875" t="s">
        <v>789</v>
      </c>
      <c r="L254" s="995" t="s">
        <v>790</v>
      </c>
      <c r="M254" s="875" t="s">
        <v>791</v>
      </c>
      <c r="N254" s="875"/>
      <c r="O254" s="875"/>
      <c r="P254" s="894"/>
      <c r="Q254" s="985"/>
      <c r="R254" s="985"/>
    </row>
    <row r="255" spans="5:18" s="7" customFormat="1">
      <c r="E255" s="879" t="str" cm="1">
        <f t="array" ref="E255">INDEX(K255:P255, , F$2)</f>
        <v>Mining company post-fiscal EL reached before project EL</v>
      </c>
      <c r="J255" s="869"/>
      <c r="K255" s="880" t="s">
        <v>792</v>
      </c>
      <c r="L255" s="880" t="s">
        <v>793</v>
      </c>
      <c r="M255" s="875" t="s">
        <v>794</v>
      </c>
      <c r="N255" s="880"/>
      <c r="O255" s="880"/>
      <c r="P255" s="869"/>
      <c r="Q255" s="45"/>
      <c r="R255" s="45"/>
    </row>
    <row r="256" spans="5:18" s="7" customFormat="1">
      <c r="E256" s="879" t="str" cm="1">
        <f t="array" ref="E256">INDEX(K256:P256, , F$2)</f>
        <v>Mining company distributions deemed dividends</v>
      </c>
      <c r="J256" s="869"/>
      <c r="K256" s="880" t="s">
        <v>795</v>
      </c>
      <c r="L256" s="880" t="s">
        <v>796</v>
      </c>
      <c r="M256" s="875" t="s">
        <v>797</v>
      </c>
      <c r="N256" s="880"/>
      <c r="O256" s="880"/>
      <c r="P256" s="869"/>
      <c r="Q256" s="45"/>
      <c r="R256" s="45"/>
    </row>
    <row r="257" spans="5:18" ht="30">
      <c r="E257" s="895" t="str" cm="1">
        <f t="array" ref="E257">INDEX(K257:P257, , F$2)</f>
        <v>Mining company distributions deemed return of capital</v>
      </c>
      <c r="J257" s="894"/>
      <c r="K257" s="875" t="s">
        <v>798</v>
      </c>
      <c r="L257" s="995" t="s">
        <v>799</v>
      </c>
      <c r="M257" s="875" t="s">
        <v>800</v>
      </c>
      <c r="N257" s="875"/>
      <c r="O257" s="875"/>
      <c r="P257" s="894"/>
      <c r="Q257" s="985"/>
      <c r="R257" s="985"/>
    </row>
    <row r="258" spans="5:18">
      <c r="E258" s="895" t="str" cm="1">
        <f t="array" ref="E258">INDEX(K258:P258, , F$2)</f>
        <v>Carried interest financing available</v>
      </c>
      <c r="J258" s="894"/>
      <c r="K258" s="875" t="s">
        <v>801</v>
      </c>
      <c r="L258" s="995" t="s">
        <v>802</v>
      </c>
      <c r="M258" s="875" t="s">
        <v>803</v>
      </c>
      <c r="N258" s="875"/>
      <c r="O258" s="875"/>
      <c r="P258" s="894"/>
      <c r="Q258" s="985"/>
      <c r="R258" s="985"/>
    </row>
    <row r="259" spans="5:18" s="7" customFormat="1" ht="30">
      <c r="E259" s="879" t="str" cm="1">
        <f t="array" ref="E259">INDEX(K259:P259, , F$2)</f>
        <v>Negative state participation cashflows during financing period</v>
      </c>
      <c r="J259" s="869"/>
      <c r="K259" s="880" t="s">
        <v>804</v>
      </c>
      <c r="L259" s="880" t="s">
        <v>805</v>
      </c>
      <c r="M259" s="875" t="s">
        <v>806</v>
      </c>
      <c r="N259" s="880"/>
      <c r="O259" s="880"/>
      <c r="P259" s="869"/>
      <c r="Q259" s="45"/>
      <c r="R259" s="45"/>
    </row>
    <row r="260" spans="5:18" s="7" customFormat="1">
      <c r="E260" s="879" t="str" cm="1">
        <f t="array" ref="E260">INDEX(K260:P260, , F$2)</f>
        <v>Drawdowns (mid period)</v>
      </c>
      <c r="J260" s="869"/>
      <c r="K260" s="880" t="s">
        <v>807</v>
      </c>
      <c r="L260" s="880" t="s">
        <v>808</v>
      </c>
      <c r="M260" s="875" t="s">
        <v>809</v>
      </c>
      <c r="N260" s="880"/>
      <c r="O260" s="880"/>
      <c r="P260" s="869"/>
      <c r="Q260" s="45"/>
      <c r="R260" s="45"/>
    </row>
    <row r="261" spans="5:18">
      <c r="E261" s="895" t="str" cm="1">
        <f t="array" ref="E261">INDEX(K261:P261, , F$2)</f>
        <v>Potential repayment</v>
      </c>
      <c r="J261" s="894"/>
      <c r="K261" s="875" t="s">
        <v>810</v>
      </c>
      <c r="L261" s="995" t="s">
        <v>811</v>
      </c>
      <c r="M261" s="875" t="s">
        <v>812</v>
      </c>
      <c r="N261" s="875"/>
      <c r="O261" s="875"/>
      <c r="P261" s="894"/>
      <c r="Q261" s="985"/>
      <c r="R261" s="985"/>
    </row>
    <row r="262" spans="5:18" s="7" customFormat="1">
      <c r="E262" s="879" t="str" cm="1">
        <f t="array" ref="E262">INDEX(K262:P262, , F$2)</f>
        <v>Opening balance: BEG</v>
      </c>
      <c r="J262" s="869"/>
      <c r="K262" s="880" t="s">
        <v>813</v>
      </c>
      <c r="L262" s="880" t="s">
        <v>814</v>
      </c>
      <c r="M262" s="875" t="s">
        <v>815</v>
      </c>
      <c r="N262" s="880"/>
      <c r="O262" s="880"/>
      <c r="P262" s="869"/>
      <c r="Q262" s="45"/>
      <c r="R262" s="45"/>
    </row>
    <row r="263" spans="5:18" s="7" customFormat="1">
      <c r="E263" s="879" t="str" cm="1">
        <f t="array" ref="E263">INDEX(K263:P263, , F$2)</f>
        <v>Interest charge</v>
      </c>
      <c r="J263" s="869"/>
      <c r="K263" s="880" t="s">
        <v>816</v>
      </c>
      <c r="L263" s="880" t="s">
        <v>817</v>
      </c>
      <c r="M263" s="875" t="s">
        <v>633</v>
      </c>
      <c r="N263" s="880"/>
      <c r="O263" s="880"/>
      <c r="P263" s="869"/>
      <c r="Q263" s="45"/>
      <c r="R263" s="45"/>
    </row>
    <row r="264" spans="5:18" s="7" customFormat="1">
      <c r="E264" s="879" t="str" cm="1">
        <f t="array" ref="E264">INDEX(K264:P264, , F$2)</f>
        <v>Balance to be repaid</v>
      </c>
      <c r="J264" s="869"/>
      <c r="K264" s="880" t="s">
        <v>818</v>
      </c>
      <c r="L264" s="880" t="s">
        <v>819</v>
      </c>
      <c r="M264" s="875" t="s">
        <v>820</v>
      </c>
      <c r="N264" s="880"/>
      <c r="O264" s="880"/>
      <c r="P264" s="869"/>
      <c r="Q264" s="45"/>
      <c r="R264" s="45"/>
    </row>
    <row r="265" spans="5:18" s="7" customFormat="1">
      <c r="E265" s="879" t="str" cm="1">
        <f t="array" ref="E265">INDEX(K265:P265, , F$2)</f>
        <v>Repayment (end of period)</v>
      </c>
      <c r="J265" s="869"/>
      <c r="K265" s="880" t="s">
        <v>821</v>
      </c>
      <c r="L265" s="880" t="s">
        <v>822</v>
      </c>
      <c r="M265" s="875" t="s">
        <v>823</v>
      </c>
      <c r="N265" s="880"/>
      <c r="O265" s="880"/>
      <c r="P265" s="869"/>
      <c r="Q265" s="45"/>
      <c r="R265" s="45"/>
    </row>
    <row r="266" spans="5:18" s="7" customFormat="1">
      <c r="E266" s="879" t="str" cm="1">
        <f t="array" ref="E266">INDEX(K266:P266, , F$2)</f>
        <v>Closing balance: END</v>
      </c>
      <c r="J266" s="869"/>
      <c r="K266" s="880" t="s">
        <v>824</v>
      </c>
      <c r="L266" s="880" t="s">
        <v>825</v>
      </c>
      <c r="M266" s="875" t="s">
        <v>826</v>
      </c>
      <c r="N266" s="880"/>
      <c r="O266" s="880"/>
      <c r="P266" s="869"/>
      <c r="Q266" s="45"/>
      <c r="R266" s="45"/>
    </row>
    <row r="267" spans="5:18" s="7" customFormat="1">
      <c r="E267" s="879" t="str" cm="1">
        <f t="array" ref="E267">INDEX(K267:P267, , F$2)</f>
        <v>Parent company</v>
      </c>
      <c r="J267" s="869"/>
      <c r="K267" s="880" t="s">
        <v>827</v>
      </c>
      <c r="L267" s="880" t="s">
        <v>828</v>
      </c>
      <c r="M267" s="875" t="s">
        <v>829</v>
      </c>
      <c r="N267" s="880"/>
      <c r="O267" s="880"/>
      <c r="P267" s="869"/>
      <c r="Q267" s="45"/>
      <c r="R267" s="45"/>
    </row>
    <row r="268" spans="5:18" s="7" customFormat="1">
      <c r="E268" s="879" t="str" cm="1">
        <f t="array" ref="E268">INDEX(K268:P268, , F$2)</f>
        <v>Closing balance</v>
      </c>
      <c r="J268" s="869"/>
      <c r="K268" s="880" t="s">
        <v>830</v>
      </c>
      <c r="L268" s="880" t="s">
        <v>831</v>
      </c>
      <c r="M268" s="875" t="s">
        <v>832</v>
      </c>
      <c r="N268" s="880"/>
      <c r="O268" s="880"/>
      <c r="P268" s="869"/>
      <c r="Q268" s="45"/>
      <c r="R268" s="45"/>
    </row>
    <row r="269" spans="5:18" ht="30">
      <c r="E269" s="895" t="str" cm="1">
        <f t="array" ref="E269">INDEX(K269:P269, , F$2)</f>
        <v>State participation before tax, after carried interest, excluding share of loan</v>
      </c>
      <c r="J269" s="894"/>
      <c r="K269" s="875" t="s">
        <v>833</v>
      </c>
      <c r="L269" s="995" t="s">
        <v>834</v>
      </c>
      <c r="M269" s="875" t="s">
        <v>835</v>
      </c>
      <c r="N269" s="875"/>
      <c r="O269" s="875"/>
      <c r="P269" s="894"/>
      <c r="Q269" s="985"/>
      <c r="R269" s="985"/>
    </row>
    <row r="270" spans="5:18" s="7" customFormat="1">
      <c r="E270" s="879" t="str" cm="1">
        <f t="array" ref="E270">INDEX(K270:P270, , F$2)</f>
        <v>Parent company cashflows, before distributions</v>
      </c>
      <c r="J270" s="869"/>
      <c r="K270" s="880" t="s">
        <v>836</v>
      </c>
      <c r="L270" s="880" t="s">
        <v>837</v>
      </c>
      <c r="M270" s="875" t="s">
        <v>838</v>
      </c>
      <c r="N270" s="880"/>
      <c r="O270" s="880"/>
      <c r="P270" s="869"/>
      <c r="Q270" s="45"/>
      <c r="R270" s="45"/>
    </row>
    <row r="271" spans="5:18">
      <c r="E271" s="895" t="str" cm="1">
        <f t="array" ref="E271">INDEX(K271:P271, , F$2)</f>
        <v>Total dividend distributions</v>
      </c>
      <c r="J271" s="894"/>
      <c r="K271" s="875" t="s">
        <v>839</v>
      </c>
      <c r="L271" s="995" t="s">
        <v>840</v>
      </c>
      <c r="M271" s="875" t="s">
        <v>841</v>
      </c>
      <c r="N271" s="875"/>
      <c r="O271" s="875"/>
      <c r="P271" s="894"/>
      <c r="Q271" s="985"/>
      <c r="R271" s="985"/>
    </row>
    <row r="272" spans="5:18" s="7" customFormat="1">
      <c r="E272" s="879" t="str" cm="1">
        <f t="array" ref="E272">INDEX(K272:P272, , F$2)</f>
        <v>Distributions to parent deemed to be dividends</v>
      </c>
      <c r="J272" s="869"/>
      <c r="K272" s="880" t="s">
        <v>842</v>
      </c>
      <c r="L272" s="880" t="s">
        <v>843</v>
      </c>
      <c r="M272" s="875" t="s">
        <v>844</v>
      </c>
      <c r="N272" s="880"/>
      <c r="O272" s="880"/>
      <c r="P272" s="869"/>
      <c r="Q272" s="45"/>
      <c r="R272" s="45"/>
    </row>
    <row r="273" spans="5:18" ht="30">
      <c r="E273" s="895" t="str" cm="1">
        <f t="array" ref="E273">INDEX(K273:P273, , F$2)</f>
        <v>Distributions to parent deemed to be return of capital</v>
      </c>
      <c r="J273" s="894"/>
      <c r="K273" s="875" t="s">
        <v>845</v>
      </c>
      <c r="L273" s="995" t="s">
        <v>846</v>
      </c>
      <c r="M273" s="875" t="s">
        <v>847</v>
      </c>
      <c r="N273" s="875"/>
      <c r="O273" s="875"/>
      <c r="P273" s="894"/>
      <c r="Q273" s="985"/>
      <c r="R273" s="985"/>
    </row>
    <row r="274" spans="5:18" s="7" customFormat="1" ht="30">
      <c r="E274" s="879" t="str" cm="1">
        <f t="array" ref="E274">INDEX(K274:P274, , F$2)</f>
        <v>Net cashflow after fiscal regime: Parent company (excluding loan)</v>
      </c>
      <c r="J274" s="869"/>
      <c r="K274" s="880" t="s">
        <v>848</v>
      </c>
      <c r="L274" s="880" t="s">
        <v>849</v>
      </c>
      <c r="M274" s="875" t="s">
        <v>850</v>
      </c>
      <c r="N274" s="880"/>
      <c r="O274" s="880"/>
      <c r="P274" s="869"/>
      <c r="Q274" s="45"/>
      <c r="R274" s="45"/>
    </row>
    <row r="275" spans="5:18">
      <c r="E275" s="895" t="str" cm="1">
        <f t="array" ref="E275">INDEX(K275:P275, , F$2)</f>
        <v>Government revenues excluding participation</v>
      </c>
      <c r="J275" s="894"/>
      <c r="K275" s="875" t="s">
        <v>851</v>
      </c>
      <c r="L275" s="995" t="s">
        <v>852</v>
      </c>
      <c r="M275" s="875" t="s">
        <v>853</v>
      </c>
      <c r="N275" s="875"/>
      <c r="O275" s="875"/>
      <c r="P275" s="894"/>
      <c r="Q275" s="985"/>
      <c r="R275" s="985"/>
    </row>
    <row r="276" spans="5:18">
      <c r="E276" s="895" t="str" cm="1">
        <f t="array" ref="E276">INDEX(K276:P276, , F$2)</f>
        <v>Government revenues including participation</v>
      </c>
      <c r="J276" s="894"/>
      <c r="K276" s="875" t="s">
        <v>854</v>
      </c>
      <c r="L276" s="995" t="s">
        <v>855</v>
      </c>
      <c r="M276" s="875" t="s">
        <v>856</v>
      </c>
      <c r="N276" s="875"/>
      <c r="O276" s="875"/>
      <c r="P276" s="894"/>
      <c r="Q276" s="985"/>
      <c r="R276" s="985"/>
    </row>
    <row r="277" spans="5:18">
      <c r="E277" s="895" t="str" cm="1">
        <f t="array" ref="E277">INDEX(K277:P277, , F$2)</f>
        <v>Project cashflows after decommissioning fund</v>
      </c>
      <c r="J277" s="894"/>
      <c r="K277" s="875" t="s">
        <v>857</v>
      </c>
      <c r="L277" s="995" t="s">
        <v>858</v>
      </c>
      <c r="M277" s="875" t="s">
        <v>859</v>
      </c>
      <c r="N277" s="875"/>
      <c r="O277" s="875"/>
      <c r="P277" s="894"/>
      <c r="Q277" s="985"/>
      <c r="R277" s="985"/>
    </row>
    <row r="278" spans="5:18" s="7" customFormat="1">
      <c r="E278" s="879" t="str" cm="1">
        <f t="array" ref="E278">INDEX(K278:P278, , F$2)</f>
        <v>Sum of participant cashflows</v>
      </c>
      <c r="J278" s="869"/>
      <c r="K278" s="880" t="s">
        <v>860</v>
      </c>
      <c r="L278" s="880" t="s">
        <v>861</v>
      </c>
      <c r="M278" s="875" t="s">
        <v>862</v>
      </c>
      <c r="N278" s="880"/>
      <c r="O278" s="880"/>
      <c r="P278" s="869"/>
      <c r="Q278" s="45"/>
      <c r="R278" s="45"/>
    </row>
    <row r="279" spans="5:18" s="7" customFormat="1">
      <c r="E279" s="879" t="str" cm="1">
        <f t="array" ref="E279">INDEX(K279:P279, , F$2)</f>
        <v>Difference</v>
      </c>
      <c r="J279" s="869"/>
      <c r="K279" s="880" t="s">
        <v>863</v>
      </c>
      <c r="L279" s="880" t="s">
        <v>864</v>
      </c>
      <c r="M279" s="875" t="s">
        <v>865</v>
      </c>
      <c r="N279" s="880"/>
      <c r="O279" s="880"/>
      <c r="P279" s="869"/>
      <c r="Q279" s="45"/>
      <c r="R279" s="45"/>
    </row>
    <row r="280" spans="5:18" s="7" customFormat="1">
      <c r="E280" s="879" t="str" cm="1">
        <f t="array" ref="E280">INDEX(K280:P280, , F$2)</f>
        <v>Comments</v>
      </c>
      <c r="J280" s="869"/>
      <c r="K280" s="880" t="s">
        <v>866</v>
      </c>
      <c r="L280" s="880" t="s">
        <v>867</v>
      </c>
      <c r="M280" s="875" t="s">
        <v>868</v>
      </c>
      <c r="N280" s="880"/>
      <c r="O280" s="880"/>
      <c r="P280" s="869"/>
      <c r="Q280" s="45"/>
      <c r="R280" s="45"/>
    </row>
    <row r="281" spans="5:18">
      <c r="E281" s="895" t="str" cm="1">
        <f t="array" ref="E281">INDEX(K281:P281, , F$2)</f>
        <v>incurred in period of first project activity</v>
      </c>
      <c r="J281" s="894"/>
      <c r="K281" s="875" t="s">
        <v>869</v>
      </c>
      <c r="L281" s="995" t="s">
        <v>870</v>
      </c>
      <c r="M281" s="875" t="s">
        <v>871</v>
      </c>
      <c r="N281" s="875"/>
      <c r="O281" s="875"/>
      <c r="P281" s="894"/>
      <c r="Q281" s="985"/>
      <c r="R281" s="985"/>
    </row>
    <row r="282" spans="5:18" s="7" customFormat="1" ht="30">
      <c r="E282" s="879" t="str" cm="1">
        <f t="array" ref="E282">INDEX(K282:P282, , F$2)</f>
        <v>depreciated for CIT if deductible, expensed for RRT if deductible; 0 = non-deductible</v>
      </c>
      <c r="J282" s="869"/>
      <c r="K282" s="880" t="s">
        <v>872</v>
      </c>
      <c r="L282" s="880" t="s">
        <v>873</v>
      </c>
      <c r="M282" s="875" t="s">
        <v>874</v>
      </c>
      <c r="N282" s="880"/>
      <c r="O282" s="880"/>
      <c r="P282" s="869"/>
      <c r="Q282" s="45"/>
      <c r="R282" s="45"/>
    </row>
    <row r="283" spans="5:18" s="7" customFormat="1">
      <c r="E283" s="879" t="str" cm="1">
        <f t="array" ref="E283">INDEX(K283:P283, , F$2)</f>
        <v>ad-valorem royalty</v>
      </c>
      <c r="J283" s="869"/>
      <c r="K283" s="880" t="s">
        <v>875</v>
      </c>
      <c r="L283" s="880" t="s">
        <v>876</v>
      </c>
      <c r="M283" s="875" t="s">
        <v>877</v>
      </c>
      <c r="N283" s="880"/>
      <c r="O283" s="880"/>
      <c r="P283" s="869"/>
      <c r="Q283" s="45"/>
      <c r="R283" s="45"/>
    </row>
    <row r="284" spans="5:18">
      <c r="E284" s="895" t="str" cm="1">
        <f t="array" ref="E284">INDEX(K284:P284, , F$2)</f>
        <v>applies in addition to any flat royalty</v>
      </c>
      <c r="J284" s="894"/>
      <c r="K284" s="875" t="s">
        <v>878</v>
      </c>
      <c r="L284" s="995" t="s">
        <v>879</v>
      </c>
      <c r="M284" s="875" t="s">
        <v>880</v>
      </c>
      <c r="N284" s="875"/>
      <c r="O284" s="875"/>
      <c r="P284" s="894"/>
      <c r="Q284" s="985"/>
      <c r="R284" s="985"/>
    </row>
    <row r="285" spans="5:18" s="7" customFormat="1">
      <c r="E285" s="879" t="str" cm="1">
        <f t="array" ref="E285">INDEX(K285:P285, , F$2)</f>
        <v>yes or no</v>
      </c>
      <c r="J285" s="869"/>
      <c r="K285" s="880" t="s">
        <v>881</v>
      </c>
      <c r="L285" s="880" t="s">
        <v>882</v>
      </c>
      <c r="M285" s="875" t="s">
        <v>883</v>
      </c>
      <c r="N285" s="880"/>
      <c r="O285" s="880"/>
      <c r="P285" s="869"/>
      <c r="Q285" s="45"/>
      <c r="R285" s="45"/>
    </row>
    <row r="286" spans="5:18">
      <c r="E286" s="895" t="str" cm="1">
        <f t="array" ref="E286">INDEX(K286:P286, , F$2)</f>
        <v>net = revenues minus downstream costs</v>
      </c>
      <c r="J286" s="894"/>
      <c r="K286" s="875" t="s">
        <v>884</v>
      </c>
      <c r="L286" s="995" t="s">
        <v>885</v>
      </c>
      <c r="M286" s="875" t="s">
        <v>886</v>
      </c>
      <c r="N286" s="875"/>
      <c r="O286" s="875"/>
      <c r="P286" s="894"/>
      <c r="Q286" s="985"/>
      <c r="R286" s="985"/>
    </row>
    <row r="287" spans="5:18" s="7" customFormat="1">
      <c r="E287" s="879" t="str" cm="1">
        <f t="array" ref="E287">INDEX(K287:P287, , F$2)</f>
        <v>Real, nominal; assumed nominal if empty</v>
      </c>
      <c r="J287" s="869"/>
      <c r="K287" s="880" t="s">
        <v>887</v>
      </c>
      <c r="L287" s="880" t="s">
        <v>888</v>
      </c>
      <c r="M287" s="875" t="s">
        <v>889</v>
      </c>
      <c r="N287" s="880"/>
      <c r="O287" s="880"/>
      <c r="P287" s="869"/>
      <c r="Q287" s="45"/>
      <c r="R287" s="45"/>
    </row>
    <row r="288" spans="5:18" s="7" customFormat="1">
      <c r="E288" s="879" t="str" cm="1">
        <f t="array" ref="E288">INDEX(K288:P288, , F$2)</f>
        <v>Percentage, target year; assumed percentage if empty</v>
      </c>
      <c r="J288" s="869"/>
      <c r="K288" s="880" t="s">
        <v>890</v>
      </c>
      <c r="L288" s="880" t="s">
        <v>891</v>
      </c>
      <c r="M288" s="875" t="s">
        <v>892</v>
      </c>
      <c r="N288" s="880"/>
      <c r="O288" s="880"/>
      <c r="P288" s="869"/>
      <c r="Q288" s="45"/>
      <c r="R288" s="45"/>
    </row>
    <row r="289" spans="5:18" s="7" customFormat="1" ht="30">
      <c r="E289" s="879" t="str" cm="1">
        <f t="array" ref="E289">INDEX(K289:P289, , F$2)</f>
        <v>0 if a constant tax level; percentage relative to carbon price in the first year</v>
      </c>
      <c r="J289" s="869"/>
      <c r="K289" s="880" t="s">
        <v>893</v>
      </c>
      <c r="L289" s="880" t="s">
        <v>894</v>
      </c>
      <c r="M289" s="875" t="s">
        <v>895</v>
      </c>
      <c r="N289" s="880"/>
      <c r="O289" s="880"/>
      <c r="P289" s="869"/>
      <c r="Q289" s="45"/>
      <c r="R289" s="45"/>
    </row>
    <row r="290" spans="5:18" s="7" customFormat="1">
      <c r="E290" s="879" t="str" cm="1">
        <f t="array" ref="E290">INDEX(K290:P290, , F$2)</f>
        <v>no entry means not directly levied on investor</v>
      </c>
      <c r="J290" s="869"/>
      <c r="K290" s="880" t="s">
        <v>896</v>
      </c>
      <c r="L290" s="880" t="s">
        <v>897</v>
      </c>
      <c r="M290" s="875" t="s">
        <v>898</v>
      </c>
      <c r="N290" s="880"/>
      <c r="O290" s="880"/>
      <c r="P290" s="869"/>
      <c r="Q290" s="45"/>
      <c r="R290" s="45"/>
    </row>
    <row r="291" spans="5:18" ht="30">
      <c r="E291" s="895" t="str" cm="1">
        <f t="array" ref="E291">INDEX(K291:P291, , F$2)</f>
        <v>no entry means not deductible for CIT and RRT</v>
      </c>
      <c r="J291" s="894"/>
      <c r="K291" s="875" t="s">
        <v>899</v>
      </c>
      <c r="L291" s="995" t="s">
        <v>900</v>
      </c>
      <c r="M291" s="875" t="s">
        <v>901</v>
      </c>
      <c r="N291" s="875"/>
      <c r="O291" s="875"/>
      <c r="P291" s="894"/>
      <c r="Q291" s="985"/>
      <c r="R291" s="985"/>
    </row>
    <row r="292" spans="5:18" s="7" customFormat="1">
      <c r="E292" s="879" t="str" cm="1">
        <f t="array" ref="E292">INDEX(K292:P292, , F$2)</f>
        <v>0 = from start of production</v>
      </c>
      <c r="J292" s="869"/>
      <c r="K292" s="880" t="s">
        <v>902</v>
      </c>
      <c r="L292" s="880" t="s">
        <v>903</v>
      </c>
      <c r="M292" s="875" t="s">
        <v>904</v>
      </c>
      <c r="N292" s="880"/>
      <c r="O292" s="880"/>
      <c r="P292" s="869"/>
      <c r="Q292" s="45"/>
      <c r="R292" s="45"/>
    </row>
    <row r="293" spans="5:18" s="7" customFormat="1">
      <c r="E293" s="879" t="str" cm="1">
        <f t="array" ref="E293">INDEX(K293:P293, , F$2)</f>
        <v>must enter value</v>
      </c>
      <c r="J293" s="869"/>
      <c r="K293" s="880" t="s">
        <v>905</v>
      </c>
      <c r="L293" s="880" t="s">
        <v>906</v>
      </c>
      <c r="M293" s="875" t="s">
        <v>907</v>
      </c>
      <c r="N293" s="880"/>
      <c r="O293" s="880"/>
      <c r="P293" s="869"/>
      <c r="Q293" s="45"/>
      <c r="R293" s="45"/>
    </row>
    <row r="294" spans="5:18">
      <c r="E294" s="895" t="str" cm="1">
        <f t="array" ref="E294">INDEX(K294:P294, , F$2)</f>
        <v>cashflow RRT</v>
      </c>
      <c r="J294" s="894"/>
      <c r="K294" s="875" t="s">
        <v>908</v>
      </c>
      <c r="L294" s="995" t="s">
        <v>909</v>
      </c>
      <c r="M294" s="875" t="s">
        <v>910</v>
      </c>
      <c r="N294" s="875"/>
      <c r="O294" s="875"/>
      <c r="P294" s="894"/>
      <c r="Q294" s="985"/>
      <c r="R294" s="985"/>
    </row>
    <row r="295" spans="5:18" ht="30">
      <c r="E295" s="895" t="str" cm="1">
        <f t="array" ref="E295">INDEX(K295:P295, , F$2)</f>
        <v>no entry means not deducted; "No" means RRT is then deducted for CIT</v>
      </c>
      <c r="J295" s="894"/>
      <c r="K295" s="875" t="s">
        <v>911</v>
      </c>
      <c r="L295" s="995" t="s">
        <v>912</v>
      </c>
      <c r="M295" s="875" t="s">
        <v>913</v>
      </c>
      <c r="N295" s="875"/>
      <c r="O295" s="875"/>
      <c r="P295" s="894"/>
      <c r="Q295" s="985"/>
      <c r="R295" s="985"/>
    </row>
    <row r="296" spans="5:18" s="7" customFormat="1">
      <c r="E296" s="879" t="str" cm="1">
        <f t="array" ref="E296">INDEX(K296:P296, , F$2)</f>
        <v>paid once cumulative equity cashflow positive</v>
      </c>
      <c r="J296" s="869"/>
      <c r="K296" s="880" t="s">
        <v>914</v>
      </c>
      <c r="L296" s="880" t="s">
        <v>915</v>
      </c>
      <c r="M296" s="875" t="s">
        <v>916</v>
      </c>
      <c r="N296" s="880"/>
      <c r="O296" s="880"/>
      <c r="P296" s="869"/>
      <c r="Q296" s="45"/>
      <c r="R296" s="45"/>
    </row>
    <row r="297" spans="5:18" s="7" customFormat="1">
      <c r="E297" s="879" t="str" cm="1">
        <f t="array" ref="E297">INDEX(K297:P297, , F$2)</f>
        <v>paid when interest is paid</v>
      </c>
      <c r="J297" s="869"/>
      <c r="K297" s="880" t="s">
        <v>917</v>
      </c>
      <c r="L297" s="880" t="s">
        <v>918</v>
      </c>
      <c r="M297" s="875" t="s">
        <v>919</v>
      </c>
      <c r="N297" s="880"/>
      <c r="O297" s="880"/>
      <c r="P297" s="869"/>
      <c r="Q297" s="45"/>
      <c r="R297" s="45"/>
    </row>
    <row r="298" spans="5:18">
      <c r="E298" s="895" t="str" cm="1">
        <f t="array" ref="E298">INDEX(K298:P298, , F$2)</f>
        <v>% share in mining company</v>
      </c>
      <c r="J298" s="894"/>
      <c r="K298" s="875" t="s">
        <v>920</v>
      </c>
      <c r="L298" s="995" t="s">
        <v>921</v>
      </c>
      <c r="M298" s="875" t="s">
        <v>922</v>
      </c>
      <c r="N298" s="875"/>
      <c r="O298" s="875"/>
      <c r="P298" s="894"/>
      <c r="Q298" s="985"/>
      <c r="R298" s="985"/>
    </row>
    <row r="299" spans="5:18">
      <c r="E299" s="895" t="str" cm="1">
        <f t="array" ref="E299">INDEX(K299:P299, , F$2)</f>
        <v>no entry means state does not pay equity contributions</v>
      </c>
      <c r="J299" s="894"/>
      <c r="K299" s="875" t="s">
        <v>923</v>
      </c>
      <c r="L299" s="995" t="s">
        <v>924</v>
      </c>
      <c r="M299" s="875" t="s">
        <v>925</v>
      </c>
      <c r="N299" s="875"/>
      <c r="O299" s="875"/>
      <c r="P299" s="894"/>
      <c r="Q299" s="985"/>
      <c r="R299" s="985"/>
    </row>
    <row r="300" spans="5:18">
      <c r="E300" s="895" t="str" cm="1">
        <f t="array" ref="E300">INDEX(K300:P300, , F$2)</f>
        <v>no entry means state does not pay loan contributions</v>
      </c>
      <c r="J300" s="894"/>
      <c r="K300" s="875" t="s">
        <v>926</v>
      </c>
      <c r="L300" s="995" t="s">
        <v>927</v>
      </c>
      <c r="M300" s="875" t="s">
        <v>928</v>
      </c>
      <c r="N300" s="875"/>
      <c r="O300" s="875"/>
      <c r="P300" s="894"/>
      <c r="Q300" s="985"/>
      <c r="R300" s="985"/>
    </row>
    <row r="301" spans="5:18" s="7" customFormat="1" ht="30">
      <c r="E301" s="879" t="str" cm="1">
        <f t="array" ref="E301">INDEX(K301:P301, , F$2)</f>
        <v>financing till end of specified production year. 0 means end of year before production starts</v>
      </c>
      <c r="J301" s="869"/>
      <c r="K301" s="880" t="s">
        <v>929</v>
      </c>
      <c r="L301" s="880" t="s">
        <v>930</v>
      </c>
      <c r="M301" s="875" t="s">
        <v>931</v>
      </c>
      <c r="N301" s="880"/>
      <c r="O301" s="880"/>
      <c r="P301" s="869"/>
      <c r="Q301" s="45"/>
      <c r="R301" s="45"/>
    </row>
    <row r="302" spans="5:18" s="7" customFormat="1">
      <c r="E302" s="879" t="str" cm="1">
        <f t="array" ref="E302">INDEX(K302:P302, , F$2)</f>
        <v>percentage of aggregate price</v>
      </c>
      <c r="J302" s="869"/>
      <c r="K302" s="880" t="s">
        <v>932</v>
      </c>
      <c r="L302" s="880" t="s">
        <v>933</v>
      </c>
      <c r="M302" s="875" t="s">
        <v>934</v>
      </c>
      <c r="N302" s="880"/>
      <c r="O302" s="880"/>
      <c r="P302" s="869"/>
      <c r="Q302" s="45"/>
      <c r="R302" s="45"/>
    </row>
    <row r="303" spans="5:18" s="7" customFormat="1" ht="30">
      <c r="E303" s="879" t="str" cm="1">
        <f t="array" ref="E303">INDEX(K303:P303, , F$2)</f>
        <v>assume this is the inflation rate if the carbon tax start year is before the model start year</v>
      </c>
      <c r="J303" s="869"/>
      <c r="K303" s="880" t="s">
        <v>935</v>
      </c>
      <c r="L303" s="880" t="s">
        <v>936</v>
      </c>
      <c r="M303" s="875" t="s">
        <v>937</v>
      </c>
      <c r="N303" s="880"/>
      <c r="O303" s="880"/>
      <c r="P303" s="869"/>
      <c r="Q303" s="45"/>
      <c r="R303" s="45"/>
    </row>
    <row r="304" spans="5:18" s="7" customFormat="1">
      <c r="E304" s="879" t="str" cm="1">
        <f t="array" ref="E304">INDEX(K304:P304, , F$2)</f>
        <v>for info only</v>
      </c>
      <c r="J304" s="869"/>
      <c r="K304" s="880" t="s">
        <v>938</v>
      </c>
      <c r="L304" s="880" t="s">
        <v>939</v>
      </c>
      <c r="M304" s="875" t="s">
        <v>940</v>
      </c>
      <c r="N304" s="880"/>
      <c r="O304" s="880"/>
      <c r="P304" s="869"/>
      <c r="Q304" s="45"/>
      <c r="R304" s="45"/>
    </row>
    <row r="305" spans="5:18" s="7" customFormat="1">
      <c r="E305" s="879" t="str" cm="1">
        <f t="array" ref="E305">INDEX(K305:P305, , F$2)</f>
        <v>assumed via depreciation</v>
      </c>
      <c r="J305" s="869"/>
      <c r="K305" s="880" t="s">
        <v>941</v>
      </c>
      <c r="L305" s="880" t="s">
        <v>942</v>
      </c>
      <c r="M305" s="875" t="s">
        <v>943</v>
      </c>
      <c r="N305" s="880"/>
      <c r="O305" s="880"/>
      <c r="P305" s="869"/>
      <c r="Q305" s="45"/>
      <c r="R305" s="45"/>
    </row>
    <row r="306" spans="5:18" s="7" customFormat="1">
      <c r="E306" s="879" t="str" cm="1">
        <f t="array" ref="E306">INDEX(K306:P306, , F$2)</f>
        <v>assumes permanent carry forward</v>
      </c>
      <c r="J306" s="869"/>
      <c r="K306" s="880" t="s">
        <v>944</v>
      </c>
      <c r="L306" s="880" t="s">
        <v>945</v>
      </c>
      <c r="M306" s="875" t="s">
        <v>946</v>
      </c>
      <c r="N306" s="880"/>
      <c r="O306" s="880"/>
      <c r="P306" s="869"/>
      <c r="Q306" s="45"/>
      <c r="R306" s="45"/>
    </row>
    <row r="307" spans="5:18" s="7" customFormat="1">
      <c r="E307" s="879" t="str" cm="1">
        <f t="array" ref="E307">INDEX(K307:P307, , F$2)</f>
        <v>prior period to avoid circularity</v>
      </c>
      <c r="J307" s="869"/>
      <c r="K307" s="880" t="s">
        <v>947</v>
      </c>
      <c r="L307" s="880" t="s">
        <v>948</v>
      </c>
      <c r="M307" s="875" t="s">
        <v>949</v>
      </c>
      <c r="N307" s="880"/>
      <c r="O307" s="880"/>
      <c r="P307" s="869"/>
      <c r="Q307" s="45"/>
      <c r="R307" s="45"/>
    </row>
    <row r="308" spans="5:18">
      <c r="E308" s="895" t="str" cm="1">
        <f t="array" ref="E308">INDEX(K308:P308, , F$2)</f>
        <v>assumes 100% is creditable / refundable</v>
      </c>
      <c r="J308" s="894"/>
      <c r="K308" s="875" t="s">
        <v>950</v>
      </c>
      <c r="L308" s="995" t="s">
        <v>951</v>
      </c>
      <c r="M308" s="875" t="s">
        <v>952</v>
      </c>
      <c r="N308" s="875"/>
      <c r="O308" s="875"/>
      <c r="P308" s="894"/>
      <c r="Q308" s="985"/>
      <c r="R308" s="985"/>
    </row>
    <row r="309" spans="5:18" s="7" customFormat="1" ht="60">
      <c r="E309" s="879" t="str" cm="1">
        <f t="array" ref="E309">INDEX(K309:P309, , F$2)</f>
        <v>Distributions are made once equity cashflows are positive. Distributions are deemed return of capital and do not attract withholding tax after the total positive post-tax cashflow has been distributed as dividends.</v>
      </c>
      <c r="J309" s="869"/>
      <c r="K309" s="880" t="s">
        <v>953</v>
      </c>
      <c r="L309" s="880" t="s">
        <v>954</v>
      </c>
      <c r="M309" s="875" t="s">
        <v>955</v>
      </c>
      <c r="N309" s="880"/>
      <c r="O309" s="880"/>
      <c r="P309" s="869"/>
      <c r="Q309" s="45"/>
      <c r="R309" s="45"/>
    </row>
    <row r="310" spans="5:18">
      <c r="E310" s="895" t="str" cm="1">
        <f t="array" ref="E310">INDEX(K310:P310, , F$2)</f>
        <v>Project revenues and costs</v>
      </c>
      <c r="J310" s="894"/>
      <c r="K310" s="875" t="s">
        <v>956</v>
      </c>
      <c r="L310" s="995" t="s">
        <v>957</v>
      </c>
      <c r="M310" s="875" t="s">
        <v>958</v>
      </c>
      <c r="N310" s="875"/>
      <c r="O310" s="875"/>
      <c r="P310" s="894"/>
      <c r="Q310" s="985"/>
      <c r="R310" s="985"/>
    </row>
    <row r="311" spans="5:18" s="7" customFormat="1">
      <c r="E311" s="879" t="str" cm="1">
        <f t="array" ref="E311">INDEX(K311:P311, , F$2)</f>
        <v>Production Versus Unit Operating Costs</v>
      </c>
      <c r="J311" s="869"/>
      <c r="K311" s="880" t="s">
        <v>959</v>
      </c>
      <c r="L311" s="880" t="s">
        <v>960</v>
      </c>
      <c r="M311" s="875" t="s">
        <v>961</v>
      </c>
      <c r="N311" s="880"/>
      <c r="O311" s="880"/>
      <c r="P311" s="869"/>
      <c r="Q311" s="45"/>
      <c r="R311" s="45"/>
    </row>
    <row r="312" spans="5:18" s="7" customFormat="1">
      <c r="E312" s="879" t="str" cm="1">
        <f t="array" ref="E312">INDEX(K312:P312, , F$2)</f>
        <v>Dashboard</v>
      </c>
      <c r="J312" s="869"/>
      <c r="K312" s="880" t="s">
        <v>14</v>
      </c>
      <c r="L312" s="880" t="s">
        <v>962</v>
      </c>
      <c r="M312" s="875" t="s">
        <v>963</v>
      </c>
      <c r="N312" s="880"/>
      <c r="O312" s="880"/>
      <c r="P312" s="869"/>
      <c r="Q312" s="45"/>
      <c r="R312" s="45"/>
    </row>
    <row r="313" spans="5:18" s="7" customFormat="1">
      <c r="E313" s="879" t="str" cm="1">
        <f t="array" ref="E313">INDEX(K313:P313, , F$2)</f>
        <v>Input sheets</v>
      </c>
      <c r="J313" s="869"/>
      <c r="K313" s="880" t="s">
        <v>964</v>
      </c>
      <c r="L313" s="880" t="s">
        <v>965</v>
      </c>
      <c r="M313" s="875" t="s">
        <v>966</v>
      </c>
      <c r="N313" s="880"/>
      <c r="O313" s="880"/>
      <c r="P313" s="869"/>
      <c r="Q313" s="45"/>
      <c r="R313" s="45"/>
    </row>
    <row r="314" spans="5:18" s="7" customFormat="1">
      <c r="E314" s="879" t="str" cm="1">
        <f t="array" ref="E314">INDEX(K314:P314, , F$2)</f>
        <v>Calculation sheets</v>
      </c>
      <c r="J314" s="869"/>
      <c r="K314" s="880" t="s">
        <v>967</v>
      </c>
      <c r="L314" s="880" t="s">
        <v>968</v>
      </c>
      <c r="M314" s="875" t="s">
        <v>969</v>
      </c>
      <c r="N314" s="880"/>
      <c r="O314" s="880"/>
      <c r="P314" s="869"/>
      <c r="Q314" s="45"/>
      <c r="R314" s="45"/>
    </row>
    <row r="315" spans="5:18" s="7" customFormat="1">
      <c r="E315" s="879" t="str" cm="1">
        <f t="array" ref="E315">INDEX(K315:P315, , F$2)</f>
        <v>Key output sheets</v>
      </c>
      <c r="J315" s="869"/>
      <c r="K315" s="880" t="s">
        <v>970</v>
      </c>
      <c r="L315" s="880" t="s">
        <v>971</v>
      </c>
      <c r="M315" s="875" t="s">
        <v>972</v>
      </c>
      <c r="N315" s="880"/>
      <c r="O315" s="880"/>
      <c r="P315" s="869"/>
      <c r="Q315" s="45"/>
      <c r="R315" s="45"/>
    </row>
    <row r="316" spans="5:18" s="7" customFormat="1">
      <c r="E316" s="879" t="str" cm="1">
        <f t="array" ref="E316">INDEX(K316:P316, , F$2)</f>
        <v>Documentation sheets</v>
      </c>
      <c r="J316" s="869"/>
      <c r="K316" s="880" t="s">
        <v>973</v>
      </c>
      <c r="L316" s="880" t="s">
        <v>974</v>
      </c>
      <c r="M316" s="875" t="s">
        <v>975</v>
      </c>
      <c r="N316" s="880"/>
      <c r="O316" s="880"/>
      <c r="P316" s="869"/>
      <c r="Q316" s="45"/>
      <c r="R316" s="45"/>
    </row>
    <row r="317" spans="5:18">
      <c r="E317" s="895" t="str" cm="1">
        <f t="array" ref="E317">INDEX(K317:P317, , F$2)</f>
        <v>Quality control sheets</v>
      </c>
      <c r="J317" s="894"/>
      <c r="K317" s="875" t="s">
        <v>976</v>
      </c>
      <c r="L317" s="995" t="s">
        <v>977</v>
      </c>
      <c r="M317" s="875" t="s">
        <v>978</v>
      </c>
      <c r="N317" s="875"/>
      <c r="O317" s="875"/>
      <c r="P317" s="894"/>
      <c r="Q317" s="985"/>
      <c r="R317" s="985"/>
    </row>
    <row r="318" spans="5:18" s="7" customFormat="1">
      <c r="E318" s="879" t="str" cm="1">
        <f t="array" ref="E318">INDEX(K318:P318, , F$2)</f>
        <v>Imported from another sheet</v>
      </c>
      <c r="J318" s="869"/>
      <c r="K318" s="880" t="s">
        <v>979</v>
      </c>
      <c r="L318" s="880" t="s">
        <v>980</v>
      </c>
      <c r="M318" s="875" t="s">
        <v>981</v>
      </c>
      <c r="N318" s="880"/>
      <c r="O318" s="880"/>
      <c r="P318" s="869"/>
      <c r="Q318" s="45"/>
      <c r="R318" s="45"/>
    </row>
    <row r="319" spans="5:18">
      <c r="E319" s="895" t="str" cm="1">
        <f t="array" ref="E319">INDEX(K319:P319, , F$2)</f>
        <v>Exported to another sheet (except from Input sheets)</v>
      </c>
      <c r="J319" s="894"/>
      <c r="K319" s="875" t="s">
        <v>982</v>
      </c>
      <c r="L319" s="995" t="s">
        <v>983</v>
      </c>
      <c r="M319" s="875" t="s">
        <v>984</v>
      </c>
      <c r="N319" s="875"/>
      <c r="O319" s="875"/>
      <c r="P319" s="894"/>
      <c r="Q319" s="985"/>
      <c r="R319" s="985"/>
    </row>
    <row r="320" spans="5:18" s="7" customFormat="1">
      <c r="E320" s="879" t="str" cm="1">
        <f t="array" ref="E320">INDEX(K320:P320, , F$2)</f>
        <v>Within sheet link or calculation</v>
      </c>
      <c r="J320" s="869"/>
      <c r="K320" s="880" t="s">
        <v>985</v>
      </c>
      <c r="L320" s="880" t="s">
        <v>986</v>
      </c>
      <c r="M320" s="875" t="s">
        <v>987</v>
      </c>
      <c r="N320" s="880"/>
      <c r="O320" s="880"/>
      <c r="P320" s="869"/>
      <c r="Q320" s="45"/>
      <c r="R320" s="45"/>
    </row>
    <row r="321" spans="5:18" s="7" customFormat="1" ht="30">
      <c r="E321" s="879" t="str" cm="1">
        <f t="array" ref="E321">INDEX(K321:P321, , F$2)</f>
        <v>Calling fiscal parameter from fiscal regime inputs</v>
      </c>
      <c r="J321" s="869"/>
      <c r="K321" s="880" t="s">
        <v>988</v>
      </c>
      <c r="L321" s="880" t="s">
        <v>989</v>
      </c>
      <c r="M321" s="875" t="s">
        <v>990</v>
      </c>
      <c r="N321" s="880"/>
      <c r="O321" s="880"/>
      <c r="P321" s="869"/>
      <c r="Q321" s="45"/>
      <c r="R321" s="45"/>
    </row>
    <row r="322" spans="5:18" s="7" customFormat="1">
      <c r="E322" s="879" t="str" cm="1">
        <f t="array" ref="E322">INDEX(K322:P322, , F$2)</f>
        <v>Inputs</v>
      </c>
      <c r="J322" s="869"/>
      <c r="K322" s="880" t="s">
        <v>991</v>
      </c>
      <c r="L322" s="880" t="s">
        <v>992</v>
      </c>
      <c r="M322" s="875" t="s">
        <v>993</v>
      </c>
      <c r="N322" s="880"/>
      <c r="O322" s="880"/>
      <c r="P322" s="869"/>
      <c r="Q322" s="45"/>
      <c r="R322" s="45"/>
    </row>
    <row r="323" spans="5:18" s="7" customFormat="1">
      <c r="E323" s="879" t="str" cm="1">
        <f t="array" ref="E323">INDEX(K323:P323, , F$2)</f>
        <v>Calculations</v>
      </c>
      <c r="J323" s="869"/>
      <c r="K323" s="880" t="s">
        <v>994</v>
      </c>
      <c r="L323" s="880" t="s">
        <v>995</v>
      </c>
      <c r="M323" s="875" t="s">
        <v>996</v>
      </c>
      <c r="N323" s="880"/>
      <c r="O323" s="880"/>
      <c r="P323" s="869"/>
      <c r="Q323" s="45"/>
      <c r="R323" s="45"/>
    </row>
    <row r="324" spans="5:18" s="7" customFormat="1">
      <c r="E324" s="879" t="str" cm="1">
        <f t="array" ref="E324">INDEX(K324:P324, , F$2)</f>
        <v>Blocks of data linked by arrays OR Indirect formula</v>
      </c>
      <c r="J324" s="869"/>
      <c r="K324" s="880" t="s">
        <v>997</v>
      </c>
      <c r="L324" s="880" t="s">
        <v>998</v>
      </c>
      <c r="M324" s="875" t="s">
        <v>999</v>
      </c>
      <c r="N324" s="880"/>
      <c r="O324" s="880"/>
      <c r="P324" s="869"/>
      <c r="Q324" s="45"/>
      <c r="R324" s="45"/>
    </row>
    <row r="325" spans="5:18">
      <c r="E325" s="895" t="str" cm="1">
        <f t="array" ref="E325">INDEX(K325:P325, , F$2)</f>
        <v xml:space="preserve">Within-worksheet counter-flow </v>
      </c>
      <c r="J325" s="894"/>
      <c r="K325" s="875" t="s">
        <v>1000</v>
      </c>
      <c r="L325" s="995" t="s">
        <v>1001</v>
      </c>
      <c r="M325" s="875" t="s">
        <v>1002</v>
      </c>
      <c r="N325" s="875"/>
      <c r="O325" s="875"/>
      <c r="P325" s="894"/>
      <c r="Q325" s="985"/>
      <c r="R325" s="985"/>
    </row>
    <row r="326" spans="5:18">
      <c r="E326" s="895" t="str" cm="1">
        <f t="array" ref="E326">INDEX(K326:P326, , F$2)</f>
        <v>Empty cells being deliberately referenced</v>
      </c>
      <c r="J326" s="894"/>
      <c r="K326" s="875" t="s">
        <v>1003</v>
      </c>
      <c r="L326" s="995" t="s">
        <v>1004</v>
      </c>
      <c r="M326" s="875" t="s">
        <v>1005</v>
      </c>
      <c r="N326" s="875"/>
      <c r="O326" s="875"/>
      <c r="P326" s="894"/>
      <c r="Q326" s="985"/>
      <c r="R326" s="985"/>
    </row>
    <row r="327" spans="5:18">
      <c r="E327" s="895" t="str" cm="1">
        <f t="array" ref="E327">INDEX(K327:P327, , F$2)</f>
        <v>Section separator</v>
      </c>
      <c r="J327" s="894"/>
      <c r="K327" s="875" t="s">
        <v>1006</v>
      </c>
      <c r="L327" s="995" t="s">
        <v>1007</v>
      </c>
      <c r="M327" s="875" t="s">
        <v>1008</v>
      </c>
      <c r="N327" s="875"/>
      <c r="O327" s="875"/>
      <c r="P327" s="894"/>
      <c r="Q327" s="985"/>
      <c r="R327" s="985"/>
    </row>
    <row r="328" spans="5:18" s="7" customFormat="1">
      <c r="E328" s="879" t="str" cm="1">
        <f t="array" ref="E328">INDEX(K328:P328, , F$2)</f>
        <v>OK</v>
      </c>
      <c r="J328" s="869"/>
      <c r="K328" s="880" t="s">
        <v>1009</v>
      </c>
      <c r="L328" s="880" t="s">
        <v>1009</v>
      </c>
      <c r="M328" s="875" t="s">
        <v>1009</v>
      </c>
      <c r="N328" s="880"/>
      <c r="O328" s="880"/>
      <c r="P328" s="869"/>
      <c r="Q328" s="45"/>
      <c r="R328" s="45"/>
    </row>
    <row r="329" spans="5:18" s="7" customFormat="1">
      <c r="E329" s="879" t="str" cm="1">
        <f t="array" ref="E329">INDEX(K329:P329, , F$2)</f>
        <v>Error</v>
      </c>
      <c r="J329" s="869"/>
      <c r="K329" s="880" t="s">
        <v>1010</v>
      </c>
      <c r="L329" s="880" t="s">
        <v>1011</v>
      </c>
      <c r="M329" s="875" t="s">
        <v>1010</v>
      </c>
      <c r="N329" s="880"/>
      <c r="O329" s="880"/>
      <c r="P329" s="869"/>
      <c r="Q329" s="45"/>
      <c r="R329" s="45"/>
    </row>
    <row r="330" spans="5:18" s="7" customFormat="1">
      <c r="E330" s="879" t="str" cm="1">
        <f t="array" ref="E330">INDEX(K330:P330, , F$2)</f>
        <v>Alert</v>
      </c>
      <c r="J330" s="869"/>
      <c r="K330" s="880" t="s">
        <v>1012</v>
      </c>
      <c r="L330" s="880" t="s">
        <v>1013</v>
      </c>
      <c r="M330" s="875" t="s">
        <v>1014</v>
      </c>
      <c r="N330" s="880"/>
      <c r="O330" s="880"/>
      <c r="P330" s="869"/>
      <c r="Q330" s="45"/>
      <c r="R330" s="45"/>
    </row>
    <row r="331" spans="5:18" s="7" customFormat="1">
      <c r="E331" s="879" t="str" cm="1">
        <f t="array" ref="E331">INDEX(K331:P331, , F$2)</f>
        <v>Average effective tax rate</v>
      </c>
      <c r="J331" s="869"/>
      <c r="K331" s="880" t="s">
        <v>1015</v>
      </c>
      <c r="L331" s="880" t="s">
        <v>1016</v>
      </c>
      <c r="M331" s="875" t="s">
        <v>1017</v>
      </c>
      <c r="N331" s="880"/>
      <c r="O331" s="880"/>
      <c r="P331" s="869"/>
      <c r="Q331" s="45"/>
      <c r="R331" s="45"/>
    </row>
    <row r="332" spans="5:18" s="7" customFormat="1">
      <c r="E332" s="879" t="str" cm="1">
        <f t="array" ref="E332">INDEX(K332:P332, , F$2)</f>
        <v>Carbon dioxide equivalent</v>
      </c>
      <c r="J332" s="869"/>
      <c r="K332" s="880" t="s">
        <v>1018</v>
      </c>
      <c r="L332" s="880" t="s">
        <v>1019</v>
      </c>
      <c r="M332" s="875" t="s">
        <v>1020</v>
      </c>
      <c r="N332" s="880"/>
      <c r="O332" s="880"/>
      <c r="P332" s="869"/>
      <c r="Q332" s="45"/>
      <c r="R332" s="45"/>
    </row>
    <row r="333" spans="5:18" s="7" customFormat="1">
      <c r="E333" s="879" t="str" cm="1">
        <f t="array" ref="E333">INDEX(K333:P333, , F$2)</f>
        <v>Economic limit</v>
      </c>
      <c r="J333" s="869"/>
      <c r="K333" s="880" t="s">
        <v>1021</v>
      </c>
      <c r="L333" s="880" t="s">
        <v>1022</v>
      </c>
      <c r="M333" s="875" t="s">
        <v>1023</v>
      </c>
      <c r="N333" s="880"/>
      <c r="O333" s="880"/>
      <c r="P333" s="869"/>
      <c r="Q333" s="45"/>
      <c r="R333" s="45"/>
    </row>
    <row r="334" spans="5:18" s="7" customFormat="1">
      <c r="E334" s="879" t="str" cm="1">
        <f t="array" ref="E334">INDEX(K334:P334, , F$2)</f>
        <v>Economic limit test</v>
      </c>
      <c r="J334" s="869"/>
      <c r="K334" s="880" t="s">
        <v>1024</v>
      </c>
      <c r="L334" s="880" t="s">
        <v>1025</v>
      </c>
      <c r="M334" s="875" t="s">
        <v>1026</v>
      </c>
      <c r="N334" s="880"/>
      <c r="O334" s="880"/>
      <c r="P334" s="869"/>
      <c r="Q334" s="45"/>
      <c r="R334" s="45"/>
    </row>
    <row r="335" spans="5:18" s="7" customFormat="1">
      <c r="E335" s="879" t="str" cm="1">
        <f t="array" ref="E335">INDEX(K335:P335, , F$2)</f>
        <v>ELT</v>
      </c>
      <c r="J335" s="869"/>
      <c r="K335" s="880" t="s">
        <v>1027</v>
      </c>
      <c r="L335" s="880" t="s">
        <v>1028</v>
      </c>
      <c r="M335" s="875" t="s">
        <v>1027</v>
      </c>
      <c r="N335" s="880"/>
      <c r="O335" s="880"/>
      <c r="P335" s="869"/>
      <c r="Q335" s="45"/>
      <c r="R335" s="45"/>
    </row>
    <row r="336" spans="5:18" s="7" customFormat="1">
      <c r="E336" s="879" t="str" cm="1">
        <f t="array" ref="E336">INDEX(K336:P336, , F$2)</f>
        <v>Final investment decision (start of development)</v>
      </c>
      <c r="J336" s="869"/>
      <c r="K336" s="880" t="s">
        <v>1029</v>
      </c>
      <c r="L336" s="880" t="s">
        <v>1030</v>
      </c>
      <c r="M336" s="875" t="s">
        <v>1031</v>
      </c>
      <c r="N336" s="880"/>
      <c r="O336" s="880"/>
      <c r="P336" s="869"/>
      <c r="Q336" s="45"/>
      <c r="R336" s="45"/>
    </row>
    <row r="337" spans="5:20">
      <c r="E337" s="895" t="str" cm="1">
        <f t="array" ref="E337">INDEX(K337:P337, , F$2)</f>
        <v>Final investment decision forward</v>
      </c>
      <c r="J337" s="894"/>
      <c r="K337" s="875" t="s">
        <v>1032</v>
      </c>
      <c r="L337" s="995" t="s">
        <v>1033</v>
      </c>
      <c r="M337" s="875" t="s">
        <v>1034</v>
      </c>
      <c r="N337" s="875"/>
      <c r="O337" s="875"/>
      <c r="P337" s="894"/>
      <c r="Q337" s="985"/>
      <c r="R337" s="985"/>
    </row>
    <row r="338" spans="5:20" s="7" customFormat="1">
      <c r="E338" s="879" t="str" cm="1">
        <f t="array" ref="E338">INDEX(K338:P338, , F$2)</f>
        <v>Grams</v>
      </c>
      <c r="J338" s="869"/>
      <c r="K338" s="880" t="s">
        <v>1035</v>
      </c>
      <c r="L338" s="880" t="s">
        <v>1036</v>
      </c>
      <c r="M338" s="875" t="s">
        <v>1037</v>
      </c>
      <c r="N338" s="880"/>
      <c r="O338" s="880"/>
      <c r="P338" s="869"/>
      <c r="Q338" s="45"/>
      <c r="R338" s="45"/>
    </row>
    <row r="339" spans="5:20" s="7" customFormat="1">
      <c r="E339" s="879" t="str" cm="1">
        <f t="array" ref="E339">INDEX(K339:P339, , F$2)</f>
        <v>g</v>
      </c>
      <c r="J339" s="869"/>
      <c r="K339" s="880" t="s">
        <v>1038</v>
      </c>
      <c r="L339" s="880" t="s">
        <v>1038</v>
      </c>
      <c r="M339" s="875" t="s">
        <v>1038</v>
      </c>
      <c r="N339" s="880"/>
      <c r="O339" s="880"/>
      <c r="P339" s="869"/>
      <c r="Q339" s="45"/>
      <c r="R339" s="45"/>
    </row>
    <row r="340" spans="5:20" s="7" customFormat="1">
      <c r="E340" s="879" t="str" cm="1">
        <f t="array" ref="E340">INDEX(K340:P340, , F$2)</f>
        <v>Internal rate of return</v>
      </c>
      <c r="J340" s="869"/>
      <c r="K340" s="880" t="s">
        <v>1039</v>
      </c>
      <c r="L340" s="880" t="s">
        <v>1040</v>
      </c>
      <c r="M340" s="875" t="s">
        <v>1041</v>
      </c>
      <c r="N340" s="880"/>
      <c r="O340" s="880"/>
      <c r="P340" s="869"/>
      <c r="Q340" s="45"/>
      <c r="R340" s="45"/>
    </row>
    <row r="341" spans="5:20" s="7" customFormat="1">
      <c r="E341" s="879" t="str" cm="1">
        <f t="array" ref="E341">INDEX(K341:P341, , F$2)</f>
        <v>Megajoules</v>
      </c>
      <c r="J341" s="869"/>
      <c r="K341" s="880" t="s">
        <v>1042</v>
      </c>
      <c r="L341" s="880" t="s">
        <v>1043</v>
      </c>
      <c r="M341" s="875" t="s">
        <v>1044</v>
      </c>
      <c r="N341" s="880"/>
      <c r="O341" s="880"/>
      <c r="P341" s="869"/>
      <c r="Q341" s="45"/>
      <c r="R341" s="45"/>
    </row>
    <row r="342" spans="5:20" s="7" customFormat="1">
      <c r="E342" s="879" t="str" cm="1">
        <f t="array" ref="E342">INDEX(K342:P342, , F$2)</f>
        <v>MJ</v>
      </c>
      <c r="J342" s="869"/>
      <c r="K342" s="880" t="s">
        <v>1045</v>
      </c>
      <c r="L342" s="880" t="s">
        <v>1045</v>
      </c>
      <c r="M342" s="875" t="s">
        <v>1045</v>
      </c>
      <c r="N342" s="880"/>
      <c r="O342" s="880"/>
      <c r="P342" s="869"/>
      <c r="Q342" s="45"/>
      <c r="R342" s="45"/>
    </row>
    <row r="343" spans="5:20" s="7" customFormat="1">
      <c r="E343" s="879" t="str" cm="1">
        <f t="array" ref="E343">INDEX(K343:P343, , F$2)</f>
        <v>Million</v>
      </c>
      <c r="J343" s="869"/>
      <c r="K343" s="880" t="s">
        <v>1046</v>
      </c>
      <c r="L343" s="880" t="s">
        <v>1046</v>
      </c>
      <c r="M343" s="875" t="s">
        <v>1047</v>
      </c>
      <c r="N343" s="880"/>
      <c r="O343" s="880"/>
      <c r="P343" s="869"/>
      <c r="Q343" s="45"/>
      <c r="R343" s="45"/>
    </row>
    <row r="344" spans="5:20" s="7" customFormat="1">
      <c r="E344" s="879" t="str" cm="1">
        <f t="array" ref="E344">INDEX(K344:P344, , F$2)</f>
        <v>mn</v>
      </c>
      <c r="J344" s="869"/>
      <c r="K344" s="880" t="s">
        <v>1048</v>
      </c>
      <c r="L344" s="880" t="s">
        <v>1049</v>
      </c>
      <c r="M344" s="875" t="s">
        <v>1049</v>
      </c>
      <c r="N344" s="880"/>
      <c r="O344" s="880"/>
      <c r="P344" s="869"/>
      <c r="Q344" s="45"/>
      <c r="R344" s="45"/>
    </row>
    <row r="345" spans="5:20" s="7" customFormat="1">
      <c r="E345" s="879" t="str" cm="1">
        <f t="array" ref="E345">INDEX(K345:P345, , F$2)</f>
        <v>Net present value</v>
      </c>
      <c r="J345" s="869"/>
      <c r="K345" s="880" t="s">
        <v>1050</v>
      </c>
      <c r="L345" s="880" t="s">
        <v>1051</v>
      </c>
      <c r="M345" s="875" t="s">
        <v>1052</v>
      </c>
      <c r="N345" s="880"/>
      <c r="O345" s="880"/>
      <c r="P345" s="869"/>
      <c r="Q345" s="45"/>
      <c r="R345" s="45"/>
    </row>
    <row r="346" spans="5:20" s="7" customFormat="1">
      <c r="E346" s="879" t="str" cm="1">
        <f t="array" ref="E346">INDEX(K346:P346, , F$2)</f>
        <v>Percent per year</v>
      </c>
      <c r="J346" s="869"/>
      <c r="K346" s="880" t="s">
        <v>1053</v>
      </c>
      <c r="L346" s="880" t="s">
        <v>1054</v>
      </c>
      <c r="M346" s="875" t="s">
        <v>1055</v>
      </c>
      <c r="N346" s="880"/>
      <c r="O346" s="880"/>
      <c r="P346" s="869"/>
      <c r="Q346" s="45"/>
      <c r="R346" s="45"/>
    </row>
    <row r="347" spans="5:20" s="7" customFormat="1">
      <c r="E347" s="879" t="str" cm="1">
        <f t="array" ref="E347">INDEX(K347:P347, , F$2)</f>
        <v>Thousands of dry tonnes</v>
      </c>
      <c r="J347" s="869"/>
      <c r="K347" s="880" t="s">
        <v>1056</v>
      </c>
      <c r="L347" s="880" t="s">
        <v>1057</v>
      </c>
      <c r="M347" s="875" t="s">
        <v>1058</v>
      </c>
      <c r="N347" s="880"/>
      <c r="O347" s="880"/>
      <c r="P347" s="869"/>
      <c r="Q347" s="45"/>
      <c r="R347" s="45"/>
    </row>
    <row r="348" spans="5:20" s="7" customFormat="1">
      <c r="E348" s="879" t="str" cm="1">
        <f t="array" ref="E348">INDEX(K348:P348, , F$2)</f>
        <v>Thousands of tonnes</v>
      </c>
      <c r="J348" s="869"/>
      <c r="K348" s="880" t="s">
        <v>1059</v>
      </c>
      <c r="L348" s="880" t="s">
        <v>1060</v>
      </c>
      <c r="M348" s="875" t="s">
        <v>1061</v>
      </c>
      <c r="N348" s="880"/>
      <c r="O348" s="880"/>
      <c r="P348" s="869"/>
      <c r="Q348" s="45"/>
      <c r="R348" s="45"/>
    </row>
    <row r="349" spans="5:20" s="7" customFormat="1">
      <c r="E349" s="879" t="str" cm="1">
        <f t="array" ref="E349">INDEX(K349:P349, , F$2)</f>
        <v>tons</v>
      </c>
      <c r="J349" s="869"/>
      <c r="K349" s="880" t="s">
        <v>1062</v>
      </c>
      <c r="L349" s="880" t="s">
        <v>1063</v>
      </c>
      <c r="M349" s="875" t="s">
        <v>1064</v>
      </c>
      <c r="N349" s="880"/>
      <c r="O349" s="880"/>
      <c r="P349" s="869"/>
      <c r="Q349" s="45"/>
      <c r="R349" s="45"/>
    </row>
    <row r="350" spans="5:20" s="7" customFormat="1">
      <c r="E350" s="879" t="str" cm="1">
        <f t="array" ref="E350">INDEX(K350:P350, , F$2)</f>
        <v>t</v>
      </c>
      <c r="J350" s="869"/>
      <c r="K350" s="880" t="s">
        <v>1065</v>
      </c>
      <c r="L350" s="880" t="s">
        <v>1065</v>
      </c>
      <c r="M350" s="875" t="s">
        <v>1065</v>
      </c>
      <c r="N350" s="880"/>
      <c r="O350" s="880"/>
      <c r="P350" s="869"/>
      <c r="Q350" s="45"/>
      <c r="R350" s="45"/>
    </row>
    <row r="351" spans="5:20" s="7" customFormat="1">
      <c r="E351" s="879" t="str" cm="1">
        <f t="array" ref="E351">INDEX(K351:P351, , F$2)</f>
        <v>Option</v>
      </c>
      <c r="J351" s="869"/>
      <c r="K351" s="880" t="s">
        <v>1066</v>
      </c>
      <c r="L351" s="880" t="s">
        <v>1066</v>
      </c>
      <c r="M351" s="875" t="s">
        <v>1067</v>
      </c>
      <c r="N351" s="880"/>
      <c r="O351" s="880"/>
      <c r="P351" s="869"/>
      <c r="Q351" s="45"/>
      <c r="R351" s="45"/>
    </row>
    <row r="352" spans="5:20" ht="30">
      <c r="E352" s="895" t="str" cm="1">
        <f t="array" ref="E352">INDEX(K352:P352, , F$2)</f>
        <v>Do not change start-row of this block, unless all project examples changed accordingly</v>
      </c>
      <c r="H352" s="893"/>
      <c r="J352" s="894"/>
      <c r="K352" s="875" t="s">
        <v>1068</v>
      </c>
      <c r="L352" s="875" t="s">
        <v>1069</v>
      </c>
      <c r="M352" s="875" t="s">
        <v>1070</v>
      </c>
      <c r="N352" s="875"/>
      <c r="O352" s="875"/>
      <c r="P352" s="894"/>
      <c r="Q352" s="45"/>
      <c r="R352" s="45"/>
      <c r="S352" s="7"/>
      <c r="T352" s="7"/>
    </row>
    <row r="353" spans="5:18" s="7" customFormat="1">
      <c r="E353" s="879" t="str" cm="1">
        <f t="array" ref="E353">INDEX(K353:P353, , F$2)</f>
        <v>Participant cashflows</v>
      </c>
      <c r="J353" s="869"/>
      <c r="K353" s="880" t="s">
        <v>1071</v>
      </c>
      <c r="L353" s="880" t="s">
        <v>1072</v>
      </c>
      <c r="M353" s="875" t="s">
        <v>1073</v>
      </c>
      <c r="N353" s="880"/>
      <c r="O353" s="880"/>
      <c r="P353" s="869"/>
      <c r="Q353" s="45"/>
      <c r="R353" s="45"/>
    </row>
    <row r="354" spans="5:18" s="7" customFormat="1">
      <c r="E354" s="879" t="str" cm="1">
        <f t="array" ref="E354">INDEX(K354:P354, , F$2)</f>
        <v>Do not change row of this block</v>
      </c>
      <c r="J354" s="869"/>
      <c r="K354" s="880" t="s">
        <v>1074</v>
      </c>
      <c r="L354" s="880" t="s">
        <v>1075</v>
      </c>
      <c r="M354" s="875" t="s">
        <v>1076</v>
      </c>
      <c r="N354" s="880"/>
      <c r="O354" s="880"/>
      <c r="P354" s="869"/>
      <c r="Q354" s="45"/>
      <c r="R354" s="45"/>
    </row>
    <row r="355" spans="5:18" s="7" customFormat="1">
      <c r="E355" s="879" t="str" cm="1">
        <f t="array" ref="E355">INDEX(K355:P355, , F$2)</f>
        <v>deductible for CIT</v>
      </c>
      <c r="J355" s="869"/>
      <c r="K355" s="880" t="s">
        <v>1077</v>
      </c>
      <c r="L355" s="880" t="s">
        <v>1078</v>
      </c>
      <c r="M355" s="875" t="s">
        <v>1079</v>
      </c>
      <c r="N355" s="880"/>
      <c r="O355" s="880"/>
      <c r="P355" s="869"/>
      <c r="Q355" s="45"/>
      <c r="R355" s="45"/>
    </row>
    <row r="356" spans="5:18" s="7" customFormat="1">
      <c r="E356" s="879" t="str" cm="1">
        <f t="array" ref="E356">INDEX(K356:P356, , F$2)</f>
        <v>factor</v>
      </c>
      <c r="J356" s="869"/>
      <c r="K356" s="880" t="s">
        <v>1080</v>
      </c>
      <c r="L356" s="880" t="s">
        <v>1081</v>
      </c>
      <c r="M356" s="875" t="s">
        <v>1080</v>
      </c>
      <c r="N356" s="880"/>
      <c r="O356" s="880"/>
      <c r="P356" s="869"/>
      <c r="Q356" s="45"/>
      <c r="R356" s="45"/>
    </row>
    <row r="357" spans="5:18" s="7" customFormat="1">
      <c r="E357" s="879" t="str" cm="1">
        <f t="array" ref="E357">INDEX(K357:P357, , F$2)</f>
        <v>deducted immediately</v>
      </c>
      <c r="J357" s="869"/>
      <c r="K357" s="880" t="s">
        <v>1082</v>
      </c>
      <c r="L357" s="880" t="s">
        <v>1083</v>
      </c>
      <c r="M357" s="875" t="s">
        <v>1084</v>
      </c>
      <c r="N357" s="880"/>
      <c r="O357" s="880"/>
      <c r="P357" s="869"/>
      <c r="Q357" s="45"/>
      <c r="R357" s="45"/>
    </row>
    <row r="358" spans="5:18" s="7" customFormat="1">
      <c r="E358" s="879" t="str" cm="1">
        <f t="array" ref="E358">INDEX(K358:P358, , F$2)</f>
        <v>Years</v>
      </c>
      <c r="J358" s="869"/>
      <c r="K358" s="880" t="s">
        <v>1085</v>
      </c>
      <c r="L358" s="880" t="s">
        <v>1086</v>
      </c>
      <c r="M358" s="875" t="s">
        <v>1087</v>
      </c>
      <c r="N358" s="880"/>
      <c r="O358" s="880"/>
      <c r="P358" s="869"/>
      <c r="Q358" s="45"/>
      <c r="R358" s="45"/>
    </row>
    <row r="359" spans="5:18" s="7" customFormat="1">
      <c r="E359" s="879" t="str" cm="1">
        <f t="array" ref="E359">INDEX(K359:P359, , F$2)</f>
        <v>Switch</v>
      </c>
      <c r="J359" s="869"/>
      <c r="K359" s="952" t="s">
        <v>1088</v>
      </c>
      <c r="L359" s="953" t="s">
        <v>1088</v>
      </c>
      <c r="M359" s="953" t="s">
        <v>1089</v>
      </c>
      <c r="N359" s="953"/>
      <c r="O359" s="890"/>
      <c r="P359" s="869"/>
      <c r="Q359" s="45"/>
      <c r="R359" s="45"/>
    </row>
    <row r="360" spans="5:18" s="7" customFormat="1">
      <c r="E360" s="879" t="str" cm="1">
        <f t="array" ref="E360">INDEX(K360:P360, , F$2)</f>
        <v>Production year</v>
      </c>
      <c r="J360" s="869"/>
      <c r="K360" s="880" t="s">
        <v>1090</v>
      </c>
      <c r="L360" s="880" t="s">
        <v>1091</v>
      </c>
      <c r="M360" s="875" t="s">
        <v>1092</v>
      </c>
      <c r="N360" s="880"/>
      <c r="O360" s="880"/>
      <c r="P360" s="869"/>
      <c r="Q360" s="45"/>
      <c r="R360" s="45"/>
    </row>
    <row r="361" spans="5:18" s="7" customFormat="1">
      <c r="E361" s="879" t="str" cm="1">
        <f t="array" ref="E361">INDEX(K361:P361, , F$2)</f>
        <v>Calendar year</v>
      </c>
      <c r="J361" s="869"/>
      <c r="K361" s="880" t="s">
        <v>1093</v>
      </c>
      <c r="L361" s="880" t="s">
        <v>1094</v>
      </c>
      <c r="M361" s="875" t="s">
        <v>1095</v>
      </c>
      <c r="N361" s="880"/>
      <c r="O361" s="880"/>
      <c r="P361" s="869"/>
      <c r="Q361" s="45"/>
      <c r="R361" s="45"/>
    </row>
    <row r="362" spans="5:18" s="7" customFormat="1">
      <c r="E362" s="879" t="str" cm="1">
        <f t="array" ref="E362">INDEX(K362:P362, , F$2)</f>
        <v>Months</v>
      </c>
      <c r="J362" s="869"/>
      <c r="K362" s="952" t="s">
        <v>1096</v>
      </c>
      <c r="L362" s="953" t="s">
        <v>1097</v>
      </c>
      <c r="M362" s="953" t="s">
        <v>1098</v>
      </c>
      <c r="N362" s="953"/>
      <c r="O362" s="889"/>
      <c r="P362" s="869"/>
      <c r="Q362" s="45"/>
      <c r="R362" s="45"/>
    </row>
    <row r="363" spans="5:18">
      <c r="E363" s="895" t="str" cm="1">
        <f t="array" ref="E363">INDEX(K363:P363, , F$2)</f>
        <v>selected</v>
      </c>
      <c r="J363" s="894"/>
      <c r="K363" s="991" t="s">
        <v>1099</v>
      </c>
      <c r="L363" s="1001" t="s">
        <v>1100</v>
      </c>
      <c r="M363" s="991" t="s">
        <v>1101</v>
      </c>
      <c r="N363" s="991"/>
      <c r="O363" s="991"/>
      <c r="P363" s="894"/>
      <c r="Q363" s="985"/>
      <c r="R363" s="985"/>
    </row>
    <row r="364" spans="5:18">
      <c r="E364" s="895" t="str" cm="1">
        <f t="array" ref="E364">INDEX(K364:P364, , F$2)</f>
        <v>% depletion</v>
      </c>
      <c r="J364" s="894"/>
      <c r="K364" s="993" t="s">
        <v>1102</v>
      </c>
      <c r="L364" s="993" t="s">
        <v>1103</v>
      </c>
      <c r="M364" s="993" t="s">
        <v>1104</v>
      </c>
      <c r="N364" s="993"/>
      <c r="O364" s="993"/>
      <c r="P364" s="894"/>
      <c r="Q364" s="985"/>
      <c r="R364" s="985"/>
    </row>
    <row r="365" spans="5:18" s="7" customFormat="1">
      <c r="E365" s="879" t="str" cm="1">
        <f t="array" ref="E365">INDEX(K365:P365, , F$2)</f>
        <v>Year</v>
      </c>
      <c r="J365" s="869"/>
      <c r="K365" s="880" t="s">
        <v>1105</v>
      </c>
      <c r="L365" s="880" t="s">
        <v>1106</v>
      </c>
      <c r="M365" s="875" t="s">
        <v>1107</v>
      </c>
      <c r="N365" s="880"/>
      <c r="O365" s="880"/>
      <c r="P365" s="869"/>
      <c r="Q365" s="45"/>
      <c r="R365" s="45"/>
    </row>
    <row r="366" spans="5:18">
      <c r="E366" s="895" t="str" cm="1">
        <f t="array" ref="E366">INDEX(K366:P366, , F$2)</f>
        <v>Project cashflows and government revenues</v>
      </c>
      <c r="J366" s="894"/>
      <c r="K366" s="875" t="s">
        <v>1108</v>
      </c>
      <c r="L366" s="995" t="s">
        <v>1109</v>
      </c>
      <c r="M366" s="875" t="s">
        <v>1110</v>
      </c>
      <c r="N366" s="875"/>
      <c r="O366" s="875"/>
      <c r="P366" s="894"/>
      <c r="Q366" s="985"/>
      <c r="R366" s="985"/>
    </row>
    <row r="367" spans="5:18" s="7" customFormat="1">
      <c r="E367" s="879" t="str" cm="1">
        <f t="array" ref="E367">INDEX(K367:P367, , F$2)</f>
        <v>Data for selected project</v>
      </c>
      <c r="J367" s="869"/>
      <c r="K367" s="884" t="s">
        <v>1111</v>
      </c>
      <c r="L367" s="884" t="s">
        <v>1112</v>
      </c>
      <c r="M367" s="994" t="s">
        <v>1113</v>
      </c>
      <c r="N367" s="884"/>
      <c r="O367" s="884"/>
      <c r="P367" s="869"/>
      <c r="Q367" s="45"/>
      <c r="R367" s="45"/>
    </row>
    <row r="368" spans="5:18" s="7" customFormat="1">
      <c r="E368" s="879" t="str" cm="1">
        <f t="array" ref="E368">INDEX(K368:P368, , F$2)</f>
        <v>Model timeline</v>
      </c>
      <c r="J368" s="869"/>
      <c r="K368" s="884" t="s">
        <v>1114</v>
      </c>
      <c r="L368" s="884" t="s">
        <v>1115</v>
      </c>
      <c r="M368" s="994" t="s">
        <v>1116</v>
      </c>
      <c r="N368" s="884"/>
      <c r="O368" s="884"/>
      <c r="P368" s="869"/>
      <c r="Q368" s="45"/>
      <c r="R368" s="45"/>
    </row>
    <row r="369" spans="5:20" s="7" customFormat="1">
      <c r="E369" s="879" t="str" cm="1">
        <f t="array" ref="E369">INDEX(K369:P369, , F$2)</f>
        <v>Project data with sensitivity factors applied</v>
      </c>
      <c r="J369" s="869"/>
      <c r="K369" s="884" t="s">
        <v>1117</v>
      </c>
      <c r="L369" s="884" t="s">
        <v>1118</v>
      </c>
      <c r="M369" s="994" t="s">
        <v>1119</v>
      </c>
      <c r="N369" s="884"/>
      <c r="O369" s="884"/>
      <c r="P369" s="869"/>
      <c r="Q369" s="45"/>
      <c r="R369" s="45"/>
    </row>
    <row r="370" spans="5:20" s="7" customFormat="1">
      <c r="E370" s="879" t="str" cm="1">
        <f t="array" ref="E370">INDEX(K370:P370, , F$2)</f>
        <v>Economic limit test (ELT)</v>
      </c>
      <c r="J370" s="869"/>
      <c r="K370" s="884" t="s">
        <v>1120</v>
      </c>
      <c r="L370" s="884" t="s">
        <v>1121</v>
      </c>
      <c r="M370" s="994" t="s">
        <v>1122</v>
      </c>
      <c r="N370" s="884"/>
      <c r="O370" s="884"/>
      <c r="P370" s="869"/>
      <c r="Q370" s="45"/>
      <c r="R370" s="45"/>
    </row>
    <row r="371" spans="5:20">
      <c r="E371" s="895" t="str" cm="1">
        <f t="array" ref="E371">INDEX(K371:P371, , F$2)</f>
        <v>Flags</v>
      </c>
      <c r="J371" s="894"/>
      <c r="K371" s="994" t="s">
        <v>1123</v>
      </c>
      <c r="L371" s="1001" t="s">
        <v>1124</v>
      </c>
      <c r="M371" s="994" t="s">
        <v>1125</v>
      </c>
      <c r="N371" s="994"/>
      <c r="O371" s="994"/>
      <c r="P371" s="894"/>
      <c r="Q371" s="985"/>
      <c r="R371" s="985"/>
    </row>
    <row r="372" spans="5:20" s="7" customFormat="1">
      <c r="E372" s="879" t="str" cm="1">
        <f t="array" ref="E372">INDEX(K372:P372, , F$2)</f>
        <v>Inflation Indices</v>
      </c>
      <c r="J372" s="869"/>
      <c r="K372" s="884" t="s">
        <v>1126</v>
      </c>
      <c r="L372" s="884" t="s">
        <v>1127</v>
      </c>
      <c r="M372" s="994" t="s">
        <v>1128</v>
      </c>
      <c r="N372" s="884"/>
      <c r="O372" s="884"/>
      <c r="P372" s="869"/>
      <c r="Q372" s="45"/>
      <c r="R372" s="45"/>
    </row>
    <row r="373" spans="5:20" s="7" customFormat="1">
      <c r="E373" s="879" t="str" cm="1">
        <f t="array" ref="E373">INDEX(K373:P373, , F$2)</f>
        <v>GHG emissions from coal combustion</v>
      </c>
      <c r="J373" s="869"/>
      <c r="K373" s="884" t="s">
        <v>1129</v>
      </c>
      <c r="L373" s="884" t="s">
        <v>1130</v>
      </c>
      <c r="M373" s="994" t="s">
        <v>1131</v>
      </c>
      <c r="N373" s="884"/>
      <c r="O373" s="884"/>
      <c r="P373" s="869"/>
      <c r="Q373" s="45"/>
      <c r="R373" s="45"/>
    </row>
    <row r="374" spans="5:20" s="7" customFormat="1">
      <c r="E374" s="879" t="str" cm="1">
        <f t="array" ref="E374">INDEX(K374:P374, , F$2)</f>
        <v>Raw project data</v>
      </c>
      <c r="J374" s="869"/>
      <c r="K374" s="880" t="s">
        <v>1132</v>
      </c>
      <c r="L374" s="880" t="s">
        <v>1133</v>
      </c>
      <c r="M374" s="875" t="s">
        <v>1134</v>
      </c>
      <c r="N374" s="880"/>
      <c r="O374" s="880"/>
      <c r="P374" s="869"/>
      <c r="Q374" s="45"/>
      <c r="R374" s="45"/>
    </row>
    <row r="375" spans="5:20" s="7" customFormat="1">
      <c r="E375" s="879" t="str" cm="1">
        <f t="array" ref="E375">INDEX(K375:P375, , F$2)</f>
        <v>Sensitivity factors</v>
      </c>
      <c r="J375" s="869"/>
      <c r="K375" s="880" t="s">
        <v>1135</v>
      </c>
      <c r="L375" s="880" t="s">
        <v>1136</v>
      </c>
      <c r="M375" s="875" t="s">
        <v>1137</v>
      </c>
      <c r="N375" s="880"/>
      <c r="O375" s="880"/>
      <c r="P375" s="869"/>
      <c r="Q375" s="45"/>
      <c r="R375" s="45"/>
    </row>
    <row r="376" spans="5:20" s="7" customFormat="1">
      <c r="E376" s="879" t="str" cm="1">
        <f t="array" ref="E376">INDEX(K376:P376, , F$2)</f>
        <v>Project data with sensitivies applied</v>
      </c>
      <c r="J376" s="869"/>
      <c r="K376" s="880" t="s">
        <v>1138</v>
      </c>
      <c r="L376" s="880" t="s">
        <v>1139</v>
      </c>
      <c r="M376" s="875" t="s">
        <v>1140</v>
      </c>
      <c r="N376" s="880"/>
      <c r="O376" s="880"/>
      <c r="P376" s="869"/>
      <c r="Q376" s="45"/>
      <c r="R376" s="45"/>
    </row>
    <row r="377" spans="5:20" s="7" customFormat="1">
      <c r="E377" s="879" t="str" cm="1">
        <f t="array" ref="E377">INDEX(K377:P377, , F$2)</f>
        <v>Mineral Price</v>
      </c>
      <c r="J377" s="869"/>
      <c r="K377" s="880" t="s">
        <v>1141</v>
      </c>
      <c r="L377" s="880" t="s">
        <v>1142</v>
      </c>
      <c r="M377" s="875" t="s">
        <v>1143</v>
      </c>
      <c r="N377" s="880"/>
      <c r="O377" s="880"/>
      <c r="P377" s="869"/>
      <c r="Q377" s="45"/>
      <c r="R377" s="45"/>
    </row>
    <row r="378" spans="5:20">
      <c r="E378" s="895" t="str" cm="1">
        <f t="array" ref="E378">INDEX(K378:P378, , F$2)</f>
        <v>Revenues</v>
      </c>
      <c r="J378" s="894"/>
      <c r="K378" s="875" t="s">
        <v>1144</v>
      </c>
      <c r="L378" s="995" t="s">
        <v>1145</v>
      </c>
      <c r="M378" s="875" t="s">
        <v>1146</v>
      </c>
      <c r="N378" s="875"/>
      <c r="O378" s="875"/>
      <c r="P378" s="894"/>
      <c r="Q378" s="985"/>
      <c r="R378" s="985"/>
    </row>
    <row r="379" spans="5:20" s="7" customFormat="1">
      <c r="E379" s="879" t="str" cm="1">
        <f t="array" ref="E379">INDEX(K379:P379, , F$2)</f>
        <v>Project costs</v>
      </c>
      <c r="J379" s="869"/>
      <c r="K379" s="880" t="s">
        <v>1147</v>
      </c>
      <c r="L379" s="880" t="s">
        <v>1148</v>
      </c>
      <c r="M379" s="875" t="s">
        <v>1149</v>
      </c>
      <c r="N379" s="880"/>
      <c r="O379" s="880"/>
      <c r="P379" s="869"/>
      <c r="Q379" s="45"/>
      <c r="R379" s="45"/>
    </row>
    <row r="380" spans="5:20" ht="30">
      <c r="E380" s="895" t="str" cm="1">
        <f t="array" ref="E380">INDEX(K380:P380, , F$2)</f>
        <v>Peak production year: assumed Economic Limit will not be triggered before this period</v>
      </c>
      <c r="H380" s="893"/>
      <c r="J380" s="894"/>
      <c r="K380" s="875" t="s">
        <v>1150</v>
      </c>
      <c r="L380" s="875" t="s">
        <v>1151</v>
      </c>
      <c r="M380" s="875" t="s">
        <v>1152</v>
      </c>
      <c r="N380" s="875"/>
      <c r="O380" s="875"/>
      <c r="P380" s="894"/>
      <c r="Q380" s="45"/>
      <c r="R380" s="45"/>
      <c r="S380" s="7"/>
      <c r="T380" s="7"/>
    </row>
    <row r="381" spans="5:20" ht="30">
      <c r="E381" s="895" t="str" cm="1">
        <f t="array" ref="E381">INDEX(K381:P381, , F$2)</f>
        <v>Maximum cumulative cashflows used to determine when Econ Limit reached</v>
      </c>
      <c r="H381" s="893"/>
      <c r="J381" s="894"/>
      <c r="K381" s="875" t="s">
        <v>1153</v>
      </c>
      <c r="L381" s="995" t="s">
        <v>1154</v>
      </c>
      <c r="M381" s="875" t="s">
        <v>1155</v>
      </c>
      <c r="N381" s="875"/>
      <c r="O381" s="875"/>
      <c r="P381" s="894"/>
      <c r="Q381" s="985"/>
      <c r="R381" s="985"/>
    </row>
    <row r="382" spans="5:20">
      <c r="E382" s="895" t="str" cm="1">
        <f t="array" ref="E382">INDEX(K382:P382, , F$2)</f>
        <v>Reschedule decommissioning costs</v>
      </c>
      <c r="J382" s="894"/>
      <c r="K382" s="875" t="s">
        <v>1156</v>
      </c>
      <c r="L382" s="995" t="s">
        <v>1157</v>
      </c>
      <c r="M382" s="875" t="s">
        <v>1158</v>
      </c>
      <c r="N382" s="875"/>
      <c r="O382" s="875"/>
      <c r="P382" s="894"/>
      <c r="Q382" s="985"/>
      <c r="R382" s="985"/>
    </row>
    <row r="383" spans="5:20">
      <c r="E383" s="895" t="str" cm="1">
        <f t="array" ref="E383">INDEX(K383:P383, , F$2)</f>
        <v>before ELT</v>
      </c>
      <c r="J383" s="894"/>
      <c r="K383" s="875" t="s">
        <v>1159</v>
      </c>
      <c r="L383" s="995" t="s">
        <v>1160</v>
      </c>
      <c r="M383" s="875" t="s">
        <v>1161</v>
      </c>
      <c r="N383" s="875"/>
      <c r="O383" s="875"/>
      <c r="P383" s="894"/>
      <c r="Q383" s="985"/>
      <c r="R383" s="985"/>
    </row>
    <row r="384" spans="5:20" s="7" customFormat="1">
      <c r="E384" s="879" t="str" cm="1">
        <f t="array" ref="E384">INDEX(K384:P384, , F$2)</f>
        <v>Project period</v>
      </c>
      <c r="J384" s="869"/>
      <c r="K384" s="880" t="s">
        <v>1162</v>
      </c>
      <c r="L384" s="880" t="s">
        <v>1163</v>
      </c>
      <c r="M384" s="875" t="s">
        <v>1164</v>
      </c>
      <c r="N384" s="880"/>
      <c r="O384" s="880"/>
      <c r="P384" s="869"/>
      <c r="Q384" s="45"/>
      <c r="R384" s="45"/>
    </row>
    <row r="385" spans="5:18" s="7" customFormat="1">
      <c r="E385" s="879" t="str" cm="1">
        <f t="array" ref="E385">INDEX(K385:P385, , F$2)</f>
        <v>Production period</v>
      </c>
      <c r="J385" s="869"/>
      <c r="K385" s="880" t="s">
        <v>1165</v>
      </c>
      <c r="L385" s="880" t="s">
        <v>1166</v>
      </c>
      <c r="M385" s="875" t="s">
        <v>1167</v>
      </c>
      <c r="N385" s="880"/>
      <c r="O385" s="880"/>
      <c r="P385" s="869"/>
      <c r="Q385" s="45"/>
      <c r="R385" s="45"/>
    </row>
    <row r="386" spans="5:18" s="7" customFormat="1">
      <c r="E386" s="879" t="str" cm="1">
        <f t="array" ref="E386">INDEX(K386:P386, , F$2)</f>
        <v>Development period (used for depreciation calculations)</v>
      </c>
      <c r="J386" s="869"/>
      <c r="K386" s="880" t="s">
        <v>1168</v>
      </c>
      <c r="L386" s="880" t="s">
        <v>1169</v>
      </c>
      <c r="M386" s="875" t="s">
        <v>1170</v>
      </c>
      <c r="N386" s="880"/>
      <c r="O386" s="880"/>
      <c r="P386" s="869"/>
      <c r="Q386" s="45"/>
      <c r="R386" s="45"/>
    </row>
    <row r="387" spans="5:18" s="7" customFormat="1">
      <c r="E387" s="879" t="str" cm="1">
        <f t="array" ref="E387">INDEX(K387:P387, , F$2)</f>
        <v>Index for escalating revenues and costs</v>
      </c>
      <c r="J387" s="869"/>
      <c r="K387" s="880" t="s">
        <v>1171</v>
      </c>
      <c r="L387" s="880" t="s">
        <v>1172</v>
      </c>
      <c r="M387" s="875" t="s">
        <v>1173</v>
      </c>
      <c r="N387" s="880"/>
      <c r="O387" s="880"/>
      <c r="P387" s="869"/>
      <c r="Q387" s="45"/>
      <c r="R387" s="45"/>
    </row>
    <row r="388" spans="5:18" s="7" customFormat="1">
      <c r="E388" s="879" t="str" cm="1">
        <f t="array" ref="E388">INDEX(K388:P388, , F$2)</f>
        <v>Index for deflating cashflows to start of project</v>
      </c>
      <c r="J388" s="869"/>
      <c r="K388" s="880" t="s">
        <v>1174</v>
      </c>
      <c r="L388" s="880" t="s">
        <v>1175</v>
      </c>
      <c r="M388" s="875" t="s">
        <v>1176</v>
      </c>
      <c r="N388" s="880"/>
      <c r="O388" s="880"/>
      <c r="P388" s="869"/>
      <c r="Q388" s="45"/>
      <c r="R388" s="45"/>
    </row>
    <row r="389" spans="5:18" s="7" customFormat="1" ht="30">
      <c r="E389" s="879" t="str" cm="1">
        <f t="array" ref="E389">INDEX(K389:P389, , F$2)</f>
        <v>Discount factors (assumes discounting to middle of the year, assuming cashflows received on average in middle of the year)</v>
      </c>
      <c r="J389" s="869"/>
      <c r="K389" s="880" t="s">
        <v>1177</v>
      </c>
      <c r="L389" s="880" t="s">
        <v>1178</v>
      </c>
      <c r="M389" s="875" t="s">
        <v>1179</v>
      </c>
      <c r="N389" s="880"/>
      <c r="O389" s="880"/>
      <c r="P389" s="869"/>
      <c r="Q389" s="45"/>
      <c r="R389" s="45"/>
    </row>
    <row r="390" spans="5:18">
      <c r="E390" s="895" t="str" cm="1">
        <f t="array" ref="E390">INDEX(K390:P390, , F$2)</f>
        <v>Discount factor</v>
      </c>
      <c r="J390" s="894"/>
      <c r="K390" s="875" t="s">
        <v>1180</v>
      </c>
      <c r="L390" s="995" t="s">
        <v>1181</v>
      </c>
      <c r="M390" s="875" t="s">
        <v>1182</v>
      </c>
      <c r="N390" s="875"/>
      <c r="O390" s="875"/>
      <c r="P390" s="894"/>
      <c r="Q390" s="985"/>
      <c r="R390" s="985"/>
    </row>
    <row r="391" spans="5:18" s="7" customFormat="1">
      <c r="E391" s="879" t="str" cm="1">
        <f t="array" ref="E391">INDEX(K391:P391, , F$2)</f>
        <v>Row description</v>
      </c>
      <c r="J391" s="869"/>
      <c r="K391" s="880" t="s">
        <v>1183</v>
      </c>
      <c r="L391" s="880" t="s">
        <v>1184</v>
      </c>
      <c r="M391" s="875" t="s">
        <v>1185</v>
      </c>
      <c r="N391" s="880"/>
      <c r="O391" s="880"/>
      <c r="P391" s="869"/>
      <c r="Q391" s="45"/>
      <c r="R391" s="45"/>
    </row>
    <row r="392" spans="5:18" s="7" customFormat="1">
      <c r="E392" s="879" t="str" cm="1">
        <f t="array" ref="E392">INDEX(K392:P392, , F$2)</f>
        <v>Mineral</v>
      </c>
      <c r="J392" s="869"/>
      <c r="K392" s="880" t="s">
        <v>1186</v>
      </c>
      <c r="L392" s="880" t="s">
        <v>1187</v>
      </c>
      <c r="M392" s="875" t="s">
        <v>1186</v>
      </c>
      <c r="N392" s="880"/>
      <c r="O392" s="880"/>
      <c r="P392" s="869"/>
      <c r="Q392" s="45"/>
      <c r="R392" s="45"/>
    </row>
    <row r="393" spans="5:18" s="7" customFormat="1">
      <c r="E393" s="879" t="str" cm="1">
        <f t="array" ref="E393">INDEX(K393:P393, , F$2)</f>
        <v>Mineral units</v>
      </c>
      <c r="J393" s="869"/>
      <c r="K393" s="880" t="s">
        <v>1188</v>
      </c>
      <c r="L393" s="880" t="s">
        <v>1189</v>
      </c>
      <c r="M393" s="875" t="s">
        <v>1190</v>
      </c>
      <c r="N393" s="880"/>
      <c r="O393" s="880"/>
      <c r="P393" s="869"/>
      <c r="Q393" s="45"/>
      <c r="R393" s="45"/>
    </row>
    <row r="394" spans="5:18" s="7" customFormat="1">
      <c r="E394" s="879" t="str" cm="1">
        <f t="array" ref="E394">INDEX(K394:P394, , F$2)</f>
        <v>Transport costs post-fiscal point</v>
      </c>
      <c r="J394" s="869"/>
      <c r="K394" s="880" t="s">
        <v>1191</v>
      </c>
      <c r="L394" s="880" t="s">
        <v>1192</v>
      </c>
      <c r="M394" s="875" t="s">
        <v>1193</v>
      </c>
      <c r="N394" s="880"/>
      <c r="O394" s="880"/>
      <c r="P394" s="869"/>
      <c r="Q394" s="45"/>
      <c r="R394" s="45"/>
    </row>
    <row r="395" spans="5:18" s="7" customFormat="1">
      <c r="E395" s="879" t="str" cm="1">
        <f t="array" ref="E395">INDEX(K395:P395, , F$2)</f>
        <v>Exploration costs</v>
      </c>
      <c r="J395" s="869"/>
      <c r="K395" s="880" t="s">
        <v>1194</v>
      </c>
      <c r="L395" s="880" t="s">
        <v>1195</v>
      </c>
      <c r="M395" s="875" t="s">
        <v>1196</v>
      </c>
      <c r="N395" s="880"/>
      <c r="O395" s="880"/>
      <c r="P395" s="869"/>
      <c r="Q395" s="45"/>
      <c r="R395" s="45"/>
    </row>
    <row r="396" spans="5:18" s="7" customFormat="1">
      <c r="E396" s="879" t="str" cm="1">
        <f t="array" ref="E396">INDEX(K396:P396, , F$2)</f>
        <v>Development costs</v>
      </c>
      <c r="J396" s="869"/>
      <c r="K396" s="880" t="s">
        <v>1197</v>
      </c>
      <c r="L396" s="880" t="s">
        <v>1198</v>
      </c>
      <c r="M396" s="875" t="s">
        <v>1199</v>
      </c>
      <c r="N396" s="880"/>
      <c r="O396" s="880"/>
      <c r="P396" s="869"/>
      <c r="Q396" s="45"/>
      <c r="R396" s="45"/>
    </row>
    <row r="397" spans="5:18">
      <c r="E397" s="895" t="str" cm="1">
        <f t="array" ref="E397">INDEX(K397:P397, , F$2)</f>
        <v>Replacement capital costs</v>
      </c>
      <c r="J397" s="894"/>
      <c r="K397" s="875" t="s">
        <v>1200</v>
      </c>
      <c r="L397" s="995" t="s">
        <v>1201</v>
      </c>
      <c r="M397" s="875" t="s">
        <v>1202</v>
      </c>
      <c r="N397" s="875"/>
      <c r="O397" s="875"/>
      <c r="P397" s="894"/>
      <c r="Q397" s="985"/>
      <c r="R397" s="985"/>
    </row>
    <row r="398" spans="5:18" s="7" customFormat="1">
      <c r="E398" s="879" t="str" cm="1">
        <f t="array" ref="E398">INDEX(K398:P398, , F$2)</f>
        <v>Operating costs</v>
      </c>
      <c r="J398" s="869"/>
      <c r="K398" s="880" t="s">
        <v>1203</v>
      </c>
      <c r="L398" s="880" t="s">
        <v>1204</v>
      </c>
      <c r="M398" s="875" t="s">
        <v>1205</v>
      </c>
      <c r="N398" s="880"/>
      <c r="O398" s="880"/>
      <c r="P398" s="869"/>
      <c r="Q398" s="45"/>
      <c r="R398" s="45"/>
    </row>
    <row r="399" spans="5:18">
      <c r="E399" s="895" t="str" cm="1">
        <f t="array" ref="E399">INDEX(K399:P399, , F$2)</f>
        <v>Decommissioning costs</v>
      </c>
      <c r="J399" s="894"/>
      <c r="K399" s="875" t="s">
        <v>1206</v>
      </c>
      <c r="L399" s="995" t="s">
        <v>1207</v>
      </c>
      <c r="M399" s="875" t="s">
        <v>1208</v>
      </c>
      <c r="N399" s="875"/>
      <c r="O399" s="875"/>
      <c r="P399" s="894"/>
      <c r="Q399" s="985"/>
      <c r="R399" s="985"/>
    </row>
    <row r="400" spans="5:18" s="7" customFormat="1">
      <c r="E400" s="879" t="str" cm="1">
        <f t="array" ref="E400">INDEX(K400:P400, , F$2)</f>
        <v>Total costs</v>
      </c>
      <c r="J400" s="869"/>
      <c r="K400" s="880" t="s">
        <v>1209</v>
      </c>
      <c r="L400" s="880" t="s">
        <v>1210</v>
      </c>
      <c r="M400" s="875" t="s">
        <v>1211</v>
      </c>
      <c r="N400" s="880"/>
      <c r="O400" s="880"/>
      <c r="P400" s="869"/>
      <c r="Q400" s="45"/>
      <c r="R400" s="45"/>
    </row>
    <row r="401" spans="5:18" s="7" customFormat="1">
      <c r="E401" s="879" t="str" cm="1">
        <f t="array" ref="E401">INDEX(K401:P401, , F$2)</f>
        <v>Total sales</v>
      </c>
      <c r="J401" s="869"/>
      <c r="K401" s="880" t="s">
        <v>1212</v>
      </c>
      <c r="L401" s="880" t="s">
        <v>1213</v>
      </c>
      <c r="M401" s="875" t="s">
        <v>1214</v>
      </c>
      <c r="N401" s="880"/>
      <c r="O401" s="880"/>
      <c r="P401" s="869"/>
      <c r="Q401" s="45"/>
      <c r="R401" s="45"/>
    </row>
    <row r="402" spans="5:18" s="7" customFormat="1">
      <c r="E402" s="879" t="str" cm="1">
        <f t="array" ref="E402">INDEX(K402:P402, , F$2)</f>
        <v>First row of project data</v>
      </c>
      <c r="J402" s="869"/>
      <c r="K402" s="880" t="s">
        <v>1215</v>
      </c>
      <c r="L402" s="880" t="s">
        <v>1216</v>
      </c>
      <c r="M402" s="875" t="s">
        <v>1217</v>
      </c>
      <c r="N402" s="880"/>
      <c r="O402" s="880"/>
      <c r="P402" s="869"/>
      <c r="Q402" s="45"/>
      <c r="R402" s="45"/>
    </row>
    <row r="403" spans="5:18" s="7" customFormat="1">
      <c r="E403" s="879" t="str" cm="1">
        <f t="array" ref="E403">INDEX(K403:P403, , F$2)</f>
        <v>Model years</v>
      </c>
      <c r="J403" s="869"/>
      <c r="K403" s="880" t="s">
        <v>1218</v>
      </c>
      <c r="L403" s="880" t="s">
        <v>1219</v>
      </c>
      <c r="M403" s="875" t="s">
        <v>1220</v>
      </c>
      <c r="N403" s="880"/>
      <c r="O403" s="880"/>
      <c r="P403" s="869"/>
      <c r="Q403" s="45"/>
      <c r="R403" s="45"/>
    </row>
    <row r="404" spans="5:18" s="7" customFormat="1">
      <c r="E404" s="879" t="str" cm="1">
        <f t="array" ref="E404">INDEX(K404:P404, , F$2)</f>
        <v>Model calendar years</v>
      </c>
      <c r="J404" s="869"/>
      <c r="K404" s="880" t="s">
        <v>1221</v>
      </c>
      <c r="L404" s="880" t="s">
        <v>1222</v>
      </c>
      <c r="M404" s="875" t="s">
        <v>1223</v>
      </c>
      <c r="N404" s="880"/>
      <c r="O404" s="880"/>
      <c r="P404" s="869"/>
      <c r="Q404" s="45"/>
      <c r="R404" s="45"/>
    </row>
    <row r="405" spans="5:18" s="7" customFormat="1">
      <c r="E405" s="879" t="str" cm="1">
        <f t="array" ref="E405">INDEX(K405:P405, , F$2)</f>
        <v>Peak production year</v>
      </c>
      <c r="J405" s="869"/>
      <c r="K405" s="880" t="s">
        <v>1224</v>
      </c>
      <c r="L405" s="880" t="s">
        <v>1225</v>
      </c>
      <c r="M405" s="875" t="s">
        <v>1226</v>
      </c>
      <c r="N405" s="880"/>
      <c r="O405" s="880"/>
      <c r="P405" s="869"/>
      <c r="Q405" s="45"/>
      <c r="R405" s="45"/>
    </row>
    <row r="406" spans="5:18">
      <c r="E406" s="895" t="str" cm="1">
        <f t="array" ref="E406">INDEX(K406:P406, , F$2)</f>
        <v>Project cashflow before decommissioning fund and ELT</v>
      </c>
      <c r="J406" s="894"/>
      <c r="K406" s="875" t="s">
        <v>1227</v>
      </c>
      <c r="L406" s="995" t="s">
        <v>1228</v>
      </c>
      <c r="M406" s="875" t="s">
        <v>1229</v>
      </c>
      <c r="N406" s="875"/>
      <c r="O406" s="875"/>
      <c r="P406" s="894"/>
      <c r="Q406" s="985"/>
      <c r="R406" s="985"/>
    </row>
    <row r="407" spans="5:18">
      <c r="E407" s="895" t="str" cm="1">
        <f t="array" ref="E407">INDEX(K407:P407, , F$2)</f>
        <v>Peak cumulative cashflows</v>
      </c>
      <c r="J407" s="894"/>
      <c r="K407" s="875" t="s">
        <v>1230</v>
      </c>
      <c r="L407" s="995" t="s">
        <v>1231</v>
      </c>
      <c r="M407" s="875" t="s">
        <v>1232</v>
      </c>
      <c r="N407" s="875"/>
      <c r="O407" s="875"/>
      <c r="P407" s="894"/>
      <c r="Q407" s="985"/>
      <c r="R407" s="985"/>
    </row>
    <row r="408" spans="5:18" s="7" customFormat="1">
      <c r="E408" s="879" t="str" cm="1">
        <f t="array" ref="E408">INDEX(K408:P408, , F$2)</f>
        <v>Economic limit reached</v>
      </c>
      <c r="J408" s="869"/>
      <c r="K408" s="880" t="s">
        <v>1233</v>
      </c>
      <c r="L408" s="880" t="s">
        <v>1234</v>
      </c>
      <c r="M408" s="875" t="s">
        <v>1235</v>
      </c>
      <c r="N408" s="880"/>
      <c r="O408" s="880"/>
      <c r="P408" s="869"/>
      <c r="Q408" s="45"/>
      <c r="R408" s="45"/>
    </row>
    <row r="409" spans="5:18" s="7" customFormat="1">
      <c r="E409" s="879" t="str" cm="1">
        <f t="array" ref="E409">INDEX(K409:P409, , F$2)</f>
        <v>Economic limit year based on cashflows</v>
      </c>
      <c r="J409" s="869"/>
      <c r="K409" s="880" t="s">
        <v>1236</v>
      </c>
      <c r="L409" s="880" t="s">
        <v>1237</v>
      </c>
      <c r="M409" s="875" t="s">
        <v>1238</v>
      </c>
      <c r="N409" s="880"/>
      <c r="O409" s="880"/>
      <c r="P409" s="869"/>
      <c r="Q409" s="45"/>
      <c r="R409" s="45"/>
    </row>
    <row r="410" spans="5:18" s="7" customFormat="1">
      <c r="E410" s="879" t="str" cm="1">
        <f t="array" ref="E410">INDEX(K410:P410, , F$2)</f>
        <v>Project economic limit</v>
      </c>
      <c r="J410" s="869"/>
      <c r="K410" s="880" t="s">
        <v>1239</v>
      </c>
      <c r="L410" s="880" t="s">
        <v>1240</v>
      </c>
      <c r="M410" s="875" t="s">
        <v>1241</v>
      </c>
      <c r="N410" s="880"/>
      <c r="O410" s="880"/>
      <c r="P410" s="869"/>
      <c r="Q410" s="45"/>
      <c r="R410" s="45"/>
    </row>
    <row r="411" spans="5:18">
      <c r="E411" s="895" t="str" cm="1">
        <f t="array" ref="E411">INDEX(K411:P411, , F$2)</f>
        <v>Decommissioning costs incurred after ELT year</v>
      </c>
      <c r="J411" s="894"/>
      <c r="K411" s="875" t="s">
        <v>1242</v>
      </c>
      <c r="L411" s="995" t="s">
        <v>1243</v>
      </c>
      <c r="M411" s="875" t="s">
        <v>1244</v>
      </c>
      <c r="N411" s="875"/>
      <c r="O411" s="875"/>
      <c r="P411" s="894"/>
      <c r="Q411" s="985"/>
      <c r="R411" s="985"/>
    </row>
    <row r="412" spans="5:18">
      <c r="E412" s="895" t="str" cm="1">
        <f t="array" ref="E412">INDEX(K412:P412, , F$2)</f>
        <v>Post-production decommissioning original start year</v>
      </c>
      <c r="J412" s="894"/>
      <c r="K412" s="875" t="s">
        <v>1245</v>
      </c>
      <c r="L412" s="995" t="s">
        <v>1246</v>
      </c>
      <c r="M412" s="875" t="s">
        <v>1247</v>
      </c>
      <c r="N412" s="875"/>
      <c r="O412" s="875"/>
      <c r="P412" s="894"/>
      <c r="Q412" s="985"/>
      <c r="R412" s="985"/>
    </row>
    <row r="413" spans="5:18">
      <c r="E413" s="895" t="str" cm="1">
        <f t="array" ref="E413">INDEX(K413:P413, , F$2)</f>
        <v>Post-production decommissioning start with ELT</v>
      </c>
      <c r="J413" s="894"/>
      <c r="K413" s="875" t="s">
        <v>1248</v>
      </c>
      <c r="L413" s="995" t="s">
        <v>1249</v>
      </c>
      <c r="M413" s="875" t="s">
        <v>1250</v>
      </c>
      <c r="N413" s="875"/>
      <c r="O413" s="875"/>
      <c r="P413" s="894"/>
      <c r="Q413" s="985"/>
      <c r="R413" s="985"/>
    </row>
    <row r="414" spans="5:18" s="7" customFormat="1">
      <c r="E414" s="879" t="str" cm="1">
        <f t="array" ref="E414">INDEX(K414:P414, , F$2)</f>
        <v>EL reached before project end</v>
      </c>
      <c r="J414" s="869"/>
      <c r="K414" s="880" t="s">
        <v>1251</v>
      </c>
      <c r="L414" s="880" t="s">
        <v>1252</v>
      </c>
      <c r="M414" s="875" t="s">
        <v>1253</v>
      </c>
      <c r="N414" s="880"/>
      <c r="O414" s="880"/>
      <c r="P414" s="869"/>
      <c r="Q414" s="45"/>
      <c r="R414" s="45"/>
    </row>
    <row r="415" spans="5:18">
      <c r="E415" s="895" t="str" cm="1">
        <f t="array" ref="E415">INDEX(K415:P415, , F$2)</f>
        <v>Post-production decomm. costs with ELT</v>
      </c>
      <c r="J415" s="894"/>
      <c r="K415" s="875" t="s">
        <v>1254</v>
      </c>
      <c r="L415" s="995" t="s">
        <v>1255</v>
      </c>
      <c r="M415" s="875" t="s">
        <v>1256</v>
      </c>
      <c r="N415" s="875"/>
      <c r="O415" s="875"/>
      <c r="P415" s="894"/>
      <c r="Q415" s="985"/>
      <c r="R415" s="985"/>
    </row>
    <row r="416" spans="5:18" s="7" customFormat="1">
      <c r="E416" s="879" t="str" cm="1">
        <f t="array" ref="E416">INDEX(K416:P416, , F$2)</f>
        <v>Project activity</v>
      </c>
      <c r="J416" s="869"/>
      <c r="K416" s="880" t="s">
        <v>1257</v>
      </c>
      <c r="L416" s="880" t="s">
        <v>1258</v>
      </c>
      <c r="M416" s="875" t="s">
        <v>1259</v>
      </c>
      <c r="N416" s="880"/>
      <c r="O416" s="880"/>
      <c r="P416" s="869"/>
      <c r="Q416" s="45"/>
      <c r="R416" s="45"/>
    </row>
    <row r="417" spans="5:18">
      <c r="E417" s="895" t="str" cm="1">
        <f t="array" ref="E417">INDEX(K417:P417, , F$2)</f>
        <v>Cumulative project activity</v>
      </c>
      <c r="J417" s="894"/>
      <c r="K417" s="875" t="s">
        <v>1260</v>
      </c>
      <c r="L417" s="995" t="s">
        <v>1261</v>
      </c>
      <c r="M417" s="875" t="s">
        <v>1262</v>
      </c>
      <c r="N417" s="875"/>
      <c r="O417" s="875"/>
      <c r="P417" s="894"/>
      <c r="Q417" s="985"/>
      <c r="R417" s="985"/>
    </row>
    <row r="418" spans="5:18" s="7" customFormat="1">
      <c r="E418" s="879" t="str" cm="1">
        <f t="array" ref="E418">INDEX(K418:P418, , F$2)</f>
        <v>First project activity year</v>
      </c>
      <c r="J418" s="869"/>
      <c r="K418" s="880" t="s">
        <v>1263</v>
      </c>
      <c r="L418" s="880" t="s">
        <v>1264</v>
      </c>
      <c r="M418" s="875" t="s">
        <v>1265</v>
      </c>
      <c r="N418" s="880"/>
      <c r="O418" s="880"/>
      <c r="P418" s="869"/>
      <c r="Q418" s="45"/>
      <c r="R418" s="45"/>
    </row>
    <row r="419" spans="5:18">
      <c r="E419" s="895" t="str" cm="1">
        <f t="array" ref="E419">INDEX(K419:P419, , F$2)</f>
        <v>Project activity (excl. decommissioning)</v>
      </c>
      <c r="J419" s="894"/>
      <c r="K419" s="875" t="s">
        <v>1266</v>
      </c>
      <c r="L419" s="995" t="s">
        <v>1267</v>
      </c>
      <c r="M419" s="875" t="s">
        <v>1268</v>
      </c>
      <c r="N419" s="875"/>
      <c r="O419" s="875"/>
      <c r="P419" s="894"/>
      <c r="Q419" s="985"/>
      <c r="R419" s="985"/>
    </row>
    <row r="420" spans="5:18" s="7" customFormat="1">
      <c r="E420" s="879" t="str" cm="1">
        <f t="array" ref="E420">INDEX(K420:P420, , F$2)</f>
        <v>Production years after ELT</v>
      </c>
      <c r="J420" s="869"/>
      <c r="K420" s="880" t="s">
        <v>1269</v>
      </c>
      <c r="L420" s="880" t="s">
        <v>1270</v>
      </c>
      <c r="M420" s="875" t="s">
        <v>1271</v>
      </c>
      <c r="N420" s="880"/>
      <c r="O420" s="880"/>
      <c r="P420" s="869"/>
      <c r="Q420" s="45"/>
      <c r="R420" s="45"/>
    </row>
    <row r="421" spans="5:18" s="7" customFormat="1">
      <c r="E421" s="879" t="str" cm="1">
        <f t="array" ref="E421">INDEX(K421:P421, , F$2)</f>
        <v>Cumulative production years</v>
      </c>
      <c r="J421" s="869"/>
      <c r="K421" s="880" t="s">
        <v>1272</v>
      </c>
      <c r="L421" s="880" t="s">
        <v>1273</v>
      </c>
      <c r="M421" s="875" t="s">
        <v>1274</v>
      </c>
      <c r="N421" s="880"/>
      <c r="O421" s="880"/>
      <c r="P421" s="869"/>
      <c r="Q421" s="45"/>
      <c r="R421" s="45"/>
    </row>
    <row r="422" spans="5:18" s="7" customFormat="1">
      <c r="E422" s="879" t="str" cm="1">
        <f t="array" ref="E422">INDEX(K422:P422, , F$2)</f>
        <v>Remaining production years</v>
      </c>
      <c r="J422" s="869"/>
      <c r="K422" s="880" t="s">
        <v>1275</v>
      </c>
      <c r="L422" s="880" t="s">
        <v>1276</v>
      </c>
      <c r="M422" s="875" t="s">
        <v>1277</v>
      </c>
      <c r="N422" s="880"/>
      <c r="O422" s="880"/>
      <c r="P422" s="869"/>
      <c r="Q422" s="45"/>
      <c r="R422" s="45"/>
    </row>
    <row r="423" spans="5:18" s="7" customFormat="1">
      <c r="E423" s="879" t="str" cm="1">
        <f t="array" ref="E423">INDEX(K423:P423, , F$2)</f>
        <v>Cumulative years from start of development</v>
      </c>
      <c r="J423" s="869"/>
      <c r="K423" s="880" t="s">
        <v>1278</v>
      </c>
      <c r="L423" s="880" t="s">
        <v>1279</v>
      </c>
      <c r="M423" s="875" t="s">
        <v>1280</v>
      </c>
      <c r="N423" s="880"/>
      <c r="O423" s="880"/>
      <c r="P423" s="869"/>
      <c r="Q423" s="45"/>
      <c r="R423" s="45"/>
    </row>
    <row r="424" spans="5:18" s="7" customFormat="1">
      <c r="E424" s="879" t="str" cm="1">
        <f t="array" ref="E424">INDEX(K424:P424, , F$2)</f>
        <v>FID forward flag</v>
      </c>
      <c r="J424" s="869"/>
      <c r="K424" s="880" t="s">
        <v>1281</v>
      </c>
      <c r="L424" s="880" t="s">
        <v>1282</v>
      </c>
      <c r="M424" s="875" t="s">
        <v>1283</v>
      </c>
      <c r="N424" s="880"/>
      <c r="O424" s="880"/>
      <c r="P424" s="869"/>
      <c r="Q424" s="45"/>
      <c r="R424" s="45"/>
    </row>
    <row r="425" spans="5:18" s="7" customFormat="1">
      <c r="E425" s="879" t="str" cm="1">
        <f t="array" ref="E425">INDEX(K425:P425, , F$2)</f>
        <v>Inflation index</v>
      </c>
      <c r="J425" s="869"/>
      <c r="K425" s="880" t="s">
        <v>1284</v>
      </c>
      <c r="L425" s="880" t="s">
        <v>1285</v>
      </c>
      <c r="M425" s="875" t="s">
        <v>1286</v>
      </c>
      <c r="N425" s="880"/>
      <c r="O425" s="880"/>
      <c r="P425" s="869"/>
      <c r="Q425" s="45"/>
      <c r="R425" s="45"/>
    </row>
    <row r="426" spans="5:18" s="7" customFormat="1">
      <c r="E426" s="879" t="str" cm="1">
        <f t="array" ref="E426">INDEX(K426:P426, , F$2)</f>
        <v>Deflation index to first year of activity</v>
      </c>
      <c r="J426" s="869"/>
      <c r="K426" s="880" t="s">
        <v>1287</v>
      </c>
      <c r="L426" s="880" t="s">
        <v>1288</v>
      </c>
      <c r="M426" s="875" t="s">
        <v>1289</v>
      </c>
      <c r="N426" s="880"/>
      <c r="O426" s="880"/>
      <c r="P426" s="869"/>
      <c r="Q426" s="45"/>
      <c r="R426" s="45"/>
    </row>
    <row r="427" spans="5:18" s="7" customFormat="1">
      <c r="E427" s="879" t="str" cm="1">
        <f t="array" ref="E427">INDEX(K427:P427, , F$2)</f>
        <v>Label for real terms cashflows</v>
      </c>
      <c r="J427" s="869"/>
      <c r="K427" s="880" t="s">
        <v>1290</v>
      </c>
      <c r="L427" s="880" t="s">
        <v>1291</v>
      </c>
      <c r="M427" s="875" t="s">
        <v>1292</v>
      </c>
      <c r="N427" s="880"/>
      <c r="O427" s="880"/>
      <c r="P427" s="869"/>
      <c r="Q427" s="45"/>
      <c r="R427" s="45"/>
    </row>
    <row r="428" spans="5:18">
      <c r="E428" s="895" t="str" cm="1">
        <f t="array" ref="E428">INDEX(K428:P428, , F$2)</f>
        <v>Project cashflow before decommissioning fund</v>
      </c>
      <c r="J428" s="894"/>
      <c r="K428" s="875" t="s">
        <v>1293</v>
      </c>
      <c r="L428" s="995" t="s">
        <v>1294</v>
      </c>
      <c r="M428" s="875" t="s">
        <v>1295</v>
      </c>
      <c r="N428" s="875"/>
      <c r="O428" s="875"/>
      <c r="P428" s="894"/>
      <c r="Q428" s="985"/>
      <c r="R428" s="985"/>
    </row>
    <row r="429" spans="5:18">
      <c r="E429" s="895" t="str" cm="1">
        <f t="array" ref="E429">INDEX(K429:P429, , F$2)</f>
        <v>Project benefits</v>
      </c>
      <c r="J429" s="894"/>
      <c r="K429" s="875" t="s">
        <v>1296</v>
      </c>
      <c r="L429" s="995" t="s">
        <v>1297</v>
      </c>
      <c r="M429" s="875" t="s">
        <v>1298</v>
      </c>
      <c r="N429" s="875"/>
      <c r="O429" s="875"/>
      <c r="P429" s="894"/>
      <c r="Q429" s="985"/>
      <c r="R429" s="985"/>
    </row>
    <row r="430" spans="5:18" s="7" customFormat="1">
      <c r="E430" s="879" t="str" cm="1">
        <f t="array" ref="E430">INDEX(K430:P430, , F$2)</f>
        <v>Mineral product for which emissions calculated</v>
      </c>
      <c r="J430" s="869"/>
      <c r="K430" s="880" t="s">
        <v>1299</v>
      </c>
      <c r="L430" s="880" t="s">
        <v>1300</v>
      </c>
      <c r="M430" s="875" t="s">
        <v>1301</v>
      </c>
      <c r="N430" s="880"/>
      <c r="O430" s="880"/>
      <c r="P430" s="869"/>
      <c r="Q430" s="45"/>
      <c r="R430" s="45"/>
    </row>
    <row r="431" spans="5:18">
      <c r="E431" s="895" t="str" cm="1">
        <f t="array" ref="E431">INDEX(K431:P431, , F$2)</f>
        <v>Heat content of coal sold</v>
      </c>
      <c r="J431" s="894"/>
      <c r="K431" s="875" t="s">
        <v>1302</v>
      </c>
      <c r="L431" s="995" t="s">
        <v>1303</v>
      </c>
      <c r="M431" s="875" t="s">
        <v>1304</v>
      </c>
      <c r="N431" s="875"/>
      <c r="O431" s="875"/>
      <c r="P431" s="894"/>
      <c r="Q431" s="985"/>
      <c r="R431" s="985"/>
    </row>
    <row r="432" spans="5:18" s="7" customFormat="1">
      <c r="E432" s="879" t="str" cm="1">
        <f t="array" ref="E432">INDEX(K432:P432, , F$2)</f>
        <v>Scope 3: GHG emissions from coal combusted</v>
      </c>
      <c r="J432" s="869"/>
      <c r="K432" s="880" t="s">
        <v>1305</v>
      </c>
      <c r="L432" s="880" t="s">
        <v>1306</v>
      </c>
      <c r="M432" s="875" t="s">
        <v>1307</v>
      </c>
      <c r="N432" s="880"/>
      <c r="O432" s="880"/>
      <c r="P432" s="869"/>
      <c r="Q432" s="45"/>
      <c r="R432" s="45"/>
    </row>
    <row r="433" spans="5:18" s="7" customFormat="1">
      <c r="E433" s="879" t="str" cm="1">
        <f t="array" ref="E433">INDEX(K433:P433, , F$2)</f>
        <v>Investors (Parent company + lender)</v>
      </c>
      <c r="J433" s="869"/>
      <c r="K433" s="880" t="s">
        <v>1308</v>
      </c>
      <c r="L433" s="880" t="s">
        <v>1309</v>
      </c>
      <c r="M433" s="875" t="s">
        <v>1310</v>
      </c>
      <c r="N433" s="880"/>
      <c r="O433" s="880"/>
      <c r="P433" s="869"/>
      <c r="Q433" s="45"/>
      <c r="R433" s="45"/>
    </row>
    <row r="434" spans="5:18" s="7" customFormat="1">
      <c r="E434" s="879" t="str" cm="1">
        <f t="array" ref="E434">INDEX(K434:P434, , F$2)</f>
        <v>Unit analysis</v>
      </c>
      <c r="J434" s="869"/>
      <c r="K434" s="880" t="s">
        <v>1311</v>
      </c>
      <c r="L434" s="880" t="s">
        <v>1312</v>
      </c>
      <c r="M434" s="875" t="s">
        <v>1313</v>
      </c>
      <c r="N434" s="880"/>
      <c r="O434" s="880"/>
      <c r="P434" s="869"/>
      <c r="Q434" s="45"/>
      <c r="R434" s="45"/>
    </row>
    <row r="435" spans="5:18" s="7" customFormat="1">
      <c r="E435" s="879" t="str" cm="1">
        <f t="array" ref="E435">INDEX(K435:P435, , F$2)</f>
        <v>Average Effective Tax Rate (excl. participation)</v>
      </c>
      <c r="J435" s="869"/>
      <c r="K435" s="880" t="s">
        <v>1314</v>
      </c>
      <c r="L435" s="880" t="s">
        <v>1315</v>
      </c>
      <c r="M435" s="875" t="s">
        <v>1316</v>
      </c>
      <c r="N435" s="880"/>
      <c r="O435" s="880"/>
      <c r="P435" s="869"/>
      <c r="Q435" s="45"/>
      <c r="R435" s="45"/>
    </row>
    <row r="436" spans="5:18" s="7" customFormat="1">
      <c r="E436" s="879" t="str" cm="1">
        <f t="array" ref="E436">INDEX(K436:P436, , F$2)</f>
        <v>Average Effective Tax Rate (incl. participation)</v>
      </c>
      <c r="J436" s="869"/>
      <c r="K436" s="880" t="s">
        <v>1317</v>
      </c>
      <c r="L436" s="880" t="s">
        <v>1318</v>
      </c>
      <c r="M436" s="875" t="s">
        <v>1319</v>
      </c>
      <c r="N436" s="880"/>
      <c r="O436" s="880"/>
      <c r="P436" s="869"/>
      <c r="Q436" s="45"/>
      <c r="R436" s="45"/>
    </row>
    <row r="437" spans="5:18" s="7" customFormat="1">
      <c r="E437" s="879" t="str" cm="1">
        <f t="array" ref="E437">INDEX(K437:P437, , F$2)</f>
        <v>sales</v>
      </c>
      <c r="J437" s="869"/>
      <c r="K437" s="880" t="s">
        <v>1320</v>
      </c>
      <c r="L437" s="880" t="s">
        <v>1321</v>
      </c>
      <c r="M437" s="875" t="s">
        <v>1322</v>
      </c>
      <c r="N437" s="880"/>
      <c r="O437" s="880"/>
      <c r="P437" s="869"/>
      <c r="Q437" s="45"/>
      <c r="R437" s="45"/>
    </row>
    <row r="438" spans="5:18" s="7" customFormat="1">
      <c r="E438" s="879" t="str" cm="1">
        <f t="array" ref="E438">INDEX(K438:P438, , F$2)</f>
        <v>after ELT</v>
      </c>
      <c r="J438" s="869"/>
      <c r="K438" s="880" t="s">
        <v>1323</v>
      </c>
      <c r="L438" s="880" t="s">
        <v>1324</v>
      </c>
      <c r="M438" s="875" t="s">
        <v>1325</v>
      </c>
      <c r="N438" s="880"/>
      <c r="O438" s="880"/>
      <c r="P438" s="869"/>
      <c r="Q438" s="45"/>
      <c r="R438" s="45"/>
    </row>
    <row r="439" spans="5:18" s="7" customFormat="1">
      <c r="E439" s="879" t="str" cm="1">
        <f t="array" ref="E439">INDEX(K439:P439, , F$2)</f>
        <v>price realized from sales</v>
      </c>
      <c r="J439" s="869"/>
      <c r="K439" s="880" t="s">
        <v>1326</v>
      </c>
      <c r="L439" s="880" t="s">
        <v>1327</v>
      </c>
      <c r="M439" s="875" t="s">
        <v>1328</v>
      </c>
      <c r="N439" s="880"/>
      <c r="O439" s="880"/>
      <c r="P439" s="869"/>
      <c r="Q439" s="45"/>
      <c r="R439" s="45"/>
    </row>
    <row r="440" spans="5:18" s="7" customFormat="1">
      <c r="E440" s="879" t="str" cm="1">
        <f t="array" ref="E440">INDEX(K440:P440, , F$2)</f>
        <v>incurred before ELT reached</v>
      </c>
      <c r="J440" s="869"/>
      <c r="K440" s="880" t="s">
        <v>1329</v>
      </c>
      <c r="L440" s="880" t="s">
        <v>1330</v>
      </c>
      <c r="M440" s="875" t="s">
        <v>1331</v>
      </c>
      <c r="N440" s="880"/>
      <c r="O440" s="880"/>
      <c r="P440" s="869"/>
      <c r="Q440" s="45"/>
      <c r="R440" s="45"/>
    </row>
    <row r="441" spans="5:18">
      <c r="E441" s="895" t="str" cm="1">
        <f t="array" ref="E441">INDEX(K441:P441, , F$2)</f>
        <v>Sales revenues</v>
      </c>
      <c r="J441" s="894"/>
      <c r="K441" s="875" t="s">
        <v>1332</v>
      </c>
      <c r="L441" s="995" t="s">
        <v>1333</v>
      </c>
      <c r="M441" s="875" t="s">
        <v>1334</v>
      </c>
      <c r="N441" s="875"/>
      <c r="O441" s="875"/>
      <c r="P441" s="894"/>
      <c r="Q441" s="985"/>
      <c r="R441" s="985"/>
    </row>
    <row r="442" spans="5:18" s="7" customFormat="1">
      <c r="E442" s="879" t="str" cm="1">
        <f t="array" ref="E442">INDEX(K442:P442, , F$2)</f>
        <v>(into model)</v>
      </c>
      <c r="J442" s="869"/>
      <c r="K442" s="880" t="s">
        <v>1335</v>
      </c>
      <c r="L442" s="880" t="s">
        <v>1336</v>
      </c>
      <c r="M442" s="875" t="s">
        <v>1337</v>
      </c>
      <c r="N442" s="880"/>
      <c r="O442" s="880"/>
      <c r="P442" s="869"/>
      <c r="Q442" s="45"/>
      <c r="R442" s="45"/>
    </row>
    <row r="443" spans="5:18">
      <c r="E443" s="895" t="str" cm="1">
        <f t="array" ref="E443">INDEX(K443:P443, , F$2)</f>
        <v>(before decommissioning)</v>
      </c>
      <c r="J443" s="894"/>
      <c r="K443" s="875" t="s">
        <v>1338</v>
      </c>
      <c r="L443" s="995" t="s">
        <v>1339</v>
      </c>
      <c r="M443" s="875" t="s">
        <v>1340</v>
      </c>
      <c r="N443" s="875"/>
      <c r="O443" s="875"/>
      <c r="P443" s="894"/>
      <c r="Q443" s="985"/>
      <c r="R443" s="985"/>
    </row>
    <row r="444" spans="5:18" s="7" customFormat="1">
      <c r="E444" s="879" t="str" cm="1">
        <f t="array" ref="E444">INDEX(K444:P444, , F$2)</f>
        <v>Check</v>
      </c>
      <c r="J444" s="869"/>
      <c r="K444" s="880" t="s">
        <v>1341</v>
      </c>
      <c r="L444" s="880" t="s">
        <v>1342</v>
      </c>
      <c r="M444" s="875" t="s">
        <v>1343</v>
      </c>
      <c r="N444" s="880"/>
      <c r="O444" s="880"/>
      <c r="P444" s="869"/>
      <c r="Q444" s="45"/>
      <c r="R444" s="45"/>
    </row>
    <row r="445" spans="5:18" s="7" customFormat="1">
      <c r="E445" s="879" t="str" cm="1">
        <f t="array" ref="E445">INDEX(K445:P445, , F$2)</f>
        <v>Units</v>
      </c>
      <c r="J445" s="869"/>
      <c r="K445" s="880" t="s">
        <v>1344</v>
      </c>
      <c r="L445" s="880" t="s">
        <v>1345</v>
      </c>
      <c r="M445" s="875" t="s">
        <v>1346</v>
      </c>
      <c r="N445" s="880"/>
      <c r="O445" s="880"/>
      <c r="P445" s="869"/>
      <c r="Q445" s="45"/>
      <c r="R445" s="45"/>
    </row>
    <row r="446" spans="5:18" s="7" customFormat="1">
      <c r="E446" s="879" t="str" cm="1">
        <f t="array" ref="E446">INDEX(K446:P446, , F$2)</f>
        <v>Track changes</v>
      </c>
      <c r="J446" s="869"/>
      <c r="K446" s="880" t="s">
        <v>1347</v>
      </c>
      <c r="L446" s="880" t="s">
        <v>1348</v>
      </c>
      <c r="M446" s="875" t="s">
        <v>1349</v>
      </c>
      <c r="N446" s="880"/>
      <c r="O446" s="880"/>
      <c r="P446" s="869"/>
      <c r="Q446" s="45"/>
      <c r="R446" s="45"/>
    </row>
    <row r="447" spans="5:18">
      <c r="E447" s="895" t="str" cm="1">
        <f t="array" ref="E447">INDEX(K447:P447, , F$2)</f>
        <v>Dashboard Analytical Routines</v>
      </c>
      <c r="J447" s="894"/>
      <c r="K447" s="875" t="s">
        <v>1350</v>
      </c>
      <c r="L447" s="995" t="s">
        <v>1351</v>
      </c>
      <c r="M447" s="875" t="s">
        <v>1352</v>
      </c>
      <c r="N447" s="875"/>
      <c r="O447" s="875"/>
      <c r="P447" s="894"/>
      <c r="Q447" s="985"/>
      <c r="R447" s="985"/>
    </row>
    <row r="448" spans="5:18" s="7" customFormat="1">
      <c r="E448" s="879" t="str" cm="1">
        <f t="array" ref="E448">INDEX(K448:P448, , F$2)</f>
        <v>Results for selected fiscal regimes</v>
      </c>
      <c r="J448" s="869"/>
      <c r="K448" s="880" t="s">
        <v>1353</v>
      </c>
      <c r="L448" s="880" t="s">
        <v>1354</v>
      </c>
      <c r="M448" s="875" t="s">
        <v>1355</v>
      </c>
      <c r="N448" s="880"/>
      <c r="O448" s="880"/>
      <c r="P448" s="869"/>
      <c r="Q448" s="45"/>
      <c r="R448" s="45"/>
    </row>
    <row r="449" spans="5:18">
      <c r="E449" s="895" t="str" cm="1">
        <f t="array" ref="E449">INDEX(K449:P449, , F$2)</f>
        <v>Government revenues profiles under selected regimes</v>
      </c>
      <c r="J449" s="894"/>
      <c r="K449" s="875" t="s">
        <v>1356</v>
      </c>
      <c r="L449" s="995" t="s">
        <v>1357</v>
      </c>
      <c r="M449" s="875" t="s">
        <v>1358</v>
      </c>
      <c r="N449" s="875"/>
      <c r="O449" s="875"/>
      <c r="P449" s="894"/>
      <c r="Q449" s="985"/>
      <c r="R449" s="985"/>
    </row>
    <row r="450" spans="5:18" s="7" customFormat="1">
      <c r="E450" s="879" t="str" cm="1">
        <f t="array" ref="E450">INDEX(K450:P450, , F$2)</f>
        <v>Progressivity analysis across a range of mineral prices</v>
      </c>
      <c r="J450" s="869"/>
      <c r="K450" s="880" t="s">
        <v>1359</v>
      </c>
      <c r="L450" s="880" t="s">
        <v>1360</v>
      </c>
      <c r="M450" s="875" t="s">
        <v>1361</v>
      </c>
      <c r="N450" s="880"/>
      <c r="O450" s="880"/>
      <c r="P450" s="869"/>
      <c r="Q450" s="45"/>
      <c r="R450" s="45"/>
    </row>
    <row r="451" spans="5:18" s="7" customFormat="1">
      <c r="E451" s="879" t="str" cm="1">
        <f t="array" ref="E451">INDEX(K451:P451, , F$2)</f>
        <v>Breakeven mineral price and marginal effective tax rate</v>
      </c>
      <c r="J451" s="869"/>
      <c r="K451" s="880" t="s">
        <v>1362</v>
      </c>
      <c r="L451" s="880" t="s">
        <v>1363</v>
      </c>
      <c r="M451" s="875" t="s">
        <v>1364</v>
      </c>
      <c r="N451" s="880"/>
      <c r="O451" s="880"/>
      <c r="P451" s="869"/>
      <c r="Q451" s="45"/>
      <c r="R451" s="45"/>
    </row>
    <row r="452" spans="5:18" s="7" customFormat="1">
      <c r="E452" s="879" t="str" cm="1">
        <f t="array" ref="E452">INDEX(K452:P452, , F$2)</f>
        <v>Net present value table</v>
      </c>
      <c r="J452" s="869"/>
      <c r="K452" s="880" t="s">
        <v>1365</v>
      </c>
      <c r="L452" s="880" t="s">
        <v>1366</v>
      </c>
      <c r="M452" s="875" t="s">
        <v>1367</v>
      </c>
      <c r="N452" s="880"/>
      <c r="O452" s="880"/>
      <c r="P452" s="869"/>
      <c r="Q452" s="45"/>
      <c r="R452" s="45"/>
    </row>
    <row r="453" spans="5:18" s="7" customFormat="1">
      <c r="E453" s="879" t="str" cm="1">
        <f t="array" ref="E453">INDEX(K453:P453, , F$2)</f>
        <v>Project, Fiscal Regime &amp; Prices</v>
      </c>
      <c r="J453" s="869"/>
      <c r="K453" s="880" t="s">
        <v>1368</v>
      </c>
      <c r="L453" s="880" t="s">
        <v>1369</v>
      </c>
      <c r="M453" s="875" t="s">
        <v>1370</v>
      </c>
      <c r="N453" s="880"/>
      <c r="O453" s="880"/>
      <c r="P453" s="869"/>
      <c r="Q453" s="45"/>
      <c r="R453" s="45"/>
    </row>
    <row r="454" spans="5:18" s="7" customFormat="1">
      <c r="E454" s="879" t="str" cm="1">
        <f t="array" ref="E454">INDEX(K454:P454, , F$2)</f>
        <v>Project statistics and economic limit (EL)</v>
      </c>
      <c r="J454" s="869"/>
      <c r="K454" s="880" t="s">
        <v>1371</v>
      </c>
      <c r="L454" s="880" t="s">
        <v>1372</v>
      </c>
      <c r="M454" s="875" t="s">
        <v>1373</v>
      </c>
      <c r="N454" s="880"/>
      <c r="O454" s="880"/>
      <c r="P454" s="869"/>
      <c r="Q454" s="45"/>
      <c r="R454" s="45"/>
    </row>
    <row r="455" spans="5:18" s="7" customFormat="1">
      <c r="E455" s="879" t="str" cm="1">
        <f t="array" ref="E455">INDEX(K455:P455, , F$2)</f>
        <v>EL</v>
      </c>
      <c r="J455" s="869"/>
      <c r="K455" s="880" t="s">
        <v>1374</v>
      </c>
      <c r="L455" s="880" t="s">
        <v>1375</v>
      </c>
      <c r="M455" s="875" t="s">
        <v>1374</v>
      </c>
      <c r="N455" s="880"/>
      <c r="O455" s="880"/>
      <c r="P455" s="869"/>
      <c r="Q455" s="45"/>
      <c r="R455" s="45"/>
    </row>
    <row r="456" spans="5:18">
      <c r="E456" s="895" t="str" cm="1">
        <f t="array" ref="E456">INDEX(K456:P456, , F$2)</f>
        <v>Links to analytical routines</v>
      </c>
      <c r="J456" s="894"/>
      <c r="K456" s="875" t="s">
        <v>1376</v>
      </c>
      <c r="L456" s="995" t="s">
        <v>1377</v>
      </c>
      <c r="M456" s="875" t="s">
        <v>1378</v>
      </c>
      <c r="N456" s="875"/>
      <c r="O456" s="875"/>
      <c r="P456" s="894"/>
      <c r="Q456" s="985"/>
      <c r="R456" s="985"/>
    </row>
    <row r="457" spans="5:18" s="7" customFormat="1">
      <c r="E457" s="879" t="str" cm="1">
        <f t="array" ref="E457">INDEX(K457:P457, , F$2)</f>
        <v>Post financing</v>
      </c>
      <c r="J457" s="869"/>
      <c r="K457" s="880" t="s">
        <v>1379</v>
      </c>
      <c r="L457" s="880" t="s">
        <v>1380</v>
      </c>
      <c r="M457" s="875" t="s">
        <v>1381</v>
      </c>
      <c r="N457" s="880"/>
      <c r="O457" s="880"/>
      <c r="P457" s="869"/>
      <c r="Q457" s="45"/>
      <c r="R457" s="45"/>
    </row>
    <row r="458" spans="5:18">
      <c r="E458" s="895" t="str" cm="1">
        <f t="array" ref="E458">INDEX(K458:P458, , F$2)</f>
        <v>revenues after royalty</v>
      </c>
      <c r="J458" s="894"/>
      <c r="K458" s="875" t="s">
        <v>1382</v>
      </c>
      <c r="L458" s="995" t="s">
        <v>1383</v>
      </c>
      <c r="M458" s="875" t="s">
        <v>1384</v>
      </c>
      <c r="N458" s="875"/>
      <c r="O458" s="875"/>
      <c r="P458" s="894"/>
      <c r="Q458" s="985"/>
      <c r="R458" s="985"/>
    </row>
    <row r="459" spans="5:18" s="7" customFormat="1">
      <c r="E459" s="879" t="str" cm="1">
        <f t="array" ref="E459">INDEX(K459:P459, , F$2)</f>
        <v>Mining company</v>
      </c>
      <c r="J459" s="869"/>
      <c r="K459" s="880" t="s">
        <v>1385</v>
      </c>
      <c r="L459" s="880" t="s">
        <v>1386</v>
      </c>
      <c r="M459" s="875" t="s">
        <v>1387</v>
      </c>
      <c r="N459" s="880"/>
      <c r="O459" s="880"/>
      <c r="P459" s="869"/>
      <c r="Q459" s="45"/>
      <c r="R459" s="45"/>
    </row>
    <row r="460" spans="5:18" s="7" customFormat="1">
      <c r="E460" s="879" t="str" cm="1">
        <f t="array" ref="E460">INDEX(K460:P460, , F$2)</f>
        <v>above threshold</v>
      </c>
      <c r="J460" s="869"/>
      <c r="K460" s="880" t="s">
        <v>1388</v>
      </c>
      <c r="L460" s="880" t="s">
        <v>1389</v>
      </c>
      <c r="M460" s="875" t="s">
        <v>1390</v>
      </c>
      <c r="N460" s="880"/>
      <c r="O460" s="880"/>
      <c r="P460" s="869"/>
      <c r="Q460" s="45"/>
      <c r="R460" s="45"/>
    </row>
    <row r="461" spans="5:18">
      <c r="E461" s="895" t="str" cm="1">
        <f t="array" ref="E461">INDEX(K461:P461, , F$2)</f>
        <v>adjusted</v>
      </c>
      <c r="J461" s="894"/>
      <c r="K461" s="875" t="s">
        <v>1391</v>
      </c>
      <c r="L461" s="995" t="s">
        <v>1392</v>
      </c>
      <c r="M461" s="875" t="s">
        <v>1393</v>
      </c>
      <c r="N461" s="875"/>
      <c r="O461" s="875"/>
      <c r="P461" s="894"/>
      <c r="Q461" s="985"/>
      <c r="R461" s="985"/>
    </row>
    <row r="462" spans="5:18">
      <c r="E462" s="895" t="str" cm="1">
        <f t="array" ref="E462">INDEX(K462:P462, , F$2)</f>
        <v>in first tax year</v>
      </c>
      <c r="J462" s="894"/>
      <c r="K462" s="875" t="s">
        <v>1394</v>
      </c>
      <c r="L462" s="995" t="s">
        <v>1395</v>
      </c>
      <c r="M462" s="875" t="s">
        <v>1396</v>
      </c>
      <c r="N462" s="875"/>
      <c r="O462" s="875"/>
      <c r="P462" s="894"/>
      <c r="Q462" s="985"/>
      <c r="R462" s="985"/>
    </row>
    <row r="463" spans="5:18" s="7" customFormat="1">
      <c r="E463" s="879" t="str" cm="1">
        <f t="array" ref="E463">INDEX(K463:P463, , F$2)</f>
        <v>VAT charged</v>
      </c>
      <c r="J463" s="869"/>
      <c r="K463" s="880" t="s">
        <v>1397</v>
      </c>
      <c r="L463" s="880" t="s">
        <v>1398</v>
      </c>
      <c r="M463" s="875" t="s">
        <v>1399</v>
      </c>
      <c r="N463" s="880"/>
      <c r="O463" s="880"/>
      <c r="P463" s="869"/>
      <c r="Q463" s="45"/>
      <c r="R463" s="45"/>
    </row>
    <row r="464" spans="5:18" s="7" customFormat="1">
      <c r="E464" s="879" t="str" cm="1">
        <f t="array" ref="E464">INDEX(K464:P464, , F$2)</f>
        <v>deductible</v>
      </c>
      <c r="J464" s="869"/>
      <c r="K464" s="880" t="s">
        <v>1400</v>
      </c>
      <c r="L464" s="880" t="s">
        <v>1401</v>
      </c>
      <c r="M464" s="875" t="s">
        <v>1402</v>
      </c>
      <c r="N464" s="880"/>
      <c r="O464" s="880"/>
      <c r="P464" s="869"/>
      <c r="Q464" s="45"/>
      <c r="R464" s="45"/>
    </row>
    <row r="465" spans="5:18" s="7" customFormat="1">
      <c r="E465" s="879" t="str" cm="1">
        <f t="array" ref="E465">INDEX(K465:P465, , F$2)</f>
        <v>applicable</v>
      </c>
      <c r="J465" s="869"/>
      <c r="K465" s="880" t="s">
        <v>1403</v>
      </c>
      <c r="L465" s="880" t="s">
        <v>1403</v>
      </c>
      <c r="M465" s="875" t="s">
        <v>1404</v>
      </c>
      <c r="N465" s="880"/>
      <c r="O465" s="880"/>
      <c r="P465" s="869"/>
      <c r="Q465" s="45"/>
      <c r="R465" s="45"/>
    </row>
    <row r="466" spans="5:18" s="7" customFormat="1">
      <c r="E466" s="879" t="str" cm="1">
        <f t="array" ref="E466">INDEX(K466:P466, , F$2)</f>
        <v>during financing period</v>
      </c>
      <c r="J466" s="869"/>
      <c r="K466" s="880" t="s">
        <v>1405</v>
      </c>
      <c r="L466" s="880" t="s">
        <v>1406</v>
      </c>
      <c r="M466" s="875" t="s">
        <v>1407</v>
      </c>
      <c r="N466" s="880"/>
      <c r="O466" s="880"/>
      <c r="P466" s="869"/>
      <c r="Q466" s="45"/>
      <c r="R466" s="45"/>
    </row>
    <row r="467" spans="5:18">
      <c r="E467" s="895" t="str" cm="1">
        <f t="array" ref="E467">INDEX(K467:P467, , F$2)</f>
        <v>deducted for RRT</v>
      </c>
      <c r="J467" s="894"/>
      <c r="K467" s="875" t="s">
        <v>1408</v>
      </c>
      <c r="L467" s="995" t="s">
        <v>1409</v>
      </c>
      <c r="M467" s="875" t="s">
        <v>1410</v>
      </c>
      <c r="N467" s="875"/>
      <c r="O467" s="875"/>
      <c r="P467" s="894"/>
      <c r="Q467" s="985"/>
      <c r="R467" s="985"/>
    </row>
    <row r="468" spans="5:18" s="7" customFormat="1">
      <c r="E468" s="879" t="str" cm="1">
        <f t="array" ref="E468">INDEX(K468:P468, , F$2)</f>
        <v>tax deductible</v>
      </c>
      <c r="J468" s="869"/>
      <c r="K468" s="880" t="s">
        <v>1411</v>
      </c>
      <c r="L468" s="880" t="s">
        <v>1412</v>
      </c>
      <c r="M468" s="875" t="s">
        <v>1413</v>
      </c>
      <c r="N468" s="880"/>
      <c r="O468" s="880"/>
      <c r="P468" s="869"/>
      <c r="Q468" s="45"/>
      <c r="R468" s="45"/>
    </row>
    <row r="469" spans="5:18">
      <c r="E469" s="895" t="str" cm="1">
        <f t="array" ref="E469">INDEX(K469:P469, , F$2)</f>
        <v>inflation indexed</v>
      </c>
      <c r="J469" s="894"/>
      <c r="K469" s="875" t="s">
        <v>1414</v>
      </c>
      <c r="L469" s="995" t="s">
        <v>1415</v>
      </c>
      <c r="M469" s="875" t="s">
        <v>1416</v>
      </c>
      <c r="N469" s="875"/>
      <c r="O469" s="875"/>
      <c r="P469" s="894"/>
      <c r="Q469" s="985"/>
      <c r="R469" s="985"/>
    </row>
    <row r="470" spans="5:18">
      <c r="E470" s="895" t="str" cm="1">
        <f t="array" ref="E470">INDEX(K470:P470, , F$2)</f>
        <v>not inflation indexed</v>
      </c>
      <c r="J470" s="894"/>
      <c r="K470" s="875" t="s">
        <v>1417</v>
      </c>
      <c r="L470" s="995" t="s">
        <v>1418</v>
      </c>
      <c r="M470" s="875" t="s">
        <v>1419</v>
      </c>
      <c r="N470" s="875"/>
      <c r="O470" s="875"/>
      <c r="P470" s="894"/>
      <c r="Q470" s="985"/>
      <c r="R470" s="985"/>
    </row>
    <row r="471" spans="5:18">
      <c r="E471" s="895" t="str" cm="1">
        <f t="array" ref="E471">INDEX(K471:P471, , F$2)</f>
        <v>Royalty base</v>
      </c>
      <c r="J471" s="894"/>
      <c r="K471" s="875" t="s">
        <v>1420</v>
      </c>
      <c r="L471" s="995" t="s">
        <v>197</v>
      </c>
      <c r="M471" s="875" t="s">
        <v>198</v>
      </c>
      <c r="N471" s="875"/>
      <c r="O471" s="875"/>
      <c r="P471" s="894"/>
      <c r="Q471" s="985"/>
      <c r="R471" s="985"/>
    </row>
    <row r="472" spans="5:18">
      <c r="E472" s="895" t="str" cm="1">
        <f t="array" ref="E472">INDEX(K472:P472, , F$2)</f>
        <v>revenue</v>
      </c>
      <c r="J472" s="894"/>
      <c r="K472" s="875" t="s">
        <v>1421</v>
      </c>
      <c r="L472" s="995" t="s">
        <v>1145</v>
      </c>
      <c r="M472" s="875" t="s">
        <v>1422</v>
      </c>
      <c r="N472" s="875"/>
      <c r="O472" s="875"/>
      <c r="P472" s="894"/>
      <c r="Q472" s="985"/>
      <c r="R472" s="985"/>
    </row>
    <row r="473" spans="5:18" s="7" customFormat="1">
      <c r="E473" s="879" t="str" cm="1">
        <f t="array" ref="E473">INDEX(K473:P473, , F$2)</f>
        <v>Selected flag for depreciation</v>
      </c>
      <c r="J473" s="869"/>
      <c r="K473" s="880" t="s">
        <v>1423</v>
      </c>
      <c r="L473" s="880" t="s">
        <v>1424</v>
      </c>
      <c r="M473" s="875" t="s">
        <v>1425</v>
      </c>
      <c r="N473" s="880"/>
      <c r="O473" s="880"/>
      <c r="P473" s="869"/>
      <c r="Q473" s="45"/>
      <c r="R473" s="45"/>
    </row>
    <row r="474" spans="5:18">
      <c r="E474" s="895" t="str" cm="1">
        <f t="array" ref="E474">INDEX(K474:P474, , F$2)</f>
        <v>into depreciation</v>
      </c>
      <c r="J474" s="894"/>
      <c r="K474" s="875" t="s">
        <v>1426</v>
      </c>
      <c r="L474" s="995" t="s">
        <v>1427</v>
      </c>
      <c r="M474" s="875" t="s">
        <v>1428</v>
      </c>
      <c r="N474" s="875"/>
      <c r="O474" s="875"/>
      <c r="P474" s="894"/>
      <c r="Q474" s="985"/>
      <c r="R474" s="985"/>
    </row>
    <row r="475" spans="5:18" s="7" customFormat="1">
      <c r="E475" s="879" t="str" cm="1">
        <f t="array" ref="E475">INDEX(K475:P475, , F$2)</f>
        <v>Positive</v>
      </c>
      <c r="J475" s="869"/>
      <c r="K475" s="880" t="s">
        <v>1429</v>
      </c>
      <c r="L475" s="880" t="s">
        <v>1429</v>
      </c>
      <c r="M475" s="875" t="s">
        <v>1430</v>
      </c>
      <c r="N475" s="880"/>
      <c r="O475" s="880"/>
      <c r="P475" s="869"/>
      <c r="Q475" s="45"/>
      <c r="R475" s="45"/>
    </row>
    <row r="476" spans="5:18" s="7" customFormat="1">
      <c r="E476" s="879" t="str" cm="1">
        <f t="array" ref="E476">INDEX(K476:P476, , F$2)</f>
        <v>paid</v>
      </c>
      <c r="J476" s="869"/>
      <c r="K476" s="880" t="s">
        <v>1431</v>
      </c>
      <c r="L476" s="880" t="s">
        <v>1432</v>
      </c>
      <c r="M476" s="875" t="s">
        <v>1433</v>
      </c>
      <c r="N476" s="880"/>
      <c r="O476" s="880"/>
      <c r="P476" s="869"/>
      <c r="Q476" s="45"/>
      <c r="R476" s="45"/>
    </row>
    <row r="477" spans="5:18" s="7" customFormat="1">
      <c r="E477" s="879" t="str" cm="1">
        <f t="array" ref="E477">INDEX(K477:P477, , F$2)</f>
        <v>Authors</v>
      </c>
      <c r="J477" s="869"/>
      <c r="K477" s="880" t="s">
        <v>1434</v>
      </c>
      <c r="L477" s="880" t="s">
        <v>1435</v>
      </c>
      <c r="M477" s="875" t="s">
        <v>1436</v>
      </c>
      <c r="N477" s="880"/>
      <c r="O477" s="880"/>
      <c r="P477" s="869"/>
      <c r="Q477" s="45"/>
      <c r="R477" s="45"/>
    </row>
    <row r="478" spans="5:18" s="7" customFormat="1">
      <c r="E478" s="879" t="str" cm="1">
        <f t="array" ref="E478">INDEX(K478:P478, , F$2)</f>
        <v>Contact in IMF FAD</v>
      </c>
      <c r="J478" s="869"/>
      <c r="K478" s="880" t="s">
        <v>1437</v>
      </c>
      <c r="L478" s="880" t="s">
        <v>1438</v>
      </c>
      <c r="M478" s="875" t="s">
        <v>1439</v>
      </c>
      <c r="N478" s="880"/>
      <c r="O478" s="880"/>
      <c r="P478" s="869"/>
      <c r="Q478" s="45"/>
      <c r="R478" s="45"/>
    </row>
    <row r="479" spans="5:18" s="7" customFormat="1">
      <c r="E479" s="879" t="str" cm="1">
        <f t="array" ref="E479">INDEX(K479:P479, , F$2)</f>
        <v>Owner</v>
      </c>
      <c r="J479" s="869"/>
      <c r="K479" s="880" t="s">
        <v>1440</v>
      </c>
      <c r="L479" s="880" t="s">
        <v>1441</v>
      </c>
      <c r="M479" s="875" t="s">
        <v>1442</v>
      </c>
      <c r="N479" s="880"/>
      <c r="O479" s="880"/>
      <c r="P479" s="869"/>
      <c r="Q479" s="45"/>
      <c r="R479" s="45"/>
    </row>
    <row r="480" spans="5:18" s="7" customFormat="1">
      <c r="E480" s="879" t="str" cm="1">
        <f t="array" ref="E480">INDEX(K480:P480, , F$2)</f>
        <v>Overall checks</v>
      </c>
      <c r="J480" s="869"/>
      <c r="K480" s="880" t="s">
        <v>1443</v>
      </c>
      <c r="L480" s="880" t="s">
        <v>1444</v>
      </c>
      <c r="M480" s="875" t="s">
        <v>1445</v>
      </c>
      <c r="N480" s="880"/>
      <c r="O480" s="880"/>
      <c r="P480" s="869"/>
      <c r="Q480" s="45"/>
      <c r="R480" s="45"/>
    </row>
    <row r="481" spans="5:18" s="7" customFormat="1">
      <c r="E481" s="879" t="str" cm="1">
        <f t="array" ref="E481">INDEX(K481:P481, , F$2)</f>
        <v>Changes</v>
      </c>
      <c r="J481" s="869"/>
      <c r="K481" s="880" t="s">
        <v>1446</v>
      </c>
      <c r="L481" s="880" t="s">
        <v>1447</v>
      </c>
      <c r="M481" s="875" t="s">
        <v>1448</v>
      </c>
      <c r="N481" s="880"/>
      <c r="O481" s="880"/>
      <c r="P481" s="869"/>
      <c r="Q481" s="45"/>
      <c r="R481" s="45"/>
    </row>
    <row r="482" spans="5:18" s="7" customFormat="1">
      <c r="E482" s="879" t="str" cm="1">
        <f t="array" ref="E482">INDEX(K482:P482, , F$2)</f>
        <v>Language</v>
      </c>
      <c r="J482" s="869"/>
      <c r="K482" s="880" t="s">
        <v>1449</v>
      </c>
      <c r="L482" s="880" t="s">
        <v>1450</v>
      </c>
      <c r="M482" s="875" t="s">
        <v>1451</v>
      </c>
      <c r="N482" s="880"/>
      <c r="O482" s="880"/>
      <c r="P482" s="869"/>
      <c r="Q482" s="45"/>
      <c r="R482" s="45"/>
    </row>
    <row r="483" spans="5:18" s="7" customFormat="1">
      <c r="E483" s="879" t="str" cm="1">
        <f t="array" ref="E483">INDEX(K483:P483, , F$2)</f>
        <v>Fiscal regime selected</v>
      </c>
      <c r="J483" s="869"/>
      <c r="K483" s="880" t="s">
        <v>1452</v>
      </c>
      <c r="L483" s="880" t="s">
        <v>1453</v>
      </c>
      <c r="M483" s="875" t="s">
        <v>1454</v>
      </c>
      <c r="N483" s="880"/>
      <c r="O483" s="880"/>
      <c r="P483" s="869"/>
      <c r="Q483" s="45"/>
      <c r="R483" s="45"/>
    </row>
    <row r="484" spans="5:18" s="7" customFormat="1">
      <c r="E484" s="879" t="str" cm="1">
        <f t="array" ref="E484">INDEX(K484:P484, , F$2)</f>
        <v>Selected project</v>
      </c>
      <c r="J484" s="869"/>
      <c r="K484" s="880" t="s">
        <v>1455</v>
      </c>
      <c r="L484" s="880" t="s">
        <v>1456</v>
      </c>
      <c r="M484" s="875" t="s">
        <v>1457</v>
      </c>
      <c r="N484" s="880"/>
      <c r="O484" s="880"/>
      <c r="P484" s="869"/>
      <c r="Q484" s="45"/>
      <c r="R484" s="45"/>
    </row>
    <row r="485" spans="5:18" s="7" customFormat="1">
      <c r="E485" s="879" t="str" cm="1">
        <f t="array" ref="E485">INDEX(K485:P485, , F$2)</f>
        <v>Prices (constant real terms)</v>
      </c>
      <c r="J485" s="869"/>
      <c r="K485" s="880" t="s">
        <v>1458</v>
      </c>
      <c r="L485" s="880" t="s">
        <v>1459</v>
      </c>
      <c r="M485" s="875" t="s">
        <v>1460</v>
      </c>
      <c r="N485" s="880"/>
      <c r="O485" s="880"/>
      <c r="P485" s="869"/>
      <c r="Q485" s="45"/>
      <c r="R485" s="45"/>
    </row>
    <row r="486" spans="5:18" s="7" customFormat="1">
      <c r="E486" s="879" t="str" cm="1">
        <f t="array" ref="E486">INDEX(K486:P486, , F$2)</f>
        <v>Gold</v>
      </c>
      <c r="J486" s="869"/>
      <c r="K486" s="880" t="s">
        <v>1461</v>
      </c>
      <c r="L486" s="880" t="s">
        <v>1462</v>
      </c>
      <c r="M486" s="875" t="s">
        <v>1463</v>
      </c>
      <c r="N486" s="880"/>
      <c r="O486" s="880"/>
      <c r="P486" s="869"/>
      <c r="Q486" s="45"/>
      <c r="R486" s="45"/>
    </row>
    <row r="487" spans="5:18" s="7" customFormat="1">
      <c r="E487" s="879" t="str" cm="1">
        <f t="array" ref="E487">INDEX(K487:P487, , F$2)</f>
        <v>Iron Ore</v>
      </c>
      <c r="J487" s="869"/>
      <c r="K487" s="880" t="s">
        <v>1464</v>
      </c>
      <c r="L487" s="880" t="s">
        <v>1465</v>
      </c>
      <c r="M487" s="875" t="s">
        <v>1466</v>
      </c>
      <c r="N487" s="880"/>
      <c r="O487" s="880"/>
      <c r="P487" s="869"/>
      <c r="Q487" s="45"/>
      <c r="R487" s="45"/>
    </row>
    <row r="488" spans="5:18" s="7" customFormat="1">
      <c r="E488" s="879" t="str" cm="1">
        <f t="array" ref="E488">INDEX(K488:P488, , F$2)</f>
        <v>Diamond</v>
      </c>
      <c r="J488" s="869"/>
      <c r="K488" s="880" t="s">
        <v>1467</v>
      </c>
      <c r="L488" s="880" t="s">
        <v>1468</v>
      </c>
      <c r="M488" s="875" t="s">
        <v>1469</v>
      </c>
      <c r="N488" s="880"/>
      <c r="O488" s="880"/>
      <c r="P488" s="869"/>
      <c r="Q488" s="45"/>
      <c r="R488" s="45"/>
    </row>
    <row r="489" spans="5:18" s="7" customFormat="1">
      <c r="E489" s="879" t="str" cm="1">
        <f t="array" ref="E489">INDEX(K489:P489, , F$2)</f>
        <v>Coal</v>
      </c>
      <c r="J489" s="869"/>
      <c r="K489" s="880" t="s">
        <v>1470</v>
      </c>
      <c r="L489" s="880" t="s">
        <v>1471</v>
      </c>
      <c r="M489" s="875" t="s">
        <v>1472</v>
      </c>
      <c r="N489" s="880"/>
      <c r="O489" s="880"/>
      <c r="P489" s="869"/>
      <c r="Q489" s="45"/>
      <c r="R489" s="45"/>
    </row>
    <row r="490" spans="5:18" s="7" customFormat="1">
      <c r="E490" s="879" t="str" cm="1">
        <f t="array" ref="E490">INDEX(K490:P490, , F$2)</f>
        <v xml:space="preserve">OtherMineral </v>
      </c>
      <c r="J490" s="869"/>
      <c r="K490" s="880" t="s">
        <v>1473</v>
      </c>
      <c r="L490" s="880" t="s">
        <v>1474</v>
      </c>
      <c r="M490" s="875" t="s">
        <v>1475</v>
      </c>
      <c r="N490" s="880"/>
      <c r="O490" s="880"/>
      <c r="P490" s="869"/>
      <c r="Q490" s="45"/>
      <c r="R490" s="45"/>
    </row>
    <row r="491" spans="5:18" s="7" customFormat="1">
      <c r="E491" s="879" t="str" cm="1">
        <f t="array" ref="E491">INDEX(K491:P491, , F$2)</f>
        <v>Price sensitivity</v>
      </c>
      <c r="J491" s="869"/>
      <c r="K491" s="880" t="s">
        <v>1476</v>
      </c>
      <c r="L491" s="880" t="s">
        <v>1477</v>
      </c>
      <c r="M491" s="875" t="s">
        <v>1478</v>
      </c>
      <c r="N491" s="880"/>
      <c r="O491" s="880"/>
      <c r="P491" s="869"/>
      <c r="Q491" s="45"/>
      <c r="R491" s="45"/>
    </row>
    <row r="492" spans="5:18" s="7" customFormat="1">
      <c r="E492" s="879" t="str" cm="1">
        <f t="array" ref="E492">INDEX(K492:P492, , F$2)</f>
        <v>Production sensitivity</v>
      </c>
      <c r="J492" s="869"/>
      <c r="K492" s="880" t="s">
        <v>1479</v>
      </c>
      <c r="L492" s="880" t="s">
        <v>1480</v>
      </c>
      <c r="M492" s="875" t="s">
        <v>1481</v>
      </c>
      <c r="N492" s="880"/>
      <c r="O492" s="880"/>
      <c r="P492" s="869"/>
      <c r="Q492" s="45"/>
      <c r="R492" s="45"/>
    </row>
    <row r="493" spans="5:18" s="7" customFormat="1">
      <c r="E493" s="879" t="str" cm="1">
        <f t="array" ref="E493">INDEX(K493:P493, , F$2)</f>
        <v>Exploration cost sensitivity</v>
      </c>
      <c r="J493" s="869"/>
      <c r="K493" s="880" t="s">
        <v>1482</v>
      </c>
      <c r="L493" s="880" t="s">
        <v>1483</v>
      </c>
      <c r="M493" s="875" t="s">
        <v>1484</v>
      </c>
      <c r="N493" s="880"/>
      <c r="O493" s="880"/>
      <c r="P493" s="869"/>
      <c r="Q493" s="45"/>
      <c r="R493" s="45"/>
    </row>
    <row r="494" spans="5:18" ht="30">
      <c r="E494" s="895" t="str" cm="1">
        <f t="array" ref="E494">INDEX(K494:P494, , F$2)</f>
        <v xml:space="preserve">Capex sensitivity (Development; Replacement; Decommissioning) </v>
      </c>
      <c r="J494" s="894"/>
      <c r="K494" s="875" t="s">
        <v>1485</v>
      </c>
      <c r="L494" s="995" t="s">
        <v>1486</v>
      </c>
      <c r="M494" s="875" t="s">
        <v>1487</v>
      </c>
      <c r="N494" s="875"/>
      <c r="O494" s="875"/>
      <c r="P494" s="894"/>
      <c r="Q494" s="985"/>
      <c r="R494" s="985"/>
    </row>
    <row r="495" spans="5:18" s="7" customFormat="1">
      <c r="E495" s="879" t="str" cm="1">
        <f t="array" ref="E495">INDEX(K495:P495, , F$2)</f>
        <v>Operating cost sensitivity</v>
      </c>
      <c r="J495" s="869"/>
      <c r="K495" s="880" t="s">
        <v>1488</v>
      </c>
      <c r="L495" s="880" t="s">
        <v>1489</v>
      </c>
      <c r="M495" s="875" t="s">
        <v>1490</v>
      </c>
      <c r="N495" s="880"/>
      <c r="O495" s="880"/>
      <c r="P495" s="869"/>
      <c r="Q495" s="45"/>
      <c r="R495" s="45"/>
    </row>
    <row r="496" spans="5:18" s="7" customFormat="1">
      <c r="E496" s="879" t="str" cm="1">
        <f t="array" ref="E496">INDEX(K496:P496, , F$2)</f>
        <v>Discount rate</v>
      </c>
      <c r="J496" s="869"/>
      <c r="K496" s="880" t="s">
        <v>1491</v>
      </c>
      <c r="L496" s="880" t="s">
        <v>1492</v>
      </c>
      <c r="M496" s="875" t="s">
        <v>1493</v>
      </c>
      <c r="N496" s="880"/>
      <c r="O496" s="880"/>
      <c r="P496" s="869"/>
      <c r="Q496" s="45"/>
      <c r="R496" s="45"/>
    </row>
    <row r="497" spans="5:18" s="7" customFormat="1">
      <c r="E497" s="879" t="str" cm="1">
        <f t="array" ref="E497">INDEX(K497:P497, , F$2)</f>
        <v>Chart details</v>
      </c>
      <c r="J497" s="869"/>
      <c r="K497" s="880" t="s">
        <v>1494</v>
      </c>
      <c r="L497" s="880" t="s">
        <v>1495</v>
      </c>
      <c r="M497" s="875" t="s">
        <v>1496</v>
      </c>
      <c r="N497" s="880"/>
      <c r="O497" s="880"/>
      <c r="P497" s="869"/>
      <c r="Q497" s="45"/>
      <c r="R497" s="45"/>
    </row>
    <row r="498" spans="5:18" s="7" customFormat="1">
      <c r="E498" s="879" t="str" cm="1">
        <f t="array" ref="E498">INDEX(K498:P498, , F$2)</f>
        <v>Chart title</v>
      </c>
      <c r="J498" s="869"/>
      <c r="K498" s="880" t="s">
        <v>1497</v>
      </c>
      <c r="L498" s="880" t="s">
        <v>1498</v>
      </c>
      <c r="M498" s="875" t="s">
        <v>1499</v>
      </c>
      <c r="N498" s="880"/>
      <c r="O498" s="880"/>
      <c r="P498" s="869"/>
      <c r="Q498" s="45"/>
      <c r="R498" s="45"/>
    </row>
    <row r="499" spans="5:18" s="7" customFormat="1">
      <c r="E499" s="879" t="str" cm="1">
        <f t="array" ref="E499">INDEX(K499:P499, , F$2)</f>
        <v>Vertical axis</v>
      </c>
      <c r="J499" s="869"/>
      <c r="K499" s="880" t="s">
        <v>1500</v>
      </c>
      <c r="L499" s="880" t="s">
        <v>1501</v>
      </c>
      <c r="M499" s="875" t="s">
        <v>1502</v>
      </c>
      <c r="N499" s="880"/>
      <c r="O499" s="880"/>
      <c r="P499" s="869"/>
      <c r="Q499" s="45"/>
      <c r="R499" s="45"/>
    </row>
    <row r="500" spans="5:18" s="7" customFormat="1">
      <c r="E500" s="879" t="str" cm="1">
        <f t="array" ref="E500">INDEX(K500:P500, , F$2)</f>
        <v>Horizontal axis</v>
      </c>
      <c r="J500" s="869"/>
      <c r="K500" s="880" t="s">
        <v>1503</v>
      </c>
      <c r="L500" s="880" t="s">
        <v>1504</v>
      </c>
      <c r="M500" s="875" t="s">
        <v>1505</v>
      </c>
      <c r="N500" s="880"/>
      <c r="O500" s="880"/>
      <c r="P500" s="869"/>
      <c r="Q500" s="45"/>
      <c r="R500" s="45"/>
    </row>
    <row r="501" spans="5:18" s="7" customFormat="1">
      <c r="E501" s="879" t="str" cm="1">
        <f t="array" ref="E501">INDEX(K501:P501, , F$2)</f>
        <v>Text box</v>
      </c>
      <c r="J501" s="869"/>
      <c r="K501" s="880" t="s">
        <v>1506</v>
      </c>
      <c r="L501" s="880" t="s">
        <v>1507</v>
      </c>
      <c r="M501" s="875" t="s">
        <v>1508</v>
      </c>
      <c r="N501" s="880"/>
      <c r="O501" s="880"/>
      <c r="P501" s="869"/>
      <c r="Q501" s="45"/>
      <c r="R501" s="45"/>
    </row>
    <row r="502" spans="5:18" s="7" customFormat="1">
      <c r="E502" s="879" t="str" cm="1">
        <f t="array" ref="E502">INDEX(K502:P502, , F$2)</f>
        <v>Named ranges used in macro</v>
      </c>
      <c r="J502" s="869"/>
      <c r="K502" s="880" t="s">
        <v>1509</v>
      </c>
      <c r="L502" s="880" t="s">
        <v>1510</v>
      </c>
      <c r="M502" s="875" t="s">
        <v>1511</v>
      </c>
      <c r="N502" s="880"/>
      <c r="O502" s="880"/>
      <c r="P502" s="869"/>
      <c r="Q502" s="45"/>
      <c r="R502" s="45"/>
    </row>
    <row r="503" spans="5:18" s="7" customFormat="1">
      <c r="E503" s="879" t="str" cm="1">
        <f t="array" ref="E503">INDEX(K503:P503, , F$2)</f>
        <v>Text box 1</v>
      </c>
      <c r="J503" s="869"/>
      <c r="K503" s="880" t="s">
        <v>1512</v>
      </c>
      <c r="L503" s="880" t="s">
        <v>1513</v>
      </c>
      <c r="M503" s="875" t="s">
        <v>1514</v>
      </c>
      <c r="N503" s="880"/>
      <c r="O503" s="880"/>
      <c r="P503" s="869"/>
      <c r="Q503" s="45"/>
      <c r="R503" s="45"/>
    </row>
    <row r="504" spans="5:18" s="7" customFormat="1">
      <c r="E504" s="879" t="str" cm="1">
        <f t="array" ref="E504">INDEX(K504:P504, , F$2)</f>
        <v>Project</v>
      </c>
      <c r="J504" s="869"/>
      <c r="K504" s="880" t="s">
        <v>1515</v>
      </c>
      <c r="L504" s="880" t="s">
        <v>1516</v>
      </c>
      <c r="M504" s="875" t="s">
        <v>1517</v>
      </c>
      <c r="N504" s="880"/>
      <c r="O504" s="880"/>
      <c r="P504" s="869"/>
      <c r="Q504" s="45"/>
      <c r="R504" s="45"/>
    </row>
    <row r="505" spans="5:18" s="7" customFormat="1">
      <c r="E505" s="879" t="str" cm="1">
        <f t="array" ref="E505">INDEX(K505:P505, , F$2)</f>
        <v>Lender (Parent company share)</v>
      </c>
      <c r="J505" s="869"/>
      <c r="K505" s="880" t="s">
        <v>1518</v>
      </c>
      <c r="L505" s="880" t="s">
        <v>1519</v>
      </c>
      <c r="M505" s="875" t="s">
        <v>1520</v>
      </c>
      <c r="N505" s="880"/>
      <c r="O505" s="880"/>
      <c r="P505" s="869"/>
      <c r="Q505" s="45"/>
      <c r="R505" s="45"/>
    </row>
    <row r="506" spans="5:18" s="7" customFormat="1">
      <c r="E506" s="879" t="str" cm="1">
        <f t="array" ref="E506">INDEX(K506:P506, , F$2)</f>
        <v>Mining company + lender</v>
      </c>
      <c r="J506" s="869"/>
      <c r="K506" s="880" t="s">
        <v>1521</v>
      </c>
      <c r="L506" s="880" t="s">
        <v>1522</v>
      </c>
      <c r="M506" s="875" t="s">
        <v>1523</v>
      </c>
      <c r="N506" s="880"/>
      <c r="O506" s="880"/>
      <c r="P506" s="869"/>
      <c r="Q506" s="45"/>
      <c r="R506" s="45"/>
    </row>
    <row r="507" spans="5:18">
      <c r="E507" s="895" t="str" cm="1">
        <f t="array" ref="E507">INDEX(K507:P507, , F$2)</f>
        <v>Government excl. participation</v>
      </c>
      <c r="J507" s="894"/>
      <c r="K507" s="875" t="s">
        <v>1524</v>
      </c>
      <c r="L507" s="995" t="s">
        <v>1525</v>
      </c>
      <c r="M507" s="875" t="s">
        <v>1526</v>
      </c>
      <c r="N507" s="875"/>
      <c r="O507" s="875"/>
      <c r="P507" s="894"/>
      <c r="Q507" s="985"/>
      <c r="R507" s="985"/>
    </row>
    <row r="508" spans="5:18">
      <c r="E508" s="895" t="str" cm="1">
        <f t="array" ref="E508">INDEX(K508:P508, , F$2)</f>
        <v>Government incl. participation</v>
      </c>
      <c r="J508" s="894"/>
      <c r="K508" s="875" t="s">
        <v>1527</v>
      </c>
      <c r="L508" s="995" t="s">
        <v>1528</v>
      </c>
      <c r="M508" s="875" t="s">
        <v>1529</v>
      </c>
      <c r="N508" s="875"/>
      <c r="O508" s="875"/>
      <c r="P508" s="894"/>
      <c r="Q508" s="985"/>
      <c r="R508" s="985"/>
    </row>
    <row r="509" spans="5:18">
      <c r="E509" s="895" t="str" cm="1">
        <f t="array" ref="E509">INDEX(K509:P509, , F$2)</f>
        <v>Government share (AETR)</v>
      </c>
      <c r="J509" s="894"/>
      <c r="K509" s="875" t="s">
        <v>1530</v>
      </c>
      <c r="L509" s="995" t="s">
        <v>1531</v>
      </c>
      <c r="M509" s="875" t="s">
        <v>1532</v>
      </c>
      <c r="N509" s="875"/>
      <c r="O509" s="875"/>
      <c r="P509" s="894"/>
      <c r="Q509" s="985"/>
      <c r="R509" s="985"/>
    </row>
    <row r="510" spans="5:18">
      <c r="E510" s="895" t="str" cm="1">
        <f t="array" ref="E510">INDEX(K510:P510, , F$2)</f>
        <v>Government share of project benefits</v>
      </c>
      <c r="J510" s="894"/>
      <c r="K510" s="875" t="s">
        <v>1533</v>
      </c>
      <c r="L510" s="995" t="s">
        <v>1534</v>
      </c>
      <c r="M510" s="875" t="s">
        <v>1535</v>
      </c>
      <c r="N510" s="875"/>
      <c r="O510" s="875"/>
      <c r="P510" s="894"/>
      <c r="Q510" s="985"/>
      <c r="R510" s="985"/>
    </row>
    <row r="511" spans="5:18">
      <c r="E511" s="895" t="str" cm="1">
        <f t="array" ref="E511">INDEX(K511:P511, , F$2)</f>
        <v>Net decommissioning fund</v>
      </c>
      <c r="J511" s="894"/>
      <c r="K511" s="875" t="s">
        <v>1536</v>
      </c>
      <c r="L511" s="995" t="s">
        <v>1537</v>
      </c>
      <c r="M511" s="875" t="s">
        <v>1538</v>
      </c>
      <c r="N511" s="875"/>
      <c r="O511" s="875"/>
      <c r="P511" s="894"/>
      <c r="Q511" s="985"/>
      <c r="R511" s="985"/>
    </row>
    <row r="512" spans="5:18" s="7" customFormat="1">
      <c r="E512" s="879" t="str" cm="1">
        <f t="array" ref="E512">INDEX(K512:P512, , F$2)</f>
        <v>AETR</v>
      </c>
      <c r="J512" s="869"/>
      <c r="K512" s="880" t="s">
        <v>1539</v>
      </c>
      <c r="L512" s="880" t="s">
        <v>1540</v>
      </c>
      <c r="M512" s="875" t="s">
        <v>1540</v>
      </c>
      <c r="N512" s="880"/>
      <c r="O512" s="880"/>
      <c r="P512" s="869"/>
      <c r="Q512" s="45"/>
      <c r="R512" s="45"/>
    </row>
    <row r="513" spans="5:18" s="7" customFormat="1">
      <c r="E513" s="879" t="str" cm="1">
        <f t="array" ref="E513">INDEX(K513:P513, , F$2)</f>
        <v>Fiscal regime</v>
      </c>
      <c r="J513" s="869"/>
      <c r="K513" s="880" t="s">
        <v>1541</v>
      </c>
      <c r="L513" s="880" t="s">
        <v>1542</v>
      </c>
      <c r="M513" s="875" t="s">
        <v>1543</v>
      </c>
      <c r="N513" s="880"/>
      <c r="O513" s="880"/>
      <c r="P513" s="869"/>
      <c r="Q513" s="45"/>
      <c r="R513" s="45"/>
    </row>
    <row r="514" spans="5:18">
      <c r="E514" s="895" t="str" cm="1">
        <f t="array" ref="E514">INDEX(K514:P514, , F$2)</f>
        <v>Government revenues data table</v>
      </c>
      <c r="J514" s="894"/>
      <c r="K514" s="875" t="s">
        <v>1544</v>
      </c>
      <c r="L514" s="995" t="s">
        <v>1545</v>
      </c>
      <c r="M514" s="875" t="s">
        <v>1546</v>
      </c>
      <c r="N514" s="875"/>
      <c r="O514" s="875"/>
      <c r="P514" s="894"/>
      <c r="Q514" s="985"/>
      <c r="R514" s="985"/>
    </row>
    <row r="515" spans="5:18">
      <c r="E515" s="895" t="str" cm="1">
        <f t="array" ref="E515">INDEX(K515:P515, , F$2)</f>
        <v>Live results</v>
      </c>
      <c r="J515" s="894"/>
      <c r="K515" s="875" t="s">
        <v>1547</v>
      </c>
      <c r="L515" s="995" t="s">
        <v>1548</v>
      </c>
      <c r="M515" s="875" t="s">
        <v>1549</v>
      </c>
      <c r="N515" s="875"/>
      <c r="O515" s="875"/>
      <c r="P515" s="894"/>
      <c r="Q515" s="985"/>
      <c r="R515" s="985"/>
    </row>
    <row r="516" spans="5:18" s="7" customFormat="1">
      <c r="E516" s="879" t="str" cm="1">
        <f t="array" ref="E516">INDEX(K516:P516, , F$2)</f>
        <v>Select regimes to compare</v>
      </c>
      <c r="J516" s="869"/>
      <c r="K516" s="880" t="s">
        <v>1550</v>
      </c>
      <c r="L516" s="880" t="s">
        <v>1551</v>
      </c>
      <c r="M516" s="875" t="s">
        <v>1552</v>
      </c>
      <c r="N516" s="880"/>
      <c r="O516" s="880"/>
      <c r="P516" s="869"/>
      <c r="Q516" s="45"/>
      <c r="R516" s="45"/>
    </row>
    <row r="517" spans="5:18" s="7" customFormat="1">
      <c r="E517" s="879" t="str" cm="1">
        <f t="array" ref="E517">INDEX(K517:P517, , F$2)</f>
        <v>Difference between two regimes</v>
      </c>
      <c r="J517" s="869"/>
      <c r="K517" s="880" t="s">
        <v>1553</v>
      </c>
      <c r="L517" s="880" t="s">
        <v>1554</v>
      </c>
      <c r="M517" s="875" t="s">
        <v>1555</v>
      </c>
      <c r="N517" s="880"/>
      <c r="O517" s="880"/>
      <c r="P517" s="869"/>
      <c r="Q517" s="45"/>
      <c r="R517" s="45"/>
    </row>
    <row r="518" spans="5:18" s="7" customFormat="1">
      <c r="E518" s="879" t="str" cm="1">
        <f t="array" ref="E518">INDEX(K518:P518, , F$2)</f>
        <v>Cumulative difference</v>
      </c>
      <c r="J518" s="869"/>
      <c r="K518" s="880" t="s">
        <v>1556</v>
      </c>
      <c r="L518" s="880" t="s">
        <v>1557</v>
      </c>
      <c r="M518" s="875" t="s">
        <v>1558</v>
      </c>
      <c r="N518" s="880"/>
      <c r="O518" s="880"/>
      <c r="P518" s="869"/>
      <c r="Q518" s="45"/>
      <c r="R518" s="45"/>
    </row>
    <row r="519" spans="5:18" s="7" customFormat="1">
      <c r="E519" s="879" t="str" cm="1">
        <f t="array" ref="E519">INDEX(K519:P519, , F$2)</f>
        <v>Select metric</v>
      </c>
      <c r="J519" s="869"/>
      <c r="K519" s="880" t="s">
        <v>1559</v>
      </c>
      <c r="L519" s="880" t="s">
        <v>1560</v>
      </c>
      <c r="M519" s="875" t="s">
        <v>1561</v>
      </c>
      <c r="N519" s="880"/>
      <c r="O519" s="880"/>
      <c r="P519" s="869"/>
      <c r="Q519" s="45"/>
      <c r="R519" s="45"/>
    </row>
    <row r="520" spans="5:18" s="7" customFormat="1">
      <c r="E520" s="879" t="str" cm="1">
        <f t="array" ref="E520">INDEX(K520:P520, , F$2)</f>
        <v>Create range of mineral prices</v>
      </c>
      <c r="J520" s="869"/>
      <c r="K520" s="880" t="s">
        <v>1562</v>
      </c>
      <c r="L520" s="880" t="s">
        <v>1563</v>
      </c>
      <c r="M520" s="875" t="s">
        <v>1564</v>
      </c>
      <c r="N520" s="880"/>
      <c r="O520" s="880"/>
      <c r="P520" s="869"/>
      <c r="Q520" s="45"/>
      <c r="R520" s="45"/>
    </row>
    <row r="521" spans="5:18" s="7" customFormat="1">
      <c r="E521" s="879" t="str" cm="1">
        <f t="array" ref="E521">INDEX(K521:P521, , F$2)</f>
        <v>Price label</v>
      </c>
      <c r="J521" s="869"/>
      <c r="K521" s="880" t="s">
        <v>1565</v>
      </c>
      <c r="L521" s="880" t="s">
        <v>1566</v>
      </c>
      <c r="M521" s="875" t="s">
        <v>1567</v>
      </c>
      <c r="N521" s="880"/>
      <c r="O521" s="880"/>
      <c r="P521" s="869"/>
      <c r="Q521" s="45"/>
      <c r="R521" s="45"/>
    </row>
    <row r="522" spans="5:18" s="7" customFormat="1">
      <c r="E522" s="879" t="str" cm="1">
        <f t="array" ref="E522">INDEX(K522:P522, , F$2)</f>
        <v>Starting price multiplier</v>
      </c>
      <c r="J522" s="869"/>
      <c r="K522" s="880" t="s">
        <v>1568</v>
      </c>
      <c r="L522" s="880" t="s">
        <v>1569</v>
      </c>
      <c r="M522" s="875" t="s">
        <v>1570</v>
      </c>
      <c r="N522" s="880"/>
      <c r="O522" s="880"/>
      <c r="P522" s="869"/>
      <c r="Q522" s="45"/>
      <c r="R522" s="45"/>
    </row>
    <row r="523" spans="5:18" s="7" customFormat="1">
      <c r="E523" s="879" t="str" cm="1">
        <f t="array" ref="E523">INDEX(K523:P523, , F$2)</f>
        <v>Increment</v>
      </c>
      <c r="J523" s="869"/>
      <c r="K523" s="880" t="s">
        <v>1571</v>
      </c>
      <c r="L523" s="880" t="s">
        <v>1572</v>
      </c>
      <c r="M523" s="875" t="s">
        <v>1573</v>
      </c>
      <c r="N523" s="880"/>
      <c r="O523" s="880"/>
      <c r="P523" s="869"/>
      <c r="Q523" s="45"/>
      <c r="R523" s="45"/>
    </row>
    <row r="524" spans="5:18">
      <c r="E524" s="895" t="str" cm="1">
        <f t="array" ref="E524">INDEX(K524:P524, , F$2)</f>
        <v>Data table to perform sensitivity analysis</v>
      </c>
      <c r="J524" s="894"/>
      <c r="K524" s="875" t="s">
        <v>1574</v>
      </c>
      <c r="L524" s="995" t="s">
        <v>1575</v>
      </c>
      <c r="M524" s="875" t="s">
        <v>1576</v>
      </c>
      <c r="N524" s="875"/>
      <c r="O524" s="875"/>
      <c r="P524" s="894"/>
      <c r="Q524" s="985"/>
      <c r="R524" s="985"/>
    </row>
    <row r="525" spans="5:18" s="7" customFormat="1">
      <c r="E525" s="879" t="str" cm="1">
        <f t="array" ref="E525">INDEX(K525:P525, , F$2)</f>
        <v>Selected regimes (from above)</v>
      </c>
      <c r="J525" s="869"/>
      <c r="K525" s="880" t="s">
        <v>1577</v>
      </c>
      <c r="L525" s="880" t="s">
        <v>1578</v>
      </c>
      <c r="M525" s="875" t="s">
        <v>1579</v>
      </c>
      <c r="N525" s="880"/>
      <c r="O525" s="880"/>
      <c r="P525" s="869"/>
      <c r="Q525" s="45"/>
      <c r="R525" s="45"/>
    </row>
    <row r="526" spans="5:18">
      <c r="E526" s="895" t="str" cm="1">
        <f t="array" ref="E526">INDEX(K526:P526, , F$2)</f>
        <v>Data table to generate pre-tax IRR</v>
      </c>
      <c r="J526" s="894"/>
      <c r="K526" s="875" t="s">
        <v>1580</v>
      </c>
      <c r="L526" s="995" t="s">
        <v>1581</v>
      </c>
      <c r="M526" s="875" t="s">
        <v>1582</v>
      </c>
      <c r="N526" s="875"/>
      <c r="O526" s="875"/>
      <c r="P526" s="894"/>
      <c r="Q526" s="985"/>
      <c r="R526" s="985"/>
    </row>
    <row r="527" spans="5:18">
      <c r="E527" s="895" t="str" cm="1">
        <f t="array" ref="E527">INDEX(K527:P527, , F$2)</f>
        <v>Investor hurdle Rate (real terms)</v>
      </c>
      <c r="J527" s="894"/>
      <c r="K527" s="875" t="s">
        <v>1583</v>
      </c>
      <c r="L527" s="995" t="s">
        <v>1584</v>
      </c>
      <c r="M527" s="875" t="s">
        <v>1585</v>
      </c>
      <c r="N527" s="875"/>
      <c r="O527" s="875"/>
      <c r="P527" s="894"/>
      <c r="Q527" s="985"/>
      <c r="R527" s="985"/>
    </row>
    <row r="528" spans="5:18" s="7" customFormat="1">
      <c r="E528" s="879" t="str" cm="1">
        <f t="array" ref="E528">INDEX(K528:P528, , F$2)</f>
        <v>Regime count</v>
      </c>
      <c r="J528" s="869"/>
      <c r="K528" s="880" t="s">
        <v>1586</v>
      </c>
      <c r="L528" s="880" t="s">
        <v>1587</v>
      </c>
      <c r="M528" s="875" t="s">
        <v>1588</v>
      </c>
      <c r="N528" s="880"/>
      <c r="O528" s="880"/>
      <c r="P528" s="869"/>
      <c r="Q528" s="45"/>
      <c r="R528" s="45"/>
    </row>
    <row r="529" spans="5:18" s="7" customFormat="1" ht="30">
      <c r="E529" s="879" t="str" cm="1">
        <f t="array" ref="E529">INDEX(K529:P529, , F$2)</f>
        <v>Difference from hurdle rate (used by macro)</v>
      </c>
      <c r="J529" s="869"/>
      <c r="K529" s="880" t="s">
        <v>1589</v>
      </c>
      <c r="L529" s="880" t="s">
        <v>1590</v>
      </c>
      <c r="M529" s="875" t="s">
        <v>1591</v>
      </c>
      <c r="N529" s="880"/>
      <c r="O529" s="880"/>
      <c r="P529" s="869"/>
      <c r="Q529" s="45"/>
      <c r="R529" s="45"/>
    </row>
    <row r="530" spans="5:18" s="7" customFormat="1">
      <c r="E530" s="879" t="str" cm="1">
        <f t="array" ref="E530">INDEX(K530:P530, , F$2)</f>
        <v>Marginal Effective Tax Rate (METR)</v>
      </c>
      <c r="J530" s="869"/>
      <c r="K530" s="880" t="s">
        <v>1592</v>
      </c>
      <c r="L530" s="880" t="s">
        <v>1593</v>
      </c>
      <c r="M530" s="875" t="s">
        <v>1594</v>
      </c>
      <c r="N530" s="880"/>
      <c r="O530" s="880"/>
      <c r="P530" s="869"/>
      <c r="Q530" s="45"/>
      <c r="R530" s="45"/>
    </row>
    <row r="531" spans="5:18" s="7" customFormat="1">
      <c r="E531" s="879" t="str" cm="1">
        <f t="array" ref="E531">INDEX(K531:P531, , F$2)</f>
        <v>This project example sheet name</v>
      </c>
      <c r="J531" s="869"/>
      <c r="K531" s="880" t="s">
        <v>47</v>
      </c>
      <c r="L531" s="880" t="s">
        <v>1595</v>
      </c>
      <c r="M531" s="875" t="s">
        <v>1596</v>
      </c>
      <c r="N531" s="880"/>
      <c r="O531" s="880"/>
      <c r="P531" s="869"/>
      <c r="Q531" s="45"/>
      <c r="R531" s="45"/>
    </row>
    <row r="532" spans="5:18">
      <c r="E532" s="895" t="str" cm="1">
        <f t="array" ref="E532">INDEX(K532:P532, , F$2)</f>
        <v>Transport and refining costs post-fiscal point</v>
      </c>
      <c r="J532" s="894"/>
      <c r="K532" s="875" t="s">
        <v>1597</v>
      </c>
      <c r="L532" s="995" t="s">
        <v>1598</v>
      </c>
      <c r="M532" s="875" t="s">
        <v>1599</v>
      </c>
      <c r="N532" s="875"/>
      <c r="O532" s="875"/>
      <c r="P532" s="894"/>
      <c r="Q532" s="985"/>
      <c r="R532" s="985"/>
    </row>
    <row r="533" spans="5:18" s="7" customFormat="1">
      <c r="E533" s="879" t="str" cm="1">
        <f t="array" ref="E533">INDEX(K533:P533, , F$2)</f>
        <v>Model first calendar year</v>
      </c>
      <c r="J533" s="869"/>
      <c r="K533" s="880" t="s">
        <v>1600</v>
      </c>
      <c r="L533" s="880" t="s">
        <v>1601</v>
      </c>
      <c r="M533" s="875" t="s">
        <v>1602</v>
      </c>
      <c r="N533" s="880"/>
      <c r="O533" s="880"/>
      <c r="P533" s="869"/>
      <c r="Q533" s="45"/>
      <c r="R533" s="45"/>
    </row>
    <row r="534" spans="5:18" s="7" customFormat="1">
      <c r="E534" s="879" t="str" cm="1">
        <f t="array" ref="E534">INDEX(K534:P534, , F$2)</f>
        <v>ELT applies</v>
      </c>
      <c r="J534" s="869"/>
      <c r="K534" s="880" t="s">
        <v>1603</v>
      </c>
      <c r="L534" s="880" t="s">
        <v>1604</v>
      </c>
      <c r="M534" s="875" t="s">
        <v>1605</v>
      </c>
      <c r="N534" s="880"/>
      <c r="O534" s="880"/>
      <c r="P534" s="869"/>
      <c r="Q534" s="45"/>
      <c r="R534" s="45"/>
    </row>
    <row r="535" spans="5:18" s="7" customFormat="1">
      <c r="E535" s="879" t="str" cm="1">
        <f t="array" ref="E535">INDEX(K535:P535, , F$2)</f>
        <v>Inflation rate</v>
      </c>
      <c r="J535" s="869"/>
      <c r="K535" s="880" t="s">
        <v>1606</v>
      </c>
      <c r="L535" s="880" t="s">
        <v>1607</v>
      </c>
      <c r="M535" s="875" t="s">
        <v>1608</v>
      </c>
      <c r="N535" s="880"/>
      <c r="O535" s="880"/>
      <c r="P535" s="869"/>
      <c r="Q535" s="45"/>
      <c r="R535" s="45"/>
    </row>
    <row r="536" spans="5:18">
      <c r="E536" s="895" t="str" cm="1">
        <f t="array" ref="E536">INDEX(K536:P536, , F$2)</f>
        <v>London Interbank Offered Rate</v>
      </c>
      <c r="J536" s="894"/>
      <c r="K536" s="875" t="s">
        <v>1609</v>
      </c>
      <c r="L536" s="995" t="s">
        <v>1610</v>
      </c>
      <c r="M536" s="875" t="s">
        <v>1611</v>
      </c>
      <c r="N536" s="875"/>
      <c r="O536" s="875"/>
      <c r="P536" s="894"/>
      <c r="Q536" s="985"/>
      <c r="R536" s="985"/>
    </row>
    <row r="537" spans="5:18" s="7" customFormat="1">
      <c r="E537" s="879" t="str" cm="1">
        <f t="array" ref="E537">INDEX(K537:P537, , F$2)</f>
        <v>LIBOR</v>
      </c>
      <c r="J537" s="869"/>
      <c r="K537" s="880" t="s">
        <v>1612</v>
      </c>
      <c r="L537" s="880" t="s">
        <v>1612</v>
      </c>
      <c r="M537" s="875" t="s">
        <v>1612</v>
      </c>
      <c r="N537" s="880"/>
      <c r="O537" s="880"/>
      <c r="P537" s="869"/>
      <c r="Q537" s="45"/>
      <c r="R537" s="45"/>
    </row>
    <row r="538" spans="5:18" s="7" customFormat="1">
      <c r="E538" s="879" t="str" cm="1">
        <f t="array" ref="E538">INDEX(K538:P538, , F$2)</f>
        <v xml:space="preserve">NPV label </v>
      </c>
      <c r="J538" s="869"/>
      <c r="K538" s="880" t="s">
        <v>1613</v>
      </c>
      <c r="L538" s="880" t="s">
        <v>1614</v>
      </c>
      <c r="M538" s="875" t="s">
        <v>1615</v>
      </c>
      <c r="N538" s="880"/>
      <c r="O538" s="880"/>
      <c r="P538" s="869"/>
      <c r="Q538" s="45"/>
      <c r="R538" s="45"/>
    </row>
    <row r="539" spans="5:18" s="7" customFormat="1">
      <c r="E539" s="879" t="str" cm="1">
        <f t="array" ref="E539">INDEX(K539:P539, , F$2)</f>
        <v>Short NPV label</v>
      </c>
      <c r="J539" s="869"/>
      <c r="K539" s="880" t="s">
        <v>1616</v>
      </c>
      <c r="L539" s="880" t="s">
        <v>1617</v>
      </c>
      <c r="M539" s="875" t="s">
        <v>1618</v>
      </c>
      <c r="N539" s="880"/>
      <c r="O539" s="880"/>
      <c r="P539" s="869"/>
      <c r="Q539" s="45"/>
      <c r="R539" s="45"/>
    </row>
    <row r="540" spans="5:18">
      <c r="E540" s="895" t="str" cm="1">
        <f t="array" ref="E540">INDEX(K540:P540, , F$2)</f>
        <v>Heat content per coal consumed</v>
      </c>
      <c r="J540" s="894"/>
      <c r="K540" s="875" t="s">
        <v>1619</v>
      </c>
      <c r="L540" s="995" t="s">
        <v>1620</v>
      </c>
      <c r="M540" s="875" t="s">
        <v>1621</v>
      </c>
      <c r="N540" s="875"/>
      <c r="O540" s="875"/>
      <c r="P540" s="894"/>
      <c r="Q540" s="985"/>
      <c r="R540" s="985"/>
    </row>
    <row r="541" spans="5:18" s="7" customFormat="1">
      <c r="E541" s="879" t="str" cm="1">
        <f t="array" ref="E541">INDEX(K541:P541, , F$2)</f>
        <v>Average carbon coefficient of coal combusted (EPA)</v>
      </c>
      <c r="J541" s="869"/>
      <c r="K541" s="880" t="s">
        <v>1622</v>
      </c>
      <c r="L541" s="880" t="s">
        <v>1623</v>
      </c>
      <c r="M541" s="875" t="s">
        <v>1624</v>
      </c>
      <c r="N541" s="880"/>
      <c r="O541" s="880"/>
      <c r="P541" s="869"/>
      <c r="Q541" s="45"/>
      <c r="R541" s="45"/>
    </row>
    <row r="542" spans="5:18">
      <c r="E542" s="895" t="str" cm="1">
        <f t="array" ref="E542">INDEX(K542:P542, , F$2)</f>
        <v>Ratio of molecular weight of carbon dioxide to carbon</v>
      </c>
      <c r="J542" s="894"/>
      <c r="K542" s="875" t="s">
        <v>1625</v>
      </c>
      <c r="L542" s="995" t="s">
        <v>1626</v>
      </c>
      <c r="M542" s="875" t="s">
        <v>1627</v>
      </c>
      <c r="N542" s="875"/>
      <c r="O542" s="875"/>
      <c r="P542" s="894"/>
      <c r="Q542" s="985"/>
      <c r="R542" s="985"/>
    </row>
    <row r="543" spans="5:18">
      <c r="E543" s="895" t="str" cm="1">
        <f t="array" ref="E543">INDEX(K543:P543, , F$2)</f>
        <v>Model check tolerance level</v>
      </c>
      <c r="J543" s="894"/>
      <c r="K543" s="875" t="s">
        <v>1628</v>
      </c>
      <c r="L543" s="995" t="s">
        <v>1629</v>
      </c>
      <c r="M543" s="875" t="s">
        <v>1630</v>
      </c>
      <c r="N543" s="875"/>
      <c r="O543" s="875"/>
      <c r="P543" s="894"/>
      <c r="Q543" s="985"/>
      <c r="R543" s="985"/>
    </row>
    <row r="544" spans="5:18" s="7" customFormat="1">
      <c r="E544" s="879" t="str" cm="1">
        <f t="array" ref="E544">INDEX(K544:P544, , F$2)</f>
        <v>Production days per year</v>
      </c>
      <c r="J544" s="869"/>
      <c r="K544" s="880" t="s">
        <v>1631</v>
      </c>
      <c r="L544" s="880" t="s">
        <v>1632</v>
      </c>
      <c r="M544" s="875" t="s">
        <v>1633</v>
      </c>
      <c r="N544" s="880"/>
      <c r="O544" s="880"/>
      <c r="P544" s="869"/>
      <c r="Q544" s="45"/>
      <c r="R544" s="45"/>
    </row>
    <row r="545" spans="5:18" s="7" customFormat="1">
      <c r="E545" s="879" t="str" cm="1">
        <f t="array" ref="E545">INDEX(K545:P545, , F$2)</f>
        <v>one thousand</v>
      </c>
      <c r="J545" s="869"/>
      <c r="K545" s="880" t="s">
        <v>1634</v>
      </c>
      <c r="L545" s="880" t="s">
        <v>1635</v>
      </c>
      <c r="M545" s="875" t="s">
        <v>1636</v>
      </c>
      <c r="N545" s="880"/>
      <c r="O545" s="880"/>
      <c r="P545" s="869"/>
      <c r="Q545" s="45"/>
      <c r="R545" s="45"/>
    </row>
    <row r="546" spans="5:18" s="7" customFormat="1">
      <c r="E546" s="879" t="str" cm="1">
        <f t="array" ref="E546">INDEX(K546:P546, , F$2)</f>
        <v>one hundred</v>
      </c>
      <c r="J546" s="869"/>
      <c r="K546" s="880" t="s">
        <v>1637</v>
      </c>
      <c r="L546" s="880" t="s">
        <v>1638</v>
      </c>
      <c r="M546" s="875" t="s">
        <v>1639</v>
      </c>
      <c r="N546" s="880"/>
      <c r="O546" s="880"/>
      <c r="P546" s="869"/>
      <c r="Q546" s="45"/>
      <c r="R546" s="45"/>
    </row>
    <row r="547" spans="5:18" s="7" customFormat="1">
      <c r="E547" s="879" t="str" cm="1">
        <f t="array" ref="E547">INDEX(K547:P547, , F$2)</f>
        <v>English</v>
      </c>
      <c r="J547" s="869"/>
      <c r="K547" s="880" t="s">
        <v>22</v>
      </c>
      <c r="L547" s="880" t="s">
        <v>1640</v>
      </c>
      <c r="M547" s="875" t="s">
        <v>1641</v>
      </c>
      <c r="N547" s="880"/>
      <c r="O547" s="880"/>
      <c r="P547" s="869"/>
      <c r="Q547" s="45"/>
      <c r="R547" s="45"/>
    </row>
    <row r="548" spans="5:18" s="7" customFormat="1">
      <c r="E548" s="879" t="str" cm="1">
        <f t="array" ref="E548">INDEX(K548:P548, , F$2)</f>
        <v>French</v>
      </c>
      <c r="J548" s="869"/>
      <c r="K548" s="880" t="s">
        <v>37</v>
      </c>
      <c r="L548" s="880" t="s">
        <v>1642</v>
      </c>
      <c r="M548" s="875" t="s">
        <v>1643</v>
      </c>
      <c r="N548" s="880"/>
      <c r="O548" s="880"/>
      <c r="P548" s="869"/>
      <c r="Q548" s="45"/>
      <c r="R548" s="45"/>
    </row>
    <row r="549" spans="5:18" s="7" customFormat="1">
      <c r="E549" s="879" t="str" cm="1">
        <f t="array" ref="E549">INDEX(K549:P549, , F$2)</f>
        <v>Spanish</v>
      </c>
      <c r="J549" s="869"/>
      <c r="K549" s="880" t="s">
        <v>38</v>
      </c>
      <c r="L549" s="880" t="s">
        <v>1644</v>
      </c>
      <c r="M549" s="875" t="s">
        <v>1645</v>
      </c>
      <c r="N549" s="880"/>
      <c r="O549" s="880"/>
      <c r="P549" s="869"/>
      <c r="Q549" s="45"/>
      <c r="R549" s="45"/>
    </row>
    <row r="550" spans="5:18" s="7" customFormat="1">
      <c r="E550" s="879" t="str" cm="1">
        <f t="array" ref="E550">INDEX(K550:P550, , F$2)</f>
        <v>Other1</v>
      </c>
      <c r="J550" s="869"/>
      <c r="K550" s="880" t="s">
        <v>39</v>
      </c>
      <c r="L550" s="880" t="s">
        <v>1646</v>
      </c>
      <c r="M550" s="875" t="s">
        <v>1647</v>
      </c>
      <c r="N550" s="880"/>
      <c r="O550" s="880"/>
      <c r="P550" s="869"/>
      <c r="Q550" s="45"/>
      <c r="R550" s="45"/>
    </row>
    <row r="551" spans="5:18" s="7" customFormat="1">
      <c r="E551" s="879" t="str" cm="1">
        <f t="array" ref="E551">INDEX(K551:P551, , F$2)</f>
        <v>Other2</v>
      </c>
      <c r="J551" s="869"/>
      <c r="K551" s="880" t="s">
        <v>40</v>
      </c>
      <c r="L551" s="880" t="s">
        <v>1648</v>
      </c>
      <c r="M551" s="875" t="s">
        <v>1649</v>
      </c>
      <c r="N551" s="880"/>
      <c r="O551" s="880"/>
      <c r="P551" s="869"/>
      <c r="Q551" s="45"/>
      <c r="R551" s="45"/>
    </row>
    <row r="552" spans="5:18" s="7" customFormat="1">
      <c r="E552" s="879" t="str" cm="1">
        <f t="array" ref="E552">INDEX(K552:P552, , F$2)</f>
        <v>Language selected</v>
      </c>
      <c r="J552" s="869"/>
      <c r="K552" s="880" t="s">
        <v>1650</v>
      </c>
      <c r="L552" s="880" t="s">
        <v>1651</v>
      </c>
      <c r="M552" s="875" t="s">
        <v>1652</v>
      </c>
      <c r="N552" s="880"/>
      <c r="O552" s="880"/>
      <c r="P552" s="869"/>
      <c r="Q552" s="45"/>
      <c r="R552" s="45"/>
    </row>
    <row r="553" spans="5:18" s="7" customFormat="1">
      <c r="E553" s="879" t="str" cm="1">
        <f t="array" ref="E553">INDEX(K553:P553, , F$2)</f>
        <v>Compare live results to</v>
      </c>
      <c r="J553" s="869"/>
      <c r="K553" s="880" t="s">
        <v>1653</v>
      </c>
      <c r="L553" s="880" t="s">
        <v>1654</v>
      </c>
      <c r="M553" s="875" t="s">
        <v>1655</v>
      </c>
      <c r="N553" s="880"/>
      <c r="O553" s="880"/>
      <c r="P553" s="869"/>
      <c r="Q553" s="45"/>
      <c r="R553" s="45"/>
    </row>
    <row r="554" spans="5:18">
      <c r="E554" s="895" t="str" cm="1">
        <f t="array" ref="E554">INDEX(K554:P554, , F$2)</f>
        <v>Constant</v>
      </c>
      <c r="J554" s="894"/>
      <c r="K554" s="875" t="s">
        <v>1656</v>
      </c>
      <c r="L554" s="995" t="s">
        <v>1656</v>
      </c>
      <c r="M554" s="875" t="s">
        <v>1657</v>
      </c>
      <c r="N554" s="875"/>
      <c r="O554" s="875"/>
      <c r="P554" s="894"/>
      <c r="Q554" s="985"/>
      <c r="R554" s="985"/>
    </row>
    <row r="555" spans="5:18">
      <c r="E555" s="895" t="str" cm="1">
        <f t="array" ref="E555">INDEX(K555:P555, , F$2)</f>
        <v>gross</v>
      </c>
      <c r="J555" s="894"/>
      <c r="K555" s="875" t="s">
        <v>1658</v>
      </c>
      <c r="L555" s="995" t="s">
        <v>1659</v>
      </c>
      <c r="M555" s="875" t="s">
        <v>1660</v>
      </c>
      <c r="N555" s="875"/>
      <c r="O555" s="875"/>
      <c r="P555" s="894"/>
      <c r="Q555" s="985"/>
      <c r="R555" s="985"/>
    </row>
    <row r="556" spans="5:18">
      <c r="E556" s="895" t="str" cm="1">
        <f t="array" ref="E556">INDEX(K556:P556, , F$2)</f>
        <v>net</v>
      </c>
      <c r="J556" s="894"/>
      <c r="K556" s="875" t="s">
        <v>41</v>
      </c>
      <c r="L556" s="995" t="s">
        <v>41</v>
      </c>
      <c r="M556" s="875" t="s">
        <v>1661</v>
      </c>
      <c r="N556" s="875"/>
      <c r="O556" s="875"/>
      <c r="P556" s="894"/>
      <c r="Q556" s="985"/>
      <c r="R556" s="985"/>
    </row>
    <row r="557" spans="5:18" s="7" customFormat="1">
      <c r="E557" s="879" t="str" cm="1">
        <f t="array" ref="E557">INDEX(K557:P557, , F$2)</f>
        <v>Percentage</v>
      </c>
      <c r="J557" s="869"/>
      <c r="K557" s="880" t="s">
        <v>43</v>
      </c>
      <c r="L557" s="880" t="s">
        <v>1662</v>
      </c>
      <c r="M557" s="875" t="s">
        <v>1663</v>
      </c>
      <c r="N557" s="880"/>
      <c r="O557" s="880"/>
      <c r="P557" s="869"/>
      <c r="Q557" s="45"/>
      <c r="R557" s="45"/>
    </row>
    <row r="558" spans="5:18" s="7" customFormat="1">
      <c r="E558" s="879" t="str" cm="1">
        <f t="array" ref="E558">INDEX(K558:P558, , F$2)</f>
        <v>TargetYear</v>
      </c>
      <c r="J558" s="869"/>
      <c r="K558" s="880" t="s">
        <v>1664</v>
      </c>
      <c r="L558" s="880" t="s">
        <v>1665</v>
      </c>
      <c r="M558" s="875" t="s">
        <v>1666</v>
      </c>
      <c r="N558" s="880"/>
      <c r="O558" s="880"/>
      <c r="P558" s="869"/>
      <c r="Q558" s="45"/>
      <c r="R558" s="45"/>
    </row>
    <row r="559" spans="5:18" s="7" customFormat="1">
      <c r="E559" s="879" t="str" cm="1">
        <f t="array" ref="E559">INDEX(K559:P559, , F$2)</f>
        <v>depreciated</v>
      </c>
      <c r="J559" s="869"/>
      <c r="K559" s="880" t="s">
        <v>1667</v>
      </c>
      <c r="L559" s="880" t="s">
        <v>1668</v>
      </c>
      <c r="M559" s="875" t="s">
        <v>1669</v>
      </c>
      <c r="N559" s="880"/>
      <c r="O559" s="880"/>
      <c r="P559" s="869"/>
      <c r="Q559" s="45"/>
      <c r="R559" s="45"/>
    </row>
    <row r="560" spans="5:18" s="7" customFormat="1">
      <c r="E560" s="879" t="str" cm="1">
        <f t="array" ref="E560">INDEX(K560:P560, , F$2)</f>
        <v>expensed</v>
      </c>
      <c r="J560" s="869"/>
      <c r="K560" s="880" t="s">
        <v>44</v>
      </c>
      <c r="L560" s="880" t="s">
        <v>1670</v>
      </c>
      <c r="M560" s="875" t="s">
        <v>1671</v>
      </c>
      <c r="N560" s="880"/>
      <c r="O560" s="880"/>
      <c r="P560" s="869"/>
      <c r="Q560" s="45"/>
      <c r="R560" s="45"/>
    </row>
    <row r="561" spans="5:18" s="7" customFormat="1">
      <c r="E561" s="879" t="str" cm="1">
        <f t="array" ref="E561">INDEX(K561:P561, , F$2)</f>
        <v>spend</v>
      </c>
      <c r="J561" s="869"/>
      <c r="K561" s="880" t="s">
        <v>1672</v>
      </c>
      <c r="L561" s="880" t="s">
        <v>1673</v>
      </c>
      <c r="M561" s="875" t="s">
        <v>1674</v>
      </c>
      <c r="N561" s="880"/>
      <c r="O561" s="880"/>
      <c r="P561" s="869"/>
      <c r="Q561" s="45"/>
      <c r="R561" s="45"/>
    </row>
    <row r="562" spans="5:18" s="7" customFormat="1">
      <c r="E562" s="879" t="str" cm="1">
        <f t="array" ref="E562">INDEX(K562:P562, , F$2)</f>
        <v>Exploration</v>
      </c>
      <c r="J562" s="869"/>
      <c r="K562" s="880" t="s">
        <v>1675</v>
      </c>
      <c r="L562" s="880" t="s">
        <v>1675</v>
      </c>
      <c r="M562" s="875" t="s">
        <v>1676</v>
      </c>
      <c r="N562" s="880"/>
      <c r="O562" s="880"/>
      <c r="P562" s="869"/>
      <c r="Q562" s="45"/>
      <c r="R562" s="45"/>
    </row>
    <row r="563" spans="5:18" s="7" customFormat="1">
      <c r="E563" s="879" t="str" cm="1">
        <f t="array" ref="E563">INDEX(K563:P563, , F$2)</f>
        <v>FID</v>
      </c>
      <c r="J563" s="869"/>
      <c r="K563" s="880" t="s">
        <v>1677</v>
      </c>
      <c r="L563" s="880" t="s">
        <v>1678</v>
      </c>
      <c r="M563" s="875" t="s">
        <v>1678</v>
      </c>
      <c r="N563" s="880"/>
      <c r="O563" s="880"/>
      <c r="P563" s="869"/>
      <c r="Q563" s="45"/>
      <c r="R563" s="45"/>
    </row>
    <row r="564" spans="5:18" s="7" customFormat="1">
      <c r="E564" s="879" t="str" cm="1">
        <f t="array" ref="E564">INDEX(K564:P564, , F$2)</f>
        <v>Production</v>
      </c>
      <c r="J564" s="869"/>
      <c r="K564" s="880" t="s">
        <v>45</v>
      </c>
      <c r="L564" s="880" t="s">
        <v>45</v>
      </c>
      <c r="M564" s="875" t="s">
        <v>1679</v>
      </c>
      <c r="N564" s="880"/>
      <c r="O564" s="880"/>
      <c r="P564" s="869"/>
      <c r="Q564" s="45"/>
      <c r="R564" s="45"/>
    </row>
    <row r="565" spans="5:18" s="7" customFormat="1">
      <c r="E565" s="879" t="str" cm="1">
        <f t="array" ref="E565">INDEX(K565:P565, , F$2)</f>
        <v>do not delete row</v>
      </c>
      <c r="J565" s="869"/>
      <c r="K565" s="891" t="s">
        <v>1680</v>
      </c>
      <c r="L565" s="891" t="s">
        <v>1681</v>
      </c>
      <c r="M565" s="1011" t="s">
        <v>1682</v>
      </c>
      <c r="N565" s="891"/>
      <c r="O565" s="891"/>
      <c r="P565" s="869"/>
      <c r="Q565" s="45"/>
      <c r="R565" s="45"/>
    </row>
    <row r="566" spans="5:18" s="7" customFormat="1">
      <c r="E566" s="879" t="str" cm="1">
        <f t="array" ref="E566">INDEX(K566:P566, , F$2)</f>
        <v>Dashboard parameters and results</v>
      </c>
      <c r="J566" s="869"/>
      <c r="K566" s="891" t="s">
        <v>1683</v>
      </c>
      <c r="L566" s="891" t="s">
        <v>1684</v>
      </c>
      <c r="M566" s="1011" t="s">
        <v>1685</v>
      </c>
      <c r="N566" s="891"/>
      <c r="O566" s="891"/>
      <c r="P566" s="869"/>
      <c r="Q566" s="45"/>
      <c r="R566" s="45"/>
    </row>
    <row r="567" spans="5:18" s="7" customFormat="1">
      <c r="E567" s="879" t="str" cm="1">
        <f t="array" ref="E567">INDEX(K567:P567, , F$2)</f>
        <v>Primary fiscal regime results</v>
      </c>
      <c r="J567" s="869"/>
      <c r="K567" s="891" t="s">
        <v>1686</v>
      </c>
      <c r="L567" s="891" t="s">
        <v>1687</v>
      </c>
      <c r="M567" s="1011" t="s">
        <v>1688</v>
      </c>
      <c r="N567" s="891"/>
      <c r="O567" s="891"/>
      <c r="P567" s="869"/>
      <c r="Q567" s="45"/>
      <c r="R567" s="45"/>
    </row>
    <row r="568" spans="5:18" s="7" customFormat="1">
      <c r="E568" s="879" t="str" cm="1">
        <f t="array" ref="E568">INDEX(K568:P568, , F$2)</f>
        <v>Model info</v>
      </c>
      <c r="J568" s="869"/>
      <c r="K568" s="891" t="s">
        <v>1689</v>
      </c>
      <c r="L568" s="891" t="s">
        <v>1690</v>
      </c>
      <c r="M568" s="1011" t="s">
        <v>1691</v>
      </c>
      <c r="N568" s="891"/>
      <c r="O568" s="891"/>
      <c r="P568" s="869"/>
      <c r="Q568" s="45"/>
      <c r="R568" s="45"/>
    </row>
    <row r="569" spans="5:18" s="7" customFormat="1">
      <c r="E569" s="879" t="str" cm="1">
        <f t="array" ref="E569">INDEX(K569:P569, , F$2)</f>
        <v>Comments and version changes</v>
      </c>
      <c r="J569" s="869"/>
      <c r="K569" s="891" t="s">
        <v>1692</v>
      </c>
      <c r="L569" s="891" t="s">
        <v>1693</v>
      </c>
      <c r="M569" s="1011" t="s">
        <v>1694</v>
      </c>
      <c r="N569" s="891"/>
      <c r="O569" s="891"/>
      <c r="P569" s="869"/>
      <c r="Q569" s="45"/>
      <c r="R569" s="45"/>
    </row>
    <row r="570" spans="5:18">
      <c r="E570" s="895" t="str" cm="1">
        <f t="array" ref="E570">INDEX(K570:P570, , F$2)</f>
        <v>Project selection and sensitivities</v>
      </c>
      <c r="J570" s="894"/>
      <c r="K570" s="875" t="s">
        <v>1695</v>
      </c>
      <c r="L570" s="995" t="s">
        <v>1696</v>
      </c>
      <c r="M570" s="875" t="s">
        <v>1697</v>
      </c>
      <c r="N570" s="875"/>
      <c r="O570" s="875"/>
      <c r="P570" s="894"/>
      <c r="Q570" s="985"/>
      <c r="R570" s="985"/>
    </row>
    <row r="571" spans="5:18" s="7" customFormat="1">
      <c r="E571" s="879" t="str" cm="1">
        <f t="array" ref="E571">INDEX(K571:P571, , F$2)</f>
        <v>Economic assumptions</v>
      </c>
      <c r="J571" s="869"/>
      <c r="K571" s="880" t="s">
        <v>1698</v>
      </c>
      <c r="L571" s="880" t="s">
        <v>1699</v>
      </c>
      <c r="M571" s="875" t="s">
        <v>1700</v>
      </c>
      <c r="N571" s="880"/>
      <c r="O571" s="880"/>
      <c r="P571" s="869"/>
      <c r="Q571" s="45"/>
      <c r="R571" s="45"/>
    </row>
    <row r="572" spans="5:18" s="7" customFormat="1">
      <c r="E572" s="879" t="str" cm="1">
        <f t="array" ref="E572">INDEX(K572:P572, , F$2)</f>
        <v>Evaluation parameters</v>
      </c>
      <c r="J572" s="869"/>
      <c r="K572" s="880" t="s">
        <v>1701</v>
      </c>
      <c r="L572" s="880" t="s">
        <v>1702</v>
      </c>
      <c r="M572" s="875" t="s">
        <v>1703</v>
      </c>
      <c r="N572" s="880"/>
      <c r="O572" s="880"/>
      <c r="P572" s="869"/>
      <c r="Q572" s="45"/>
      <c r="R572" s="45"/>
    </row>
    <row r="573" spans="5:18" s="7" customFormat="1">
      <c r="E573" s="879" t="str" cm="1">
        <f t="array" ref="E573">INDEX(K573:P573, , F$2)</f>
        <v>Model name and version</v>
      </c>
      <c r="J573" s="869"/>
      <c r="K573" s="880" t="s">
        <v>1704</v>
      </c>
      <c r="L573" s="880" t="s">
        <v>1705</v>
      </c>
      <c r="M573" s="875" t="s">
        <v>1706</v>
      </c>
      <c r="N573" s="880"/>
      <c r="O573" s="880"/>
      <c r="P573" s="869"/>
      <c r="Q573" s="45"/>
      <c r="R573" s="45"/>
    </row>
    <row r="574" spans="5:18" s="7" customFormat="1">
      <c r="E574" s="879" t="str" cm="1">
        <f t="array" ref="E574">INDEX(K574:P574, , F$2)</f>
        <v>Technical parameters</v>
      </c>
      <c r="J574" s="869"/>
      <c r="K574" s="880" t="s">
        <v>1707</v>
      </c>
      <c r="L574" s="880" t="s">
        <v>1708</v>
      </c>
      <c r="M574" s="875" t="s">
        <v>1709</v>
      </c>
      <c r="N574" s="880"/>
      <c r="O574" s="880"/>
      <c r="P574" s="869"/>
      <c r="Q574" s="45"/>
      <c r="R574" s="45"/>
    </row>
    <row r="575" spans="5:18" s="7" customFormat="1">
      <c r="E575" s="879" t="str" cm="1">
        <f t="array" ref="E575">INDEX(K575:P575, , F$2)</f>
        <v>Global labels</v>
      </c>
      <c r="J575" s="869"/>
      <c r="K575" s="880" t="s">
        <v>1710</v>
      </c>
      <c r="L575" s="880" t="s">
        <v>1711</v>
      </c>
      <c r="M575" s="875" t="s">
        <v>1712</v>
      </c>
      <c r="N575" s="880"/>
      <c r="O575" s="880"/>
      <c r="P575" s="869"/>
      <c r="Q575" s="45"/>
      <c r="R575" s="45"/>
    </row>
    <row r="576" spans="5:18" s="7" customFormat="1">
      <c r="E576" s="879" t="str" cm="1">
        <f t="array" ref="E576">INDEX(K576:P576, , F$2)</f>
        <v>Selecting project</v>
      </c>
      <c r="J576" s="869"/>
      <c r="K576" s="880" t="s">
        <v>1713</v>
      </c>
      <c r="L576" s="880" t="s">
        <v>1714</v>
      </c>
      <c r="M576" s="875" t="s">
        <v>1715</v>
      </c>
      <c r="N576" s="880"/>
      <c r="O576" s="880"/>
      <c r="P576" s="869"/>
      <c r="Q576" s="45"/>
      <c r="R576" s="45"/>
    </row>
    <row r="577" spans="5:18" s="7" customFormat="1">
      <c r="E577" s="879" t="str" cm="1">
        <f t="array" ref="E577">INDEX(K577:P577, , F$2)</f>
        <v>Project data location</v>
      </c>
      <c r="J577" s="869"/>
      <c r="K577" s="880" t="s">
        <v>1716</v>
      </c>
      <c r="L577" s="880" t="s">
        <v>1717</v>
      </c>
      <c r="M577" s="875" t="s">
        <v>1718</v>
      </c>
      <c r="N577" s="880"/>
      <c r="O577" s="880"/>
      <c r="P577" s="869"/>
      <c r="Q577" s="45"/>
      <c r="R577" s="45"/>
    </row>
    <row r="578" spans="5:18">
      <c r="E578" s="895" t="str" cm="1">
        <f t="array" ref="E578">INDEX(K578:P578, , F$2)</f>
        <v>List of projects</v>
      </c>
      <c r="J578" s="894"/>
      <c r="K578" s="875" t="s">
        <v>1719</v>
      </c>
      <c r="L578" s="995" t="s">
        <v>1720</v>
      </c>
      <c r="M578" s="875" t="s">
        <v>1721</v>
      </c>
      <c r="N578" s="875"/>
      <c r="O578" s="875"/>
      <c r="P578" s="894"/>
      <c r="Q578" s="985"/>
      <c r="R578" s="985"/>
    </row>
    <row r="579" spans="5:18" s="7" customFormat="1">
      <c r="E579" s="879" t="str" cm="1">
        <f t="array" ref="E579">INDEX(K579:P579, , F$2)</f>
        <v>Sensitivity parameters</v>
      </c>
      <c r="J579" s="869"/>
      <c r="K579" s="880" t="s">
        <v>1722</v>
      </c>
      <c r="L579" s="880" t="s">
        <v>1723</v>
      </c>
      <c r="M579" s="875" t="s">
        <v>1724</v>
      </c>
      <c r="N579" s="880"/>
      <c r="O579" s="880"/>
      <c r="P579" s="869"/>
      <c r="Q579" s="45"/>
      <c r="R579" s="45"/>
    </row>
    <row r="580" spans="5:18">
      <c r="E580" s="895" t="str" cm="1">
        <f t="array" ref="E580">INDEX(K580:P580, , F$2)</f>
        <v>Government revenues under alternative regimes</v>
      </c>
      <c r="J580" s="894"/>
      <c r="K580" s="875" t="s">
        <v>1725</v>
      </c>
      <c r="L580" s="995" t="s">
        <v>1726</v>
      </c>
      <c r="M580" s="875" t="s">
        <v>1727</v>
      </c>
      <c r="N580" s="875"/>
      <c r="O580" s="875"/>
      <c r="P580" s="894"/>
      <c r="Q580" s="985"/>
      <c r="R580" s="985"/>
    </row>
    <row r="581" spans="5:18" s="7" customFormat="1">
      <c r="E581" s="879" t="str" cm="1">
        <f t="array" ref="E581">INDEX(K581:P581, , F$2)</f>
        <v>Fiscal regimes</v>
      </c>
      <c r="J581" s="869"/>
      <c r="K581" s="880" t="s">
        <v>1728</v>
      </c>
      <c r="L581" s="880" t="s">
        <v>1729</v>
      </c>
      <c r="M581" s="875" t="s">
        <v>1730</v>
      </c>
      <c r="N581" s="880"/>
      <c r="O581" s="880"/>
      <c r="P581" s="869"/>
      <c r="Q581" s="45"/>
      <c r="R581" s="45"/>
    </row>
    <row r="582" spans="5:18" s="7" customFormat="1">
      <c r="E582" s="879" t="str" cm="1">
        <f t="array" ref="E582">INDEX(K582:P582, , F$2)</f>
        <v>Investor NPV &amp; IRR under alternative regimes</v>
      </c>
      <c r="J582" s="869"/>
      <c r="K582" s="880" t="s">
        <v>1731</v>
      </c>
      <c r="L582" s="880" t="s">
        <v>1732</v>
      </c>
      <c r="M582" s="875" t="s">
        <v>1733</v>
      </c>
      <c r="N582" s="880"/>
      <c r="O582" s="880"/>
      <c r="P582" s="869"/>
      <c r="Q582" s="45"/>
      <c r="R582" s="45"/>
    </row>
    <row r="583" spans="5:18" s="7" customFormat="1">
      <c r="E583" s="879" t="str" cm="1">
        <f t="array" ref="E583">INDEX(K583:P583, , F$2)</f>
        <v>Discount rates</v>
      </c>
      <c r="J583" s="869"/>
      <c r="K583" s="880" t="s">
        <v>1734</v>
      </c>
      <c r="L583" s="880" t="s">
        <v>1492</v>
      </c>
      <c r="M583" s="875" t="s">
        <v>1735</v>
      </c>
      <c r="N583" s="880"/>
      <c r="O583" s="880"/>
      <c r="P583" s="869"/>
      <c r="Q583" s="45"/>
      <c r="R583" s="45"/>
    </row>
    <row r="584" spans="5:18" s="7" customFormat="1">
      <c r="E584" s="879" t="str" cm="1">
        <f t="array" ref="E584">INDEX(K584:P584, , F$2)</f>
        <v>Return to</v>
      </c>
      <c r="J584" s="869"/>
      <c r="K584" s="880" t="s">
        <v>1736</v>
      </c>
      <c r="L584" s="880" t="s">
        <v>1737</v>
      </c>
      <c r="M584" s="875" t="s">
        <v>1738</v>
      </c>
      <c r="N584" s="880"/>
      <c r="O584" s="880"/>
      <c r="P584" s="869"/>
      <c r="Q584" s="45"/>
      <c r="R584" s="45"/>
    </row>
    <row r="585" spans="5:18" s="7" customFormat="1">
      <c r="E585" s="879" t="str" cm="1">
        <f t="array" ref="E585">INDEX(K585:P585, , F$2)</f>
        <v>Label</v>
      </c>
      <c r="J585" s="869"/>
      <c r="K585" s="880" t="s">
        <v>1739</v>
      </c>
      <c r="L585" s="880" t="s">
        <v>1740</v>
      </c>
      <c r="M585" s="875" t="s">
        <v>1741</v>
      </c>
      <c r="N585" s="880"/>
      <c r="O585" s="880"/>
      <c r="P585" s="869"/>
      <c r="Q585" s="45"/>
      <c r="R585" s="45"/>
    </row>
    <row r="586" spans="5:18" s="7" customFormat="1">
      <c r="E586" s="879" t="str" cm="1">
        <f t="array" ref="E586">INDEX(K586:P586, , F$2)</f>
        <v>Flag</v>
      </c>
      <c r="J586" s="869"/>
      <c r="K586" s="880" t="s">
        <v>1742</v>
      </c>
      <c r="L586" s="880" t="s">
        <v>1743</v>
      </c>
      <c r="M586" s="875" t="s">
        <v>1744</v>
      </c>
      <c r="N586" s="880"/>
      <c r="O586" s="880"/>
      <c r="P586" s="869"/>
      <c r="Q586" s="45"/>
      <c r="R586" s="45"/>
    </row>
    <row r="587" spans="5:18" s="7" customFormat="1">
      <c r="E587" s="879" t="str" cm="1">
        <f t="array" ref="E587">INDEX(K587:P587, , F$2)</f>
        <v>row</v>
      </c>
      <c r="J587" s="869"/>
      <c r="K587" s="880" t="s">
        <v>1745</v>
      </c>
      <c r="L587" s="880" t="s">
        <v>1746</v>
      </c>
      <c r="M587" s="875" t="s">
        <v>1747</v>
      </c>
      <c r="N587" s="880"/>
      <c r="O587" s="880"/>
      <c r="P587" s="869"/>
      <c r="Q587" s="45"/>
      <c r="R587" s="45"/>
    </row>
    <row r="588" spans="5:18" s="7" customFormat="1">
      <c r="E588" s="879" t="str" cm="1">
        <f t="array" ref="E588">INDEX(K588:P588, , F$2)</f>
        <v>Name</v>
      </c>
      <c r="J588" s="869"/>
      <c r="K588" s="880" t="s">
        <v>1748</v>
      </c>
      <c r="L588" s="880" t="s">
        <v>1749</v>
      </c>
      <c r="M588" s="875" t="s">
        <v>1750</v>
      </c>
      <c r="N588" s="880"/>
      <c r="O588" s="880"/>
      <c r="P588" s="869"/>
      <c r="Q588" s="45"/>
      <c r="R588" s="45"/>
    </row>
    <row r="589" spans="5:18" s="7" customFormat="1">
      <c r="E589" s="879" t="str" cm="1">
        <f t="array" ref="E589">INDEX(K589:P589, , F$2)</f>
        <v>yes</v>
      </c>
      <c r="J589" s="869"/>
      <c r="K589" s="880" t="s">
        <v>34</v>
      </c>
      <c r="L589" s="880" t="s">
        <v>1751</v>
      </c>
      <c r="M589" s="875" t="s">
        <v>1752</v>
      </c>
      <c r="N589" s="880"/>
      <c r="O589" s="880"/>
      <c r="P589" s="869"/>
      <c r="Q589" s="45"/>
      <c r="R589" s="45"/>
    </row>
    <row r="590" spans="5:18" s="7" customFormat="1">
      <c r="E590" s="879" t="str" cm="1">
        <f t="array" ref="E590">INDEX(K590:P590, , F$2)</f>
        <v>no</v>
      </c>
      <c r="J590" s="869"/>
      <c r="K590" s="880" t="s">
        <v>46</v>
      </c>
      <c r="L590" s="880" t="s">
        <v>1753</v>
      </c>
      <c r="M590" s="875" t="s">
        <v>46</v>
      </c>
      <c r="N590" s="880"/>
      <c r="O590" s="880"/>
      <c r="P590" s="869"/>
      <c r="Q590" s="45"/>
      <c r="R590" s="45"/>
    </row>
    <row r="591" spans="5:18" s="7" customFormat="1">
      <c r="E591" s="879" t="str" cm="1">
        <f t="array" ref="E591">INDEX(K591:P591, , F$2)</f>
        <v>Translation of options</v>
      </c>
      <c r="J591" s="869"/>
      <c r="K591" s="880" t="s">
        <v>1754</v>
      </c>
      <c r="L591" s="880" t="s">
        <v>1755</v>
      </c>
      <c r="M591" s="875" t="s">
        <v>1756</v>
      </c>
      <c r="N591" s="880"/>
      <c r="O591" s="880"/>
      <c r="P591" s="869"/>
      <c r="Q591" s="45"/>
      <c r="R591" s="45"/>
    </row>
    <row r="592" spans="5:18" s="7" customFormat="1">
      <c r="E592" s="879" t="str" cm="1">
        <f t="array" ref="E592">INDEX(K592:P592, , F$2)</f>
        <v>carat</v>
      </c>
      <c r="J592" s="869"/>
      <c r="K592" s="880" t="s">
        <v>1757</v>
      </c>
      <c r="L592" s="880" t="s">
        <v>1757</v>
      </c>
      <c r="M592" s="875" t="s">
        <v>1758</v>
      </c>
      <c r="N592" s="880"/>
      <c r="O592" s="880"/>
      <c r="P592" s="869"/>
      <c r="Q592" s="45"/>
      <c r="R592" s="45"/>
    </row>
    <row r="593" spans="5:18" s="7" customFormat="1">
      <c r="E593" s="879" t="str" cm="1">
        <f t="array" ref="E593">INDEX(K593:P593, , F$2)</f>
        <v>option selected</v>
      </c>
      <c r="J593" s="869"/>
      <c r="K593" s="880" t="s">
        <v>1759</v>
      </c>
      <c r="L593" s="880" t="s">
        <v>1760</v>
      </c>
      <c r="M593" s="875" t="s">
        <v>1761</v>
      </c>
      <c r="N593" s="880"/>
      <c r="O593" s="880"/>
      <c r="P593" s="869"/>
      <c r="Q593" s="45"/>
      <c r="R593" s="45"/>
    </row>
    <row r="594" spans="5:18" s="7" customFormat="1">
      <c r="E594" s="879" t="str" cm="1">
        <f t="array" ref="E594">INDEX(K594:P594, , F$2)</f>
        <v>Tolerance</v>
      </c>
      <c r="J594" s="869"/>
      <c r="K594" s="880" t="s">
        <v>1762</v>
      </c>
      <c r="L594" s="880" t="s">
        <v>1763</v>
      </c>
      <c r="M594" s="875" t="s">
        <v>1764</v>
      </c>
      <c r="N594" s="880"/>
      <c r="O594" s="880"/>
      <c r="P594" s="869"/>
      <c r="Q594" s="45"/>
      <c r="R594" s="45"/>
    </row>
    <row r="595" spans="5:18" s="7" customFormat="1">
      <c r="E595" s="879" t="str" cm="1">
        <f t="array" ref="E595">INDEX(K595:P595, , F$2)</f>
        <v>Days</v>
      </c>
      <c r="J595" s="869"/>
      <c r="K595" s="880" t="s">
        <v>1765</v>
      </c>
      <c r="L595" s="880" t="s">
        <v>1766</v>
      </c>
      <c r="M595" s="875" t="s">
        <v>1767</v>
      </c>
      <c r="N595" s="880"/>
      <c r="O595" s="880"/>
      <c r="P595" s="869"/>
      <c r="Q595" s="45"/>
      <c r="R595" s="45"/>
    </row>
    <row r="596" spans="5:18" s="7" customFormat="1">
      <c r="E596" s="879" t="str" cm="1">
        <f t="array" ref="E596">INDEX(K596:P596, , F$2)</f>
        <v>Thousand</v>
      </c>
      <c r="J596" s="869"/>
      <c r="K596" s="892" t="s">
        <v>1768</v>
      </c>
      <c r="L596" s="892" t="s">
        <v>1769</v>
      </c>
      <c r="M596" s="1007" t="s">
        <v>1770</v>
      </c>
      <c r="N596" s="892"/>
      <c r="O596" s="892"/>
      <c r="P596" s="869"/>
      <c r="Q596" s="45"/>
      <c r="R596" s="45"/>
    </row>
    <row r="597" spans="5:18" s="7" customFormat="1">
      <c r="E597" s="879" t="str" cm="1">
        <f t="array" ref="E597">INDEX(K597:P597, , F$2)</f>
        <v>DMT</v>
      </c>
      <c r="J597" s="869"/>
      <c r="K597" s="880" t="s">
        <v>1771</v>
      </c>
      <c r="L597" s="880" t="s">
        <v>1771</v>
      </c>
      <c r="M597" s="875" t="s">
        <v>1771</v>
      </c>
      <c r="N597" s="880"/>
      <c r="O597" s="880"/>
      <c r="P597" s="869"/>
      <c r="Q597" s="45"/>
      <c r="R597" s="45"/>
    </row>
    <row r="598" spans="5:18" s="7" customFormat="1">
      <c r="E598" s="879" t="str" cm="1">
        <f t="array" ref="E598">INDEX(K598:P598, , F$2)</f>
        <v>MT</v>
      </c>
      <c r="J598" s="869"/>
      <c r="K598" s="880" t="s">
        <v>1772</v>
      </c>
      <c r="L598" s="880" t="s">
        <v>1772</v>
      </c>
      <c r="M598" s="875" t="s">
        <v>1772</v>
      </c>
      <c r="N598" s="880"/>
      <c r="O598" s="880"/>
      <c r="P598" s="869"/>
      <c r="Q598" s="45"/>
      <c r="R598" s="45"/>
    </row>
    <row r="599" spans="5:18" s="7" customFormat="1">
      <c r="E599" s="879" t="str" cm="1">
        <f t="array" ref="E599">INDEX(K599:P599, , F$2)</f>
        <v>ounce</v>
      </c>
      <c r="J599" s="869"/>
      <c r="K599" s="880" t="s">
        <v>1773</v>
      </c>
      <c r="L599" s="880" t="s">
        <v>1774</v>
      </c>
      <c r="M599" s="875" t="s">
        <v>1775</v>
      </c>
      <c r="N599" s="880"/>
      <c r="O599" s="880"/>
      <c r="P599" s="869"/>
      <c r="Q599" s="45"/>
      <c r="R599" s="45"/>
    </row>
    <row r="600" spans="5:18" s="7" customFormat="1">
      <c r="E600" s="879" t="str" cm="1">
        <f t="array" ref="E600">INDEX(K600:P600, , F$2)</f>
        <v>Project source data</v>
      </c>
      <c r="J600" s="869"/>
      <c r="K600" s="880" t="s">
        <v>1776</v>
      </c>
      <c r="L600" s="880" t="s">
        <v>1777</v>
      </c>
      <c r="M600" s="875" t="s">
        <v>1778</v>
      </c>
      <c r="N600" s="880"/>
      <c r="O600" s="880"/>
      <c r="P600" s="869"/>
      <c r="Q600" s="45"/>
      <c r="R600" s="45"/>
    </row>
    <row r="601" spans="5:18" s="7" customFormat="1">
      <c r="E601" s="879" t="str" cm="1">
        <f t="array" ref="E601">INDEX(K601:P601, , F$2)</f>
        <v>Cost inputs</v>
      </c>
      <c r="J601" s="869"/>
      <c r="K601" s="880" t="s">
        <v>1779</v>
      </c>
      <c r="L601" s="880" t="s">
        <v>1780</v>
      </c>
      <c r="M601" s="875" t="s">
        <v>1781</v>
      </c>
      <c r="N601" s="880"/>
      <c r="O601" s="880"/>
      <c r="P601" s="869"/>
      <c r="Q601" s="45"/>
      <c r="R601" s="45"/>
    </row>
    <row r="602" spans="5:18" s="7" customFormat="1">
      <c r="E602" s="879" t="str" cm="1">
        <f t="array" ref="E602">INDEX(K602:P602, , F$2)</f>
        <v>Unit costs</v>
      </c>
      <c r="J602" s="869"/>
      <c r="K602" s="880" t="s">
        <v>1782</v>
      </c>
      <c r="L602" s="880" t="s">
        <v>1783</v>
      </c>
      <c r="M602" s="875" t="s">
        <v>1784</v>
      </c>
      <c r="N602" s="880"/>
      <c r="O602" s="880"/>
      <c r="P602" s="869"/>
      <c r="Q602" s="45"/>
      <c r="R602" s="45"/>
    </row>
    <row r="603" spans="5:18" s="7" customFormat="1">
      <c r="E603" s="879" t="str" cm="1">
        <f t="array" ref="E603">INDEX(K603:P603, , F$2)</f>
        <v>Check project data in correct row</v>
      </c>
      <c r="J603" s="869"/>
      <c r="K603" s="880" t="s">
        <v>1785</v>
      </c>
      <c r="L603" s="880" t="s">
        <v>1786</v>
      </c>
      <c r="M603" s="875" t="s">
        <v>1787</v>
      </c>
      <c r="N603" s="880"/>
      <c r="O603" s="880"/>
      <c r="P603" s="869"/>
      <c r="Q603" s="45"/>
      <c r="R603" s="45"/>
    </row>
    <row r="604" spans="5:18" s="7" customFormat="1">
      <c r="E604" s="879" t="str" cm="1">
        <f t="array" ref="E604">INDEX(K604:P604, , F$2)</f>
        <v>prior period</v>
      </c>
      <c r="J604" s="869"/>
      <c r="K604" s="880" t="s">
        <v>1788</v>
      </c>
      <c r="L604" s="880" t="s">
        <v>1789</v>
      </c>
      <c r="M604" s="875" t="s">
        <v>1790</v>
      </c>
      <c r="N604" s="880"/>
      <c r="O604" s="880"/>
      <c r="P604" s="869"/>
      <c r="Q604" s="45"/>
      <c r="R604" s="45"/>
    </row>
    <row r="605" spans="5:18" s="7" customFormat="1">
      <c r="E605" s="879" t="str" cm="1">
        <f t="array" ref="E605">INDEX(K605:P605, , F$2)</f>
        <v>add</v>
      </c>
      <c r="J605" s="869"/>
      <c r="K605" s="880" t="s">
        <v>1791</v>
      </c>
      <c r="L605" s="880" t="s">
        <v>1792</v>
      </c>
      <c r="M605" s="875" t="s">
        <v>1793</v>
      </c>
      <c r="N605" s="880"/>
      <c r="O605" s="880"/>
      <c r="P605" s="869"/>
      <c r="Q605" s="45"/>
      <c r="R605" s="45"/>
    </row>
    <row r="606" spans="5:18" s="7" customFormat="1">
      <c r="E606" s="879" t="str" cm="1">
        <f t="array" ref="E606">INDEX(K606:P606, , F$2)</f>
        <v>less</v>
      </c>
      <c r="J606" s="869"/>
      <c r="K606" s="880" t="s">
        <v>1794</v>
      </c>
      <c r="L606" s="880" t="s">
        <v>1795</v>
      </c>
      <c r="M606" s="875" t="s">
        <v>1796</v>
      </c>
      <c r="N606" s="880"/>
      <c r="O606" s="880"/>
      <c r="P606" s="869"/>
      <c r="Q606" s="45"/>
      <c r="R606" s="45"/>
    </row>
    <row r="607" spans="5:18" s="7" customFormat="1">
      <c r="E607" s="879" t="str" cm="1">
        <f t="array" ref="E607">INDEX(K607:P607, , F$2)</f>
        <v>base year is first project year</v>
      </c>
      <c r="J607" s="869"/>
      <c r="K607" s="880" t="s">
        <v>1797</v>
      </c>
      <c r="L607" s="880" t="s">
        <v>1798</v>
      </c>
      <c r="M607" s="875" t="s">
        <v>1799</v>
      </c>
      <c r="N607" s="880"/>
      <c r="O607" s="880"/>
      <c r="P607" s="869"/>
      <c r="Q607" s="45"/>
      <c r="R607" s="45"/>
    </row>
    <row r="608" spans="5:18" s="7" customFormat="1">
      <c r="E608" s="879" t="str" cm="1">
        <f t="array" ref="E608">INDEX(K608:P608, , F$2)</f>
        <v>Index</v>
      </c>
      <c r="J608" s="869"/>
      <c r="K608" s="880" t="s">
        <v>1800</v>
      </c>
      <c r="L608" s="880" t="s">
        <v>1801</v>
      </c>
      <c r="M608" s="875" t="s">
        <v>1801</v>
      </c>
      <c r="N608" s="880"/>
      <c r="O608" s="880"/>
      <c r="P608" s="869"/>
      <c r="Q608" s="45"/>
      <c r="R608" s="45"/>
    </row>
    <row r="609" spans="5:18" s="7" customFormat="1">
      <c r="E609" s="879" t="str" cm="1">
        <f t="array" ref="E609">INDEX(K609:P609, , F$2)</f>
        <v>Sheet checks</v>
      </c>
      <c r="J609" s="869"/>
      <c r="K609" s="880" t="s">
        <v>1802</v>
      </c>
      <c r="L609" s="880" t="s">
        <v>1803</v>
      </c>
      <c r="M609" s="875" t="s">
        <v>1804</v>
      </c>
      <c r="N609" s="880"/>
      <c r="O609" s="880"/>
      <c r="P609" s="869"/>
      <c r="Q609" s="45"/>
      <c r="R609" s="45"/>
    </row>
    <row r="610" spans="5:18">
      <c r="E610" s="895" t="str" cm="1">
        <f t="array" ref="E610">INDEX(K610:P610, , F$2)</f>
        <v>Unit opex</v>
      </c>
      <c r="J610" s="894"/>
      <c r="K610" s="875" t="s">
        <v>1805</v>
      </c>
      <c r="L610" s="995" t="s">
        <v>1806</v>
      </c>
      <c r="M610" s="875" t="s">
        <v>1807</v>
      </c>
      <c r="N610" s="875"/>
      <c r="O610" s="875"/>
      <c r="P610" s="894"/>
      <c r="Q610" s="985"/>
      <c r="R610" s="985"/>
    </row>
    <row r="611" spans="5:18" s="7" customFormat="1">
      <c r="E611" s="879" t="str" cm="1">
        <f t="array" ref="E611">INDEX(K611:P611, , F$2)</f>
        <v>trillion</v>
      </c>
      <c r="J611" s="869"/>
      <c r="K611" s="880" t="s">
        <v>1808</v>
      </c>
      <c r="L611" s="880" t="s">
        <v>1809</v>
      </c>
      <c r="M611" s="875" t="s">
        <v>1810</v>
      </c>
      <c r="N611" s="880"/>
      <c r="O611" s="880"/>
      <c r="P611" s="869"/>
      <c r="Q611" s="45"/>
      <c r="R611" s="45"/>
    </row>
    <row r="612" spans="5:18" s="7" customFormat="1">
      <c r="E612" s="879" t="str" cm="1">
        <f t="array" ref="E612">INDEX(K612:P612, , F$2)</f>
        <v>number</v>
      </c>
      <c r="J612" s="869"/>
      <c r="K612" s="880" t="s">
        <v>1811</v>
      </c>
      <c r="L612" s="880" t="s">
        <v>1812</v>
      </c>
      <c r="M612" s="875" t="s">
        <v>1813</v>
      </c>
      <c r="N612" s="880"/>
      <c r="O612" s="880"/>
      <c r="P612" s="869"/>
      <c r="Q612" s="45"/>
      <c r="R612" s="45"/>
    </row>
    <row r="613" spans="5:18" s="7" customFormat="1">
      <c r="E613" s="879" t="str" cm="1">
        <f t="array" ref="E613">INDEX(K613:P613, , F$2)</f>
        <v>Date</v>
      </c>
      <c r="J613" s="869"/>
      <c r="K613" s="880" t="s">
        <v>1814</v>
      </c>
      <c r="L613" s="880" t="s">
        <v>1815</v>
      </c>
      <c r="M613" s="875" t="s">
        <v>1816</v>
      </c>
      <c r="N613" s="880"/>
      <c r="O613" s="880"/>
      <c r="P613" s="869"/>
      <c r="Q613" s="45"/>
      <c r="R613" s="45"/>
    </row>
    <row r="614" spans="5:18" s="7" customFormat="1">
      <c r="E614" s="879" t="str" cm="1">
        <f t="array" ref="E614">INDEX(K614:P614, , F$2)</f>
        <v>Time</v>
      </c>
      <c r="J614" s="869"/>
      <c r="K614" s="880" t="s">
        <v>1817</v>
      </c>
      <c r="L614" s="880" t="s">
        <v>1818</v>
      </c>
      <c r="M614" s="875" t="s">
        <v>1819</v>
      </c>
      <c r="N614" s="880"/>
      <c r="O614" s="880"/>
      <c r="P614" s="869"/>
      <c r="Q614" s="45"/>
      <c r="R614" s="45"/>
    </row>
    <row r="615" spans="5:18" s="7" customFormat="1">
      <c r="E615" s="879" t="str" cm="1">
        <f t="array" ref="E615">INDEX(K615:P615, , F$2)</f>
        <v>File</v>
      </c>
      <c r="J615" s="869"/>
      <c r="K615" s="880" t="s">
        <v>1820</v>
      </c>
      <c r="L615" s="880" t="s">
        <v>1821</v>
      </c>
      <c r="M615" s="875" t="s">
        <v>1822</v>
      </c>
      <c r="N615" s="880"/>
      <c r="O615" s="880"/>
      <c r="P615" s="869"/>
      <c r="Q615" s="45"/>
      <c r="R615" s="45"/>
    </row>
    <row r="616" spans="5:18" s="7" customFormat="1">
      <c r="E616" s="879" t="str" cm="1">
        <f t="array" ref="E616">INDEX(K616:P616, , F$2)</f>
        <v>Dashboard parameters</v>
      </c>
      <c r="J616" s="869"/>
      <c r="K616" s="880" t="s">
        <v>1823</v>
      </c>
      <c r="L616" s="880" t="s">
        <v>1824</v>
      </c>
      <c r="M616" s="875" t="s">
        <v>1825</v>
      </c>
      <c r="N616" s="880"/>
      <c r="O616" s="880"/>
      <c r="P616" s="869"/>
      <c r="Q616" s="45"/>
      <c r="R616" s="45"/>
    </row>
    <row r="617" spans="5:18">
      <c r="E617" s="895" t="str" cm="1">
        <f t="array" ref="E617">INDEX(K617:P617, , F$2)</f>
        <v>Top of track results</v>
      </c>
      <c r="J617" s="894"/>
      <c r="K617" s="875" t="s">
        <v>1826</v>
      </c>
      <c r="L617" s="995" t="s">
        <v>1827</v>
      </c>
      <c r="M617" s="875" t="s">
        <v>1828</v>
      </c>
      <c r="N617" s="875"/>
      <c r="O617" s="875"/>
      <c r="P617" s="894"/>
      <c r="Q617" s="985"/>
      <c r="R617" s="985"/>
    </row>
    <row r="618" spans="5:18">
      <c r="E618" s="895" t="str" cm="1">
        <f t="array" ref="E618">INDEX(K618:P618, , F$2)</f>
        <v>Bottom of track results</v>
      </c>
      <c r="J618" s="894"/>
      <c r="K618" s="875" t="s">
        <v>1829</v>
      </c>
      <c r="L618" s="995" t="s">
        <v>1830</v>
      </c>
      <c r="M618" s="875" t="s">
        <v>1831</v>
      </c>
      <c r="N618" s="875"/>
      <c r="O618" s="875"/>
      <c r="P618" s="894"/>
      <c r="Q618" s="985"/>
      <c r="R618" s="985"/>
    </row>
    <row r="619" spans="5:18" s="7" customFormat="1">
      <c r="E619" s="879" t="str" cm="1">
        <f t="array" ref="E619">INDEX(K619:P619, , F$2)</f>
        <v>Describe changes</v>
      </c>
      <c r="J619" s="869"/>
      <c r="K619" s="880" t="s">
        <v>1832</v>
      </c>
      <c r="L619" s="880" t="s">
        <v>1833</v>
      </c>
      <c r="M619" s="875" t="s">
        <v>1834</v>
      </c>
      <c r="N619" s="880"/>
      <c r="O619" s="880"/>
      <c r="P619" s="869"/>
      <c r="Q619" s="45"/>
      <c r="R619" s="45"/>
    </row>
    <row r="620" spans="5:18" s="7" customFormat="1">
      <c r="E620" s="879" t="str" cm="1">
        <f t="array" ref="E620">INDEX(K620:P620, , F$2)</f>
        <v>mineral sales</v>
      </c>
      <c r="J620" s="869"/>
      <c r="K620" s="880" t="s">
        <v>1835</v>
      </c>
      <c r="L620" s="880" t="s">
        <v>1836</v>
      </c>
      <c r="M620" s="875" t="s">
        <v>1837</v>
      </c>
      <c r="N620" s="880"/>
      <c r="O620" s="880"/>
      <c r="P620" s="869"/>
      <c r="Q620" s="45"/>
      <c r="R620" s="45"/>
    </row>
    <row r="621" spans="5:18" s="7" customFormat="1">
      <c r="E621" s="879" t="str" cm="1">
        <f t="array" ref="E621">INDEX(K621:P621, , F$2)</f>
        <v>alternative sets of fiscal paramemters</v>
      </c>
      <c r="J621" s="869"/>
      <c r="K621" s="880" t="s">
        <v>1838</v>
      </c>
      <c r="L621" s="880" t="s">
        <v>1839</v>
      </c>
      <c r="M621" s="875" t="s">
        <v>1840</v>
      </c>
      <c r="N621" s="880"/>
      <c r="O621" s="880"/>
      <c r="P621" s="869"/>
      <c r="Q621" s="45"/>
      <c r="R621" s="45"/>
    </row>
    <row r="622" spans="5:18" s="7" customFormat="1">
      <c r="E622" s="879" t="str" cm="1">
        <f t="array" ref="E622">INDEX(K622:P622, , F$2)</f>
        <v>Columns</v>
      </c>
      <c r="J622" s="869"/>
      <c r="K622" s="880" t="s">
        <v>1841</v>
      </c>
      <c r="L622" s="880" t="s">
        <v>1842</v>
      </c>
      <c r="M622" s="875" t="s">
        <v>1843</v>
      </c>
      <c r="N622" s="880"/>
      <c r="O622" s="880"/>
      <c r="P622" s="869"/>
      <c r="Q622" s="45"/>
      <c r="R622" s="45"/>
    </row>
    <row r="623" spans="5:18" s="7" customFormat="1">
      <c r="E623" s="879" t="str" cm="1">
        <f t="array" ref="E623">INDEX(K623:P623, , F$2)</f>
        <v>Zero if ELT off</v>
      </c>
      <c r="J623" s="869"/>
      <c r="K623" s="880" t="s">
        <v>1844</v>
      </c>
      <c r="L623" s="880" t="s">
        <v>1845</v>
      </c>
      <c r="M623" s="875" t="s">
        <v>1846</v>
      </c>
      <c r="N623" s="880"/>
      <c r="O623" s="880"/>
      <c r="P623" s="869"/>
      <c r="Q623" s="45"/>
      <c r="R623" s="45"/>
    </row>
    <row r="624" spans="5:18" s="7" customFormat="1">
      <c r="E624" s="879" t="str" cm="1">
        <f t="array" ref="E624">INDEX(K624:P624, , F$2)</f>
        <v>const</v>
      </c>
      <c r="J624" s="869"/>
      <c r="K624" s="880" t="s">
        <v>1847</v>
      </c>
      <c r="L624" s="880" t="s">
        <v>1847</v>
      </c>
      <c r="M624" s="875" t="s">
        <v>1848</v>
      </c>
      <c r="N624" s="880"/>
      <c r="O624" s="880"/>
      <c r="P624" s="869"/>
      <c r="Q624" s="45"/>
      <c r="R624" s="45"/>
    </row>
    <row r="625" spans="5:18" ht="30">
      <c r="E625" s="895" t="str" cm="1">
        <f t="array" ref="E625">INDEX(K625:P625, , F$2)</f>
        <v>cashflows excluding exploration &amp; development costs</v>
      </c>
      <c r="J625" s="894"/>
      <c r="K625" s="875" t="s">
        <v>1849</v>
      </c>
      <c r="L625" s="995" t="s">
        <v>1850</v>
      </c>
      <c r="M625" s="875" t="s">
        <v>1851</v>
      </c>
      <c r="N625" s="875"/>
      <c r="O625" s="875"/>
      <c r="P625" s="894"/>
      <c r="Q625" s="985"/>
      <c r="R625" s="985"/>
    </row>
    <row r="626" spans="5:18" s="7" customFormat="1">
      <c r="E626" s="879" t="str" cm="1">
        <f t="array" ref="E626">INDEX(K626:P626, , F$2)</f>
        <v>For chart</v>
      </c>
      <c r="J626" s="869"/>
      <c r="K626" s="880" t="s">
        <v>1852</v>
      </c>
      <c r="L626" s="880" t="s">
        <v>1853</v>
      </c>
      <c r="M626" s="875" t="s">
        <v>1854</v>
      </c>
      <c r="N626" s="880"/>
      <c r="O626" s="880"/>
      <c r="P626" s="869"/>
      <c r="Q626" s="45"/>
      <c r="R626" s="45"/>
    </row>
    <row r="627" spans="5:18" s="7" customFormat="1">
      <c r="E627" s="879" t="str" cm="1">
        <f t="array" ref="E627">INDEX(K627:P627, , F$2)</f>
        <v>FARI terms of use</v>
      </c>
      <c r="J627" s="869"/>
      <c r="K627" s="880" t="s">
        <v>1855</v>
      </c>
      <c r="L627" s="880" t="s">
        <v>1856</v>
      </c>
      <c r="M627" s="875" t="s">
        <v>1857</v>
      </c>
      <c r="N627" s="880"/>
      <c r="O627" s="880"/>
      <c r="P627" s="869"/>
      <c r="Q627" s="45"/>
      <c r="R627" s="45"/>
    </row>
    <row r="628" spans="5:18" s="7" customFormat="1" ht="90">
      <c r="E628" s="895" t="str" cm="1">
        <f t="array" ref="E628">INDEX(K628:P628, , F$2)</f>
        <v>The Fiscal Analysis of Resource Industries (FARI or the “Methodology”) is made available to User by the International Monetary Fund (IMF) and subject to the following terms and conditions of use (“Terms”).  By proceeding to use of the Methodology, User agrees and accepts the Terms.</v>
      </c>
      <c r="J628" s="869"/>
      <c r="K628" s="875" t="s">
        <v>1858</v>
      </c>
      <c r="L628" s="875" t="s">
        <v>1859</v>
      </c>
      <c r="M628" s="875" t="s">
        <v>1860</v>
      </c>
      <c r="N628" s="875"/>
      <c r="O628" s="875"/>
      <c r="P628" s="869"/>
      <c r="Q628" s="45"/>
      <c r="R628" s="45"/>
    </row>
    <row r="629" spans="5:18" s="7" customFormat="1">
      <c r="E629" s="879" t="str" cm="1">
        <f t="array" ref="E629">INDEX(K629:P629, , F$2)</f>
        <v>TERMS</v>
      </c>
      <c r="J629" s="869"/>
      <c r="K629" s="875" t="s">
        <v>1861</v>
      </c>
      <c r="L629" s="875" t="s">
        <v>1862</v>
      </c>
      <c r="M629" s="875" t="s">
        <v>1863</v>
      </c>
      <c r="N629" s="875"/>
      <c r="O629" s="875"/>
      <c r="P629" s="869"/>
      <c r="Q629" s="45"/>
      <c r="R629" s="45"/>
    </row>
    <row r="630" spans="5:18" ht="120">
      <c r="E630" s="895" t="str" cm="1">
        <f t="array" ref="E630">INDEX(K630:P630, , F$2)</f>
        <v>1. The Methodology is intended as a tool to perform economic and fiscal analysis of extractive industries projects and to support general capacity building for government officials and civil society. User may adapt, modify or alter the Methodology to the extent necessary to fit the purpose of User’s internal use, provided that such adaptations, modifications or alterations shall not affect the integrity of the Methodology.</v>
      </c>
      <c r="J630" s="894"/>
      <c r="K630" s="875" t="s">
        <v>1864</v>
      </c>
      <c r="L630" s="995" t="s">
        <v>1865</v>
      </c>
      <c r="M630" s="875" t="s">
        <v>1866</v>
      </c>
      <c r="N630" s="875"/>
      <c r="O630" s="875"/>
      <c r="P630" s="894"/>
      <c r="Q630" s="985"/>
      <c r="R630" s="985"/>
    </row>
    <row r="631" spans="5:18" s="7" customFormat="1" ht="90">
      <c r="E631" s="895" t="str" cm="1">
        <f t="array" ref="E631">INDEX(K631:P631, , F$2)</f>
        <v>2. The Methodology has not been configured as a formal forecasting tool and is not designed or intended for such use. The Methodology is made available “as is” and the IMF makes no warranty or representation of the accuracy, adequacy or fitness for a particular purpose of the Methodology.</v>
      </c>
      <c r="J631" s="869"/>
      <c r="K631" s="875" t="s">
        <v>1867</v>
      </c>
      <c r="L631" s="875" t="s">
        <v>1868</v>
      </c>
      <c r="M631" s="875" t="s">
        <v>1869</v>
      </c>
      <c r="N631" s="875"/>
      <c r="O631" s="875"/>
      <c r="P631" s="869"/>
      <c r="Q631" s="45"/>
      <c r="R631" s="45"/>
    </row>
    <row r="632" spans="5:18" s="7" customFormat="1" ht="75">
      <c r="E632" s="895" t="str" cm="1">
        <f t="array" ref="E632">INDEX(K632:P632, , F$2)</f>
        <v xml:space="preserve">3. All proprietary rights in the Methodology, including intellectual property rights, belong to the IMF. All other rights, whether now existing or which may hereafter come into existence which are not expressly authorized by these Terms, are hereby reserved to and by the IMF. </v>
      </c>
      <c r="J632" s="869"/>
      <c r="K632" s="875" t="s">
        <v>1870</v>
      </c>
      <c r="L632" s="875" t="s">
        <v>1871</v>
      </c>
      <c r="M632" s="875" t="s">
        <v>1872</v>
      </c>
      <c r="N632" s="875"/>
      <c r="O632" s="875"/>
      <c r="P632" s="869"/>
      <c r="Q632" s="45"/>
      <c r="R632" s="45"/>
    </row>
    <row r="633" spans="5:18" s="7" customFormat="1" ht="75">
      <c r="E633" s="895" t="str" cm="1">
        <f t="array" ref="E633">INDEX(K633:P633, , F$2)</f>
        <v>4. User shall give appropriate credit to the IMF in all applications and outputs derived from the use of the Methodology, in a way which does not suggest that the IMF endorses User or any User's use of the Methodology and the outputs deriving thereof.</v>
      </c>
      <c r="J633" s="869"/>
      <c r="K633" s="875" t="s">
        <v>1873</v>
      </c>
      <c r="L633" s="875" t="s">
        <v>1874</v>
      </c>
      <c r="M633" s="875" t="s">
        <v>1875</v>
      </c>
      <c r="N633" s="875"/>
      <c r="O633" s="875"/>
      <c r="P633" s="869"/>
      <c r="Q633" s="45"/>
      <c r="R633" s="45"/>
    </row>
    <row r="634" spans="5:18" s="7" customFormat="1" ht="75">
      <c r="E634" s="895" t="str" cm="1">
        <f t="array" ref="E634">INDEX(K634:P634, , F$2)</f>
        <v>5. Access to and use of the Methodology are at the User's own risk and responsibility. The IMF bears no responsibility or liability for damage of any kind, also for indirect or consequential damages resulting from access to or use of this Methodology.</v>
      </c>
      <c r="J634" s="869"/>
      <c r="K634" s="875" t="s">
        <v>1876</v>
      </c>
      <c r="L634" s="875" t="s">
        <v>1877</v>
      </c>
      <c r="M634" s="875" t="s">
        <v>1878</v>
      </c>
      <c r="N634" s="875"/>
      <c r="O634" s="875"/>
      <c r="P634" s="869"/>
      <c r="Q634" s="45"/>
      <c r="R634" s="45"/>
    </row>
    <row r="635" spans="5:18" s="7" customFormat="1">
      <c r="E635" s="895" t="str" cm="1">
        <f t="array" ref="E635">INDEX(K635:P635, , F$2)</f>
        <v>Accept terms of use to continue.</v>
      </c>
      <c r="J635" s="869"/>
      <c r="K635" s="875" t="s">
        <v>1879</v>
      </c>
      <c r="L635" s="875" t="s">
        <v>1880</v>
      </c>
      <c r="M635" s="875" t="s">
        <v>1881</v>
      </c>
      <c r="N635" s="875"/>
      <c r="O635" s="875"/>
      <c r="P635" s="869"/>
      <c r="Q635" s="45"/>
      <c r="R635" s="45"/>
    </row>
    <row r="636" spans="5:18" s="7" customFormat="1">
      <c r="E636" s="895" t="str" cm="1">
        <f t="array" ref="E636">INDEX(K636:P636, , F$2)</f>
        <v xml:space="preserve">Accept terms  </v>
      </c>
      <c r="J636" s="869"/>
      <c r="K636" s="875" t="s">
        <v>1882</v>
      </c>
      <c r="L636" s="875" t="s">
        <v>1883</v>
      </c>
      <c r="M636" s="875" t="s">
        <v>1884</v>
      </c>
      <c r="N636" s="875"/>
      <c r="O636" s="875"/>
      <c r="P636" s="869"/>
      <c r="Q636" s="45"/>
      <c r="R636" s="45"/>
    </row>
    <row r="637" spans="5:18" s="7" customFormat="1">
      <c r="E637" s="895" t="str" cm="1">
        <f t="array" ref="E637">INDEX(K637:P637, , F$2)</f>
        <v>Don't accept terms</v>
      </c>
      <c r="J637" s="869"/>
      <c r="K637" s="875" t="s">
        <v>1885</v>
      </c>
      <c r="L637" s="875" t="s">
        <v>1886</v>
      </c>
      <c r="M637" s="875" t="s">
        <v>1887</v>
      </c>
      <c r="N637" s="875"/>
      <c r="O637" s="875"/>
      <c r="P637" s="869"/>
      <c r="Q637" s="45"/>
      <c r="R637" s="45"/>
    </row>
    <row r="638" spans="5:18" s="7" customFormat="1">
      <c r="E638" s="895" t="str" cm="1">
        <f t="array" ref="E638">INDEX(K638:P638, , F$2)</f>
        <v>Simplified mining FARI model: June 2021</v>
      </c>
      <c r="J638" s="869"/>
      <c r="K638" s="875" t="s">
        <v>1888</v>
      </c>
      <c r="L638" s="875" t="s">
        <v>1889</v>
      </c>
      <c r="M638" s="875" t="s">
        <v>1890</v>
      </c>
      <c r="N638" s="875"/>
      <c r="O638" s="875"/>
      <c r="P638" s="869"/>
      <c r="Q638" s="45"/>
      <c r="R638" s="45"/>
    </row>
    <row r="639" spans="5:18" s="7" customFormat="1">
      <c r="E639" s="895" t="str" cm="1">
        <f t="array" ref="E639">INDEX(K639:P639, , F$2)</f>
        <v>Checks</v>
      </c>
      <c r="J639" s="869"/>
      <c r="K639" s="875" t="s">
        <v>1891</v>
      </c>
      <c r="L639" s="875" t="s">
        <v>1892</v>
      </c>
      <c r="M639" s="875" t="s">
        <v>1893</v>
      </c>
      <c r="N639" s="875"/>
      <c r="O639" s="875"/>
      <c r="P639" s="869"/>
      <c r="Q639" s="45"/>
      <c r="R639" s="45"/>
    </row>
    <row r="640" spans="5:18" ht="105">
      <c r="E640" s="895" t="str" cm="1">
        <f t="array" ref="E640">INDEX(K640:P640, , F$2)</f>
        <v>The model applies user-configured fiscal regimes to user-configured mining project examples. This simplified model is currently configured to handle mining projects for gold, iron ore, diamond and coal. However, the user can easily change the model for analyzing another mineral. The model structure is set out in the MODEL MAP sheet.</v>
      </c>
      <c r="J640" s="894"/>
      <c r="K640" s="875" t="s">
        <v>1894</v>
      </c>
      <c r="L640" s="995" t="s">
        <v>1895</v>
      </c>
      <c r="M640" s="875" t="s">
        <v>1896</v>
      </c>
      <c r="N640" s="875"/>
      <c r="O640" s="875"/>
      <c r="P640" s="894"/>
      <c r="Q640" s="985"/>
      <c r="R640" s="985"/>
    </row>
    <row r="641" spans="5:18" ht="90">
      <c r="E641" s="895" t="str" cm="1">
        <f t="array" ref="E641">INDEX(K641:P641, , F$2)</f>
        <v>The model has a number of checks to test its internal consistency. These checks will remain green. If the master check cell is red, there is a problem in the model. Either an error needs to be corrected, or the check itself refined. In either case, red checks must be addressed.</v>
      </c>
      <c r="J641" s="894"/>
      <c r="K641" s="875" t="s">
        <v>1897</v>
      </c>
      <c r="L641" s="995" t="s">
        <v>1898</v>
      </c>
      <c r="M641" s="875" t="s">
        <v>1899</v>
      </c>
      <c r="N641" s="875"/>
      <c r="O641" s="875"/>
      <c r="P641" s="894"/>
      <c r="Q641" s="985"/>
      <c r="R641" s="985"/>
    </row>
    <row r="642" spans="5:18" ht="75">
      <c r="E642" s="895" t="str" cm="1">
        <f t="array" ref="E642">INDEX(K642:P642, , F$2)</f>
        <v>This model has been structured broadly in line with the FAST modeling standard (www.fast-standard.org/). Color coding: is set out in the KEY sheet cells.  The user should only need to change cells with yellow background. See KEY sheet</v>
      </c>
      <c r="J642" s="894"/>
      <c r="K642" s="875" t="s">
        <v>1900</v>
      </c>
      <c r="L642" s="995" t="s">
        <v>1901</v>
      </c>
      <c r="M642" s="875" t="s">
        <v>1902</v>
      </c>
      <c r="N642" s="875"/>
      <c r="O642" s="875"/>
      <c r="P642" s="894"/>
      <c r="Q642" s="985"/>
      <c r="R642" s="985"/>
    </row>
    <row r="643" spans="5:18" s="7" customFormat="1" ht="105">
      <c r="E643" s="895" t="str" cm="1">
        <f t="array" ref="E643">INDEX(K643:P643, , F$2)</f>
        <v>Fiscal regime inputs, including tax parameters and rates, are entered in the yellow cells in FISCSALMODEL sheet. Either amend an existing set of parameters or use a blank column to create a new regime. Give the regime a name, as this becomes the label used to select the regime from the DASHBOARD.</v>
      </c>
      <c r="J643" s="869"/>
      <c r="K643" s="875" t="s">
        <v>1903</v>
      </c>
      <c r="L643" s="875" t="s">
        <v>1904</v>
      </c>
      <c r="M643" s="875" t="s">
        <v>1905</v>
      </c>
      <c r="N643" s="875"/>
      <c r="O643" s="875"/>
      <c r="P643" s="869"/>
      <c r="Q643" s="45"/>
      <c r="R643" s="45"/>
    </row>
    <row r="644" spans="5:18" ht="75">
      <c r="E644" s="895" t="str" cm="1">
        <f t="array" ref="E644">INDEX(K644:P644, , F$2)</f>
        <v>Debt financing can have a significant impact on government revenues. Financing inputs are included in each fiscal regime, making it straight-forward to compare the incremental effect of financing by having the duplicate fiscal regimes with and without financing.</v>
      </c>
      <c r="J644" s="894"/>
      <c r="K644" s="875" t="s">
        <v>1906</v>
      </c>
      <c r="L644" s="995" t="s">
        <v>1907</v>
      </c>
      <c r="M644" s="875" t="s">
        <v>1908</v>
      </c>
      <c r="N644" s="875"/>
      <c r="O644" s="875"/>
      <c r="P644" s="894"/>
      <c r="Q644" s="985"/>
      <c r="R644" s="985"/>
    </row>
    <row r="645" spans="5:18" s="7" customFormat="1" ht="60">
      <c r="E645" s="895" t="str" cm="1">
        <f t="array" ref="E645">INDEX(K645:P645, , F$2)</f>
        <v>LIBOR real terms interest rates and inflation rates are entered in the INPUT sheet. Proportion of costs financed, interest rate and repayment period are included in fiscal regime parameters.</v>
      </c>
      <c r="J645" s="869"/>
      <c r="K645" s="875" t="s">
        <v>1909</v>
      </c>
      <c r="L645" s="875" t="s">
        <v>1910</v>
      </c>
      <c r="M645" s="875" t="s">
        <v>1911</v>
      </c>
      <c r="N645" s="875"/>
      <c r="O645" s="875"/>
      <c r="P645" s="869"/>
      <c r="Q645" s="45"/>
      <c r="R645" s="45"/>
    </row>
    <row r="646" spans="5:18" ht="135">
      <c r="E646" s="895" t="str" cm="1">
        <f t="array" ref="E646">INDEX(K646:P646, , F$2)</f>
        <v xml:space="preserve">The model is currently set up assuming a mining company (whether local or international) invests and manages a project with the option of state participation. Results are presented for the mining company and, if applicable, state equity, plus the lender, plus the aggregate of the Mining Company’s equity plus lender. The latter is the parent company perspective and is used in the model as the primary investor evaluation metric for breakeven price analysis.  </v>
      </c>
      <c r="J646" s="894"/>
      <c r="K646" s="875" t="s">
        <v>1912</v>
      </c>
      <c r="L646" s="995" t="s">
        <v>1913</v>
      </c>
      <c r="M646" s="875" t="s">
        <v>1914</v>
      </c>
      <c r="N646" s="875"/>
      <c r="O646" s="875"/>
      <c r="P646" s="894"/>
      <c r="Q646" s="985"/>
      <c r="R646" s="985"/>
    </row>
    <row r="647" spans="5:18" ht="105">
      <c r="E647" s="895" t="str" cm="1">
        <f t="array" ref="E647">INDEX(K647:P647, , F$2)</f>
        <v>Projects are defined in separate project sheets. New projects can be created simply by (1) copying an existing project sheet (2) renaming the sheet tab (3) modifying production and cost profiles; then (4) add the new project sheet tab name to the project list in the INPUT sheet. This last step makes the new project available for selection using the parameter on the DASHBOARD</v>
      </c>
      <c r="J647" s="894"/>
      <c r="K647" s="875" t="s">
        <v>1915</v>
      </c>
      <c r="L647" s="995" t="s">
        <v>1916</v>
      </c>
      <c r="M647" s="875" t="s">
        <v>1917</v>
      </c>
      <c r="N647" s="875"/>
      <c r="O647" s="875"/>
      <c r="P647" s="894"/>
      <c r="Q647" s="985"/>
      <c r="R647" s="985"/>
    </row>
    <row r="648" spans="5:18" s="7" customFormat="1">
      <c r="E648" s="895" t="str" cm="1">
        <f t="array" ref="E648">INDEX(K648:P648, , F$2)</f>
        <v>In each project example:</v>
      </c>
      <c r="J648" s="869"/>
      <c r="K648" s="875" t="s">
        <v>1918</v>
      </c>
      <c r="L648" s="875" t="s">
        <v>1919</v>
      </c>
      <c r="M648" s="875" t="s">
        <v>1920</v>
      </c>
      <c r="N648" s="875"/>
      <c r="O648" s="875"/>
      <c r="P648" s="869"/>
      <c r="Q648" s="45"/>
      <c r="R648" s="45"/>
    </row>
    <row r="649" spans="5:18" s="7" customFormat="1" ht="30">
      <c r="E649" s="895" t="str" cm="1">
        <f t="array" ref="E649">INDEX(K649:P649, , F$2)</f>
        <v>The logic flow in the model is as set out in the MODELMAP:</v>
      </c>
      <c r="J649" s="869"/>
      <c r="K649" s="875" t="s">
        <v>1921</v>
      </c>
      <c r="L649" s="875" t="s">
        <v>1922</v>
      </c>
      <c r="M649" s="875" t="s">
        <v>1923</v>
      </c>
      <c r="N649" s="875"/>
      <c r="O649" s="875"/>
      <c r="P649" s="869"/>
      <c r="Q649" s="45"/>
      <c r="R649" s="45"/>
    </row>
    <row r="650" spans="5:18" s="7" customFormat="1">
      <c r="E650" s="895" t="str" cm="1">
        <f t="array" ref="E650">INDEX(K650:P650, , F$2)</f>
        <v>Select project example</v>
      </c>
      <c r="J650" s="869"/>
      <c r="K650" s="875" t="s">
        <v>1924</v>
      </c>
      <c r="L650" s="875" t="s">
        <v>1925</v>
      </c>
      <c r="M650" s="875" t="s">
        <v>1926</v>
      </c>
      <c r="N650" s="875"/>
      <c r="O650" s="875"/>
      <c r="P650" s="869"/>
      <c r="Q650" s="45"/>
      <c r="R650" s="45"/>
    </row>
    <row r="651" spans="5:18" s="7" customFormat="1">
      <c r="E651" s="895" t="str" cm="1">
        <f t="array" ref="E651">INDEX(K651:P651, , F$2)</f>
        <v>Select applicable fiscal regime</v>
      </c>
      <c r="J651" s="869"/>
      <c r="K651" s="875" t="s">
        <v>1927</v>
      </c>
      <c r="L651" s="875" t="s">
        <v>1928</v>
      </c>
      <c r="M651" s="875" t="s">
        <v>1929</v>
      </c>
      <c r="N651" s="875"/>
      <c r="O651" s="875"/>
      <c r="P651" s="869"/>
      <c r="Q651" s="45"/>
      <c r="R651" s="45"/>
    </row>
    <row r="652" spans="5:18" s="7" customFormat="1">
      <c r="E652" s="895" t="str" cm="1">
        <f t="array" ref="E652">INDEX(K652:P652, , F$2)</f>
        <v>Set mineral price(s)</v>
      </c>
      <c r="J652" s="869"/>
      <c r="K652" s="875" t="s">
        <v>1930</v>
      </c>
      <c r="L652" s="875" t="s">
        <v>1931</v>
      </c>
      <c r="M652" s="875" t="s">
        <v>1932</v>
      </c>
      <c r="N652" s="875"/>
      <c r="O652" s="875"/>
      <c r="P652" s="869"/>
      <c r="Q652" s="45"/>
      <c r="R652" s="45"/>
    </row>
    <row r="653" spans="5:18" ht="30">
      <c r="E653" s="895" t="str" cm="1">
        <f t="array" ref="E653">INDEX(K653:P653, , F$2)</f>
        <v>The PROJECTCASHFLOWS sheet imports project data from the selected project example sheet</v>
      </c>
      <c r="J653" s="894"/>
      <c r="K653" s="875" t="s">
        <v>1933</v>
      </c>
      <c r="L653" s="995" t="s">
        <v>1934</v>
      </c>
      <c r="M653" s="875" t="s">
        <v>1935</v>
      </c>
      <c r="N653" s="875"/>
      <c r="O653" s="875"/>
      <c r="P653" s="894"/>
      <c r="Q653" s="985"/>
      <c r="R653" s="985"/>
    </row>
    <row r="654" spans="5:18" s="7" customFormat="1">
      <c r="E654" s="895" t="str" cm="1">
        <f t="array" ref="E654">INDEX(K654:P654, , F$2)</f>
        <v>Fiscal calculations are done in the FISCALMODEL sheet</v>
      </c>
      <c r="J654" s="869"/>
      <c r="K654" s="875" t="s">
        <v>1936</v>
      </c>
      <c r="L654" s="875" t="s">
        <v>1937</v>
      </c>
      <c r="M654" s="875" t="s">
        <v>1938</v>
      </c>
      <c r="N654" s="875"/>
      <c r="O654" s="875"/>
      <c r="P654" s="869"/>
      <c r="Q654" s="45"/>
      <c r="R654" s="45"/>
    </row>
    <row r="655" spans="5:18" ht="90">
      <c r="E655" s="895" t="str" cm="1">
        <f t="array" ref="E655">INDEX(K655:P655, , F$2)</f>
        <v>The ANALYSIS sheet compiles results from the model and derives outcomes for each participant on a (1) Full-cycle basis (from the start of exploration) and (2) from FID (in practice when development costs are first incurred). Comprehensive IRR and NPV calculations are undertaken for each project participant from both perspectives.</v>
      </c>
      <c r="J655" s="894"/>
      <c r="K655" s="875" t="s">
        <v>1939</v>
      </c>
      <c r="L655" s="995" t="s">
        <v>1940</v>
      </c>
      <c r="M655" s="875" t="s">
        <v>1941</v>
      </c>
      <c r="N655" s="875"/>
      <c r="O655" s="875"/>
      <c r="P655" s="894"/>
      <c r="Q655" s="985"/>
      <c r="R655" s="985"/>
    </row>
    <row r="656" spans="5:18" ht="30">
      <c r="E656" s="895" t="str" cm="1">
        <f t="array" ref="E656">INDEX(K656:P656, , F$2)</f>
        <v>The DASHBOARD is where the user will spend most time driving the model.</v>
      </c>
      <c r="J656" s="894"/>
      <c r="K656" s="875" t="s">
        <v>1942</v>
      </c>
      <c r="L656" s="995" t="s">
        <v>1943</v>
      </c>
      <c r="M656" s="875" t="s">
        <v>1944</v>
      </c>
      <c r="N656" s="875"/>
      <c r="O656" s="875"/>
      <c r="P656" s="894"/>
      <c r="Q656" s="985"/>
      <c r="R656" s="985"/>
    </row>
    <row r="657" spans="5:18" s="7" customFormat="1">
      <c r="E657" s="895" t="str" cm="1">
        <f t="array" ref="E657">INDEX(K657:P657, , F$2)</f>
        <v>Select fiscal regime: drop-down list on top left</v>
      </c>
      <c r="J657" s="869"/>
      <c r="K657" s="875" t="s">
        <v>1945</v>
      </c>
      <c r="L657" s="875" t="s">
        <v>1946</v>
      </c>
      <c r="M657" s="875" t="s">
        <v>1947</v>
      </c>
      <c r="N657" s="875"/>
      <c r="O657" s="875"/>
      <c r="P657" s="869"/>
      <c r="Q657" s="45"/>
      <c r="R657" s="45"/>
    </row>
    <row r="658" spans="5:18" s="7" customFormat="1">
      <c r="E658" s="895" t="str" cm="1">
        <f t="array" ref="E658">INDEX(K658:P658, , F$2)</f>
        <v>Select project: drop-down list on top left</v>
      </c>
      <c r="J658" s="869"/>
      <c r="K658" s="875" t="s">
        <v>1948</v>
      </c>
      <c r="L658" s="875" t="s">
        <v>1949</v>
      </c>
      <c r="M658" s="875" t="s">
        <v>1950</v>
      </c>
      <c r="N658" s="875"/>
      <c r="O658" s="875"/>
      <c r="P658" s="869"/>
      <c r="Q658" s="45"/>
      <c r="R658" s="45"/>
    </row>
    <row r="659" spans="5:18" s="7" customFormat="1" ht="30">
      <c r="E659" s="895" t="str" cm="1">
        <f t="array" ref="E659">INDEX(K659:P659, , F$2)</f>
        <v>Change mineral price(s): entered top left</v>
      </c>
      <c r="J659" s="869"/>
      <c r="K659" s="875" t="s">
        <v>1951</v>
      </c>
      <c r="L659" s="875" t="s">
        <v>1952</v>
      </c>
      <c r="M659" s="875" t="s">
        <v>1953</v>
      </c>
      <c r="N659" s="875"/>
      <c r="O659" s="875"/>
      <c r="P659" s="869"/>
      <c r="Q659" s="45"/>
      <c r="R659" s="45"/>
    </row>
    <row r="660" spans="5:18" s="7" customFormat="1">
      <c r="E660" s="895" t="str" cm="1">
        <f t="array" ref="E660">INDEX(K660:P660, , F$2)</f>
        <v>Participant cashflows (table top-centre)</v>
      </c>
      <c r="J660" s="869"/>
      <c r="K660" s="875" t="s">
        <v>1954</v>
      </c>
      <c r="L660" s="875" t="s">
        <v>1955</v>
      </c>
      <c r="M660" s="875" t="s">
        <v>1956</v>
      </c>
      <c r="N660" s="875"/>
      <c r="O660" s="875"/>
      <c r="P660" s="869"/>
      <c r="Q660" s="45"/>
      <c r="R660" s="45"/>
    </row>
    <row r="661" spans="5:18" ht="45">
      <c r="E661" s="895" t="str" cm="1">
        <f t="array" ref="E661">INDEX(K661:P661, , F$2)</f>
        <v>Project cashflows (table top-right). Breakdown of revenues and costs on undiscounted real dollars and US$ / unit of measurement for primary mineral.</v>
      </c>
      <c r="J661" s="894"/>
      <c r="K661" s="875" t="s">
        <v>1957</v>
      </c>
      <c r="L661" s="995" t="s">
        <v>1958</v>
      </c>
      <c r="M661" s="875" t="s">
        <v>1959</v>
      </c>
      <c r="N661" s="875"/>
      <c r="O661" s="875"/>
      <c r="P661" s="894"/>
      <c r="Q661" s="985"/>
      <c r="R661" s="985"/>
    </row>
    <row r="662" spans="5:18" ht="30">
      <c r="E662" s="895" t="str" cm="1">
        <f t="array" ref="E662">INDEX(K662:P662, , F$2)</f>
        <v>Government revenues (table centre-right). Summary of government revenues by category.</v>
      </c>
      <c r="J662" s="894"/>
      <c r="K662" s="875" t="s">
        <v>1960</v>
      </c>
      <c r="L662" s="995" t="s">
        <v>1961</v>
      </c>
      <c r="M662" s="875" t="s">
        <v>1962</v>
      </c>
      <c r="N662" s="875"/>
      <c r="O662" s="875"/>
      <c r="P662" s="894"/>
      <c r="Q662" s="985"/>
      <c r="R662" s="985"/>
    </row>
    <row r="663" spans="5:18" s="7" customFormat="1">
      <c r="E663" s="895" t="str" cm="1">
        <f t="array" ref="E663">INDEX(K663:P663, , F$2)</f>
        <v>Project statistics (table and chart lower-Left)</v>
      </c>
      <c r="J663" s="869"/>
      <c r="K663" s="875" t="s">
        <v>1963</v>
      </c>
      <c r="L663" s="875" t="s">
        <v>1964</v>
      </c>
      <c r="M663" s="875" t="s">
        <v>1965</v>
      </c>
      <c r="N663" s="875"/>
      <c r="O663" s="875"/>
      <c r="P663" s="869"/>
      <c r="Q663" s="45"/>
      <c r="R663" s="45"/>
    </row>
    <row r="664" spans="5:18" s="7" customFormat="1" ht="30">
      <c r="E664" s="895" t="str" cm="1">
        <f t="array" ref="E664">INDEX(K664:P664, , F$2)</f>
        <v>Production profile and unit operating costs (chart lower-right)</v>
      </c>
      <c r="J664" s="869"/>
      <c r="K664" s="875" t="s">
        <v>1966</v>
      </c>
      <c r="L664" s="875" t="s">
        <v>1967</v>
      </c>
      <c r="M664" s="875" t="s">
        <v>1968</v>
      </c>
      <c r="N664" s="875"/>
      <c r="O664" s="875"/>
      <c r="P664" s="869"/>
      <c r="Q664" s="45"/>
      <c r="R664" s="45"/>
    </row>
    <row r="665" spans="5:18" ht="45">
      <c r="E665" s="895" t="str" cm="1">
        <f t="array" ref="E665">INDEX(K665:P665, , F$2)</f>
        <v>Government revenue profile: Chart in centre. Annual revenues by category, plus pie chart showing breakdown over project life.</v>
      </c>
      <c r="J665" s="894"/>
      <c r="K665" s="875" t="s">
        <v>1969</v>
      </c>
      <c r="L665" s="995" t="s">
        <v>1970</v>
      </c>
      <c r="M665" s="875" t="s">
        <v>1971</v>
      </c>
      <c r="N665" s="875"/>
      <c r="O665" s="875"/>
      <c r="P665" s="894"/>
      <c r="Q665" s="985"/>
      <c r="R665" s="985"/>
    </row>
    <row r="666" spans="5:18" ht="60">
      <c r="E666" s="895" t="str" cm="1">
        <f t="array" ref="E666">INDEX(K666:P666, , F$2)</f>
        <v>Compares key results for regimes selected by user. User chooses regimes to compare from drop-down lists in yellow cells at the top of the table. Then press F9 to update.</v>
      </c>
      <c r="J666" s="894"/>
      <c r="K666" s="875" t="s">
        <v>1972</v>
      </c>
      <c r="L666" s="995" t="s">
        <v>1973</v>
      </c>
      <c r="M666" s="875" t="s">
        <v>1974</v>
      </c>
      <c r="N666" s="875"/>
      <c r="O666" s="875"/>
      <c r="P666" s="894"/>
      <c r="Q666" s="985"/>
      <c r="R666" s="985"/>
    </row>
    <row r="667" spans="5:18" ht="30">
      <c r="E667" s="895" t="str" cm="1">
        <f t="array" ref="E667">INDEX(K667:P667, , F$2)</f>
        <v>If cells are left blank results are zero or #NA, enabling only two regimes to be compared side by side</v>
      </c>
      <c r="J667" s="894"/>
      <c r="K667" s="875" t="s">
        <v>1975</v>
      </c>
      <c r="L667" s="995" t="s">
        <v>1976</v>
      </c>
      <c r="M667" s="875" t="s">
        <v>1977</v>
      </c>
      <c r="N667" s="875"/>
      <c r="O667" s="875"/>
      <c r="P667" s="894"/>
      <c r="Q667" s="985"/>
      <c r="R667" s="985"/>
    </row>
    <row r="668" spans="5:18">
      <c r="E668" s="895" t="str" cm="1">
        <f t="array" ref="E668">INDEX(K668:P668, , F$2)</f>
        <v>Press F9 to ensure table updates</v>
      </c>
      <c r="J668" s="894"/>
      <c r="K668" s="875" t="s">
        <v>1978</v>
      </c>
      <c r="L668" s="995" t="s">
        <v>1979</v>
      </c>
      <c r="M668" s="875" t="s">
        <v>1980</v>
      </c>
      <c r="N668" s="875"/>
      <c r="O668" s="875"/>
      <c r="P668" s="894"/>
      <c r="Q668" s="985"/>
      <c r="R668" s="985"/>
    </row>
    <row r="669" spans="5:18" ht="45">
      <c r="E669" s="895" t="str" cm="1">
        <f t="array" ref="E669">INDEX(K669:P669, , F$2)</f>
        <v>Compares annual revenue profile for regimes selected by user. Select regimes using drop-down list at left of the table</v>
      </c>
      <c r="J669" s="894"/>
      <c r="K669" s="875" t="s">
        <v>1981</v>
      </c>
      <c r="L669" s="995" t="s">
        <v>1982</v>
      </c>
      <c r="M669" s="875" t="s">
        <v>1983</v>
      </c>
      <c r="N669" s="875"/>
      <c r="O669" s="875"/>
      <c r="P669" s="894"/>
      <c r="Q669" s="985"/>
      <c r="R669" s="985"/>
    </row>
    <row r="670" spans="5:18" ht="45">
      <c r="E670" s="895" t="str" cm="1">
        <f t="array" ref="E670">INDEX(K670:P670, , F$2)</f>
        <v>Sensitivity analysis showing results for user-selected metric across a user-defined range of primary mineral prices</v>
      </c>
      <c r="J670" s="894"/>
      <c r="K670" s="875" t="s">
        <v>1984</v>
      </c>
      <c r="L670" s="995" t="s">
        <v>1985</v>
      </c>
      <c r="M670" s="875" t="s">
        <v>1986</v>
      </c>
      <c r="N670" s="875"/>
      <c r="O670" s="875"/>
      <c r="P670" s="894"/>
      <c r="Q670" s="985"/>
      <c r="R670" s="985"/>
    </row>
    <row r="671" spans="5:18" ht="30">
      <c r="E671" s="895" t="str" cm="1">
        <f t="array" ref="E671">INDEX(K671:P671, , F$2)</f>
        <v>Select metric from drop-down list. Either AETR or share of project benefits, undiscounted or NPV.</v>
      </c>
      <c r="J671" s="894"/>
      <c r="K671" s="875" t="s">
        <v>1987</v>
      </c>
      <c r="L671" s="995" t="s">
        <v>1988</v>
      </c>
      <c r="M671" s="875" t="s">
        <v>1989</v>
      </c>
      <c r="N671" s="875"/>
      <c r="O671" s="875"/>
      <c r="P671" s="894"/>
      <c r="Q671" s="985"/>
      <c r="R671" s="985"/>
    </row>
    <row r="672" spans="5:18" s="7" customFormat="1" ht="30">
      <c r="E672" s="895" t="str" cm="1">
        <f t="array" ref="E672">INDEX(K672:P672, , F$2)</f>
        <v>Enter start primary mineral price and increment to create range for analysis.</v>
      </c>
      <c r="J672" s="869"/>
      <c r="K672" s="875" t="s">
        <v>1990</v>
      </c>
      <c r="L672" s="875" t="s">
        <v>1991</v>
      </c>
      <c r="M672" s="875" t="s">
        <v>1992</v>
      </c>
      <c r="N672" s="875"/>
      <c r="O672" s="875"/>
      <c r="P672" s="869"/>
      <c r="Q672" s="45"/>
      <c r="R672" s="45"/>
    </row>
    <row r="673" spans="5:18" ht="30">
      <c r="E673" s="895" t="str" cm="1">
        <f t="array" ref="E673">INDEX(K673:P673, , F$2)</f>
        <v>Determines the price for the primary mineral necessary under each regime to achieve a user-specified after-tax IRR</v>
      </c>
      <c r="J673" s="894"/>
      <c r="K673" s="875" t="s">
        <v>1993</v>
      </c>
      <c r="L673" s="995" t="s">
        <v>1994</v>
      </c>
      <c r="M673" s="875" t="s">
        <v>1995</v>
      </c>
      <c r="N673" s="875"/>
      <c r="O673" s="875"/>
      <c r="P673" s="894"/>
      <c r="Q673" s="985"/>
      <c r="R673" s="985"/>
    </row>
    <row r="674" spans="5:18" ht="45">
      <c r="E674" s="895" t="str" cm="1">
        <f t="array" ref="E674">INDEX(K674:P674, , F$2)</f>
        <v>Pressing the button marked “breakeven” initiates a macro that determines the breakeven price for each selected regime using Excel’s GOAL-SEEK mechanism.</v>
      </c>
      <c r="J674" s="894"/>
      <c r="K674" s="875" t="s">
        <v>1996</v>
      </c>
      <c r="L674" s="995" t="s">
        <v>1997</v>
      </c>
      <c r="M674" s="875" t="s">
        <v>1998</v>
      </c>
      <c r="N674" s="875"/>
      <c r="O674" s="875"/>
      <c r="P674" s="894"/>
      <c r="Q674" s="985"/>
      <c r="R674" s="985"/>
    </row>
    <row r="675" spans="5:18" ht="45">
      <c r="E675" s="895" t="str" cm="1">
        <f t="array" ref="E675">INDEX(K675:P675, , F$2)</f>
        <v>METR is the proportion of pre-tax IRR taken by the fiscal regime, at the breakeven point, as described in the FAD Technical Note</v>
      </c>
      <c r="J675" s="894"/>
      <c r="K675" s="875" t="s">
        <v>1999</v>
      </c>
      <c r="L675" s="995" t="s">
        <v>2000</v>
      </c>
      <c r="M675" s="875" t="s">
        <v>2001</v>
      </c>
      <c r="N675" s="875"/>
      <c r="O675" s="875"/>
      <c r="P675" s="894"/>
      <c r="Q675" s="985"/>
      <c r="R675" s="985"/>
    </row>
    <row r="676" spans="5:18" s="7" customFormat="1" ht="45">
      <c r="E676" s="895" t="str" cm="1">
        <f t="array" ref="E676">INDEX(K676:P676, , F$2)</f>
        <v>Sharing of project post-tax net present value and average effective tax rate between government, investors, and state participation at different discount rates.</v>
      </c>
      <c r="J676" s="869"/>
      <c r="K676" s="875" t="s">
        <v>2002</v>
      </c>
      <c r="L676" s="875" t="s">
        <v>2003</v>
      </c>
      <c r="M676" s="875" t="s">
        <v>2004</v>
      </c>
      <c r="N676" s="875"/>
      <c r="O676" s="875"/>
      <c r="P676" s="869"/>
      <c r="Q676" s="45"/>
      <c r="R676" s="45"/>
    </row>
    <row r="677" spans="5:18" s="7" customFormat="1" ht="30">
      <c r="E677" s="895" t="str" cm="1">
        <f t="array" ref="E677">INDEX(K677:P677, , F$2)</f>
        <v>Annual costs are entered in constant terms of the model start year.</v>
      </c>
      <c r="J677" s="869"/>
      <c r="K677" s="875" t="s">
        <v>2005</v>
      </c>
      <c r="L677" s="875" t="s">
        <v>2006</v>
      </c>
      <c r="M677" s="875" t="s">
        <v>2007</v>
      </c>
      <c r="N677" s="875"/>
      <c r="O677" s="875"/>
      <c r="P677" s="869"/>
      <c r="Q677" s="45"/>
      <c r="R677" s="45"/>
    </row>
    <row r="678" spans="5:18" ht="45">
      <c r="E678" s="895" t="str" cm="1">
        <f t="array" ref="E678">INDEX(K678:P678, , F$2)</f>
        <v>Mineral production is entered as the annual production in terms of the mineral’s unit of production (e.g. iron ore measured in metric tons or gold in thousand of ounces).</v>
      </c>
      <c r="J678" s="894"/>
      <c r="K678" s="875" t="s">
        <v>2008</v>
      </c>
      <c r="L678" s="995" t="s">
        <v>2009</v>
      </c>
      <c r="M678" s="875" t="s">
        <v>2010</v>
      </c>
      <c r="N678" s="875"/>
      <c r="O678" s="875"/>
      <c r="P678" s="894"/>
      <c r="Q678" s="985"/>
      <c r="R678" s="985"/>
    </row>
    <row r="679" spans="5:18" s="7" customFormat="1" ht="75">
      <c r="E679" s="895" t="str" cm="1">
        <f t="array" ref="E679">INDEX(K679:P679, , F$2)</f>
        <v>Costs are broken down into exploration, development, sustaining capital, operating costs and decommissioning costs to enable different fiscal treatment for each. For example, exploration costs can be expensed for income tax while development costs are depreciated.</v>
      </c>
      <c r="J679" s="869"/>
      <c r="K679" s="875" t="s">
        <v>2011</v>
      </c>
      <c r="L679" s="875" t="s">
        <v>2012</v>
      </c>
      <c r="M679" s="875" t="s">
        <v>2013</v>
      </c>
      <c r="N679" s="875"/>
      <c r="O679" s="875"/>
      <c r="P679" s="869"/>
      <c r="Q679" s="45"/>
      <c r="R679" s="45"/>
    </row>
    <row r="680" spans="5:18" s="7" customFormat="1">
      <c r="E680" s="895" t="str" cm="1">
        <f t="array" ref="E680">INDEX(K680:P680, , F$2)</f>
        <v>Fiscal regime parameters are entered in INPUTS</v>
      </c>
      <c r="J680" s="869"/>
      <c r="K680" s="875" t="s">
        <v>2014</v>
      </c>
      <c r="L680" s="875" t="s">
        <v>2015</v>
      </c>
      <c r="M680" s="875" t="s">
        <v>2016</v>
      </c>
      <c r="N680" s="875"/>
      <c r="O680" s="875"/>
      <c r="P680" s="869"/>
      <c r="Q680" s="45"/>
      <c r="R680" s="45"/>
    </row>
    <row r="681" spans="5:18" s="7" customFormat="1" ht="30">
      <c r="E681" s="895" t="str" cm="1">
        <f t="array" ref="E681">INDEX(K681:P681, , F$2)</f>
        <v>Project data is entered in individual project example sheets</v>
      </c>
      <c r="J681" s="869"/>
      <c r="K681" s="875" t="s">
        <v>2017</v>
      </c>
      <c r="L681" s="875" t="s">
        <v>2018</v>
      </c>
      <c r="M681" s="875" t="s">
        <v>2019</v>
      </c>
      <c r="N681" s="875"/>
      <c r="O681" s="875"/>
      <c r="P681" s="869"/>
      <c r="Q681" s="45"/>
      <c r="R681" s="45"/>
    </row>
    <row r="682" spans="5:18" s="7" customFormat="1" ht="75">
      <c r="E682" s="895" t="str" cm="1">
        <f t="array" ref="E682">INDEX(K682:P682, , F$2)</f>
        <v>IRR; undiscounted and NPV cashflows for (1) project (pre-tax net cashflows); (2) mining company; (3) mining company + lender (parent company perspective assuming parent provides the debt financing); (4) government including or excluding state participation</v>
      </c>
      <c r="J682" s="869"/>
      <c r="K682" s="875" t="s">
        <v>2020</v>
      </c>
      <c r="L682" s="875" t="s">
        <v>2021</v>
      </c>
      <c r="M682" s="875" t="s">
        <v>2022</v>
      </c>
      <c r="N682" s="875"/>
      <c r="O682" s="875"/>
      <c r="P682" s="869"/>
      <c r="Q682" s="45"/>
      <c r="R682" s="45"/>
    </row>
    <row r="683" spans="5:18" s="7" customFormat="1" ht="30">
      <c r="E683" s="895" t="str" cm="1">
        <f t="array" ref="E683">INDEX(K683:P683, , F$2)</f>
        <v>Average effective tax rates and government share of project benefits (see technical note)</v>
      </c>
      <c r="J683" s="869"/>
      <c r="K683" s="875" t="s">
        <v>2023</v>
      </c>
      <c r="L683" s="875" t="s">
        <v>2024</v>
      </c>
      <c r="M683" s="875" t="s">
        <v>2025</v>
      </c>
      <c r="N683" s="875"/>
      <c r="O683" s="875"/>
      <c r="P683" s="869"/>
      <c r="Q683" s="45"/>
      <c r="R683" s="45"/>
    </row>
    <row r="684" spans="5:18" s="7" customFormat="1">
      <c r="E684" s="895" t="str" cm="1">
        <f t="array" ref="E684">INDEX(K684:P684, , F$2)</f>
        <v>IMF Fiscal Affairs Department, Tax Policy Division</v>
      </c>
      <c r="J684" s="869"/>
      <c r="K684" s="875" t="s">
        <v>2026</v>
      </c>
      <c r="L684" s="875" t="s">
        <v>2027</v>
      </c>
      <c r="M684" s="875" t="s">
        <v>2028</v>
      </c>
      <c r="N684" s="875"/>
      <c r="O684" s="875"/>
      <c r="P684" s="869"/>
      <c r="Q684" s="45"/>
      <c r="R684" s="45"/>
    </row>
    <row r="685" spans="5:18" s="7" customFormat="1" ht="30">
      <c r="E685" s="895" t="str" cm="1">
        <f t="array" ref="E685">INDEX(K685:P685, , F$2)</f>
        <v>© IMF Fiscal Affairs Department. All rights reserved</v>
      </c>
      <c r="J685" s="869"/>
      <c r="K685" s="875" t="s">
        <v>2029</v>
      </c>
      <c r="L685" s="875" t="s">
        <v>2030</v>
      </c>
      <c r="M685" s="875" t="s">
        <v>2031</v>
      </c>
      <c r="N685" s="875"/>
      <c r="O685" s="875"/>
      <c r="P685" s="869"/>
      <c r="Q685" s="45"/>
      <c r="R685" s="45"/>
    </row>
    <row r="686" spans="5:18" s="7" customFormat="1" ht="30">
      <c r="E686" s="895" t="str" cm="1">
        <f t="array" ref="E686">INDEX(K686:P686, , F$2)</f>
        <v>This model is accompanied by an IMF Technical Note and Manual, which should also be read before using the model.</v>
      </c>
      <c r="J686" s="869"/>
      <c r="K686" s="875" t="s">
        <v>2032</v>
      </c>
      <c r="L686" s="875" t="s">
        <v>2033</v>
      </c>
      <c r="M686" s="875" t="s">
        <v>2034</v>
      </c>
      <c r="N686" s="875"/>
      <c r="O686" s="875"/>
      <c r="P686" s="869"/>
      <c r="Q686" s="45"/>
      <c r="R686" s="45"/>
    </row>
    <row r="687" spans="5:18" s="7" customFormat="1">
      <c r="E687" s="879" t="str" cm="1">
        <f t="array" ref="E687">INDEX(K687:P687, , F$2)</f>
        <v>User guide</v>
      </c>
      <c r="J687" s="869"/>
      <c r="K687" s="875" t="s">
        <v>2035</v>
      </c>
      <c r="L687" s="875" t="s">
        <v>2036</v>
      </c>
      <c r="M687" s="875" t="s">
        <v>2037</v>
      </c>
      <c r="N687" s="875"/>
      <c r="O687" s="875"/>
      <c r="P687" s="869"/>
      <c r="Q687" s="45"/>
      <c r="R687" s="45"/>
    </row>
    <row r="688" spans="5:18" s="7" customFormat="1">
      <c r="E688" s="879" t="str" cm="1">
        <f t="array" ref="E688">INDEX(K688:P688, , F$2)</f>
        <v>Sheet tabs</v>
      </c>
      <c r="J688" s="869"/>
      <c r="K688" s="875" t="s">
        <v>2038</v>
      </c>
      <c r="L688" s="875" t="s">
        <v>2039</v>
      </c>
      <c r="M688" s="875" t="s">
        <v>2040</v>
      </c>
      <c r="N688" s="875"/>
      <c r="O688" s="875"/>
      <c r="P688" s="869"/>
      <c r="Q688" s="45"/>
      <c r="R688" s="45"/>
    </row>
    <row r="689" spans="5:18" s="7" customFormat="1">
      <c r="E689" s="879" t="str" cm="1">
        <f t="array" ref="E689">INDEX(K689:P689, , F$2)</f>
        <v>Font colour only</v>
      </c>
      <c r="J689" s="869"/>
      <c r="K689" s="875" t="s">
        <v>2041</v>
      </c>
      <c r="L689" s="875" t="s">
        <v>2042</v>
      </c>
      <c r="M689" s="875" t="s">
        <v>2043</v>
      </c>
      <c r="N689" s="875"/>
      <c r="O689" s="875"/>
      <c r="P689" s="869"/>
      <c r="Q689" s="45"/>
      <c r="R689" s="45"/>
    </row>
    <row r="690" spans="5:18" s="7" customFormat="1">
      <c r="E690" s="879" t="str" cm="1">
        <f t="array" ref="E690">INDEX(K690:P690, , F$2)</f>
        <v>Font + shade combinations</v>
      </c>
      <c r="J690" s="869"/>
      <c r="K690" s="875" t="s">
        <v>2044</v>
      </c>
      <c r="L690" s="875" t="s">
        <v>2045</v>
      </c>
      <c r="M690" s="875" t="s">
        <v>2046</v>
      </c>
      <c r="N690" s="875"/>
      <c r="O690" s="875"/>
      <c r="P690" s="869"/>
      <c r="Q690" s="45"/>
      <c r="R690" s="45"/>
    </row>
    <row r="691" spans="5:18" s="7" customFormat="1">
      <c r="E691" s="879" t="str" cm="1">
        <f t="array" ref="E691">INDEX(K691:P691, , F$2)</f>
        <v>Error checks &amp; alerts</v>
      </c>
      <c r="J691" s="869"/>
      <c r="K691" s="875" t="s">
        <v>2047</v>
      </c>
      <c r="L691" s="875" t="s">
        <v>2048</v>
      </c>
      <c r="M691" s="875" t="s">
        <v>2049</v>
      </c>
      <c r="N691" s="875"/>
      <c r="O691" s="875"/>
      <c r="P691" s="869"/>
      <c r="Q691" s="45"/>
      <c r="R691" s="45"/>
    </row>
    <row r="692" spans="5:18" s="7" customFormat="1">
      <c r="E692" s="879" t="str" cm="1">
        <f t="array" ref="E692">INDEX(K692:P692, , F$2)</f>
        <v>Abbreviations</v>
      </c>
      <c r="J692" s="869"/>
      <c r="K692" s="875" t="s">
        <v>2050</v>
      </c>
      <c r="L692" s="875" t="s">
        <v>2051</v>
      </c>
      <c r="M692" s="875" t="s">
        <v>2052</v>
      </c>
      <c r="N692" s="875"/>
      <c r="O692" s="875"/>
      <c r="P692" s="869"/>
      <c r="Q692" s="45"/>
      <c r="R692" s="45"/>
    </row>
    <row r="693" spans="5:18" s="7" customFormat="1">
      <c r="E693" s="879" t="str" cm="1">
        <f t="array" ref="E693">INDEX(K693:P693, , F$2)</f>
        <v>Name ranges used in the model</v>
      </c>
      <c r="J693" s="869"/>
      <c r="K693" s="875" t="s">
        <v>2053</v>
      </c>
      <c r="L693" s="875" t="s">
        <v>2054</v>
      </c>
      <c r="M693" s="875" t="s">
        <v>2055</v>
      </c>
      <c r="N693" s="875"/>
      <c r="O693" s="875"/>
      <c r="P693" s="869"/>
      <c r="Q693" s="45"/>
      <c r="R693" s="45"/>
    </row>
    <row r="694" spans="5:18" s="7" customFormat="1">
      <c r="E694" s="879" t="str" cm="1">
        <f t="array" ref="E694">INDEX(K694:P694, , F$2)</f>
        <v>Model structure</v>
      </c>
      <c r="J694" s="869"/>
      <c r="K694" s="875" t="s">
        <v>2056</v>
      </c>
      <c r="L694" s="875" t="s">
        <v>2057</v>
      </c>
      <c r="M694" s="875" t="s">
        <v>2058</v>
      </c>
      <c r="N694" s="875"/>
      <c r="O694" s="875"/>
      <c r="P694" s="869"/>
      <c r="Q694" s="45"/>
      <c r="R694" s="45"/>
    </row>
    <row r="695" spans="5:18" s="7" customFormat="1">
      <c r="E695" s="879" t="str" cm="1">
        <f t="array" ref="E695">INDEX(K695:P695, , F$2)</f>
        <v>FAST modeling standard</v>
      </c>
      <c r="J695" s="869"/>
      <c r="K695" s="875" t="s">
        <v>2059</v>
      </c>
      <c r="L695" s="875" t="s">
        <v>2060</v>
      </c>
      <c r="M695" s="875" t="s">
        <v>2061</v>
      </c>
      <c r="N695" s="875"/>
      <c r="O695" s="875"/>
      <c r="P695" s="869"/>
      <c r="Q695" s="45"/>
      <c r="R695" s="45"/>
    </row>
    <row r="696" spans="5:18" s="7" customFormat="1">
      <c r="E696" s="879" t="str" cm="1">
        <f t="array" ref="E696">INDEX(K696:P696, , F$2)</f>
        <v>Fiscal regime assumptions</v>
      </c>
      <c r="J696" s="869"/>
      <c r="K696" s="875" t="s">
        <v>2062</v>
      </c>
      <c r="L696" s="875" t="s">
        <v>2063</v>
      </c>
      <c r="M696" s="875" t="s">
        <v>2064</v>
      </c>
      <c r="N696" s="875"/>
      <c r="O696" s="875"/>
      <c r="P696" s="869"/>
      <c r="Q696" s="45"/>
      <c r="R696" s="45"/>
    </row>
    <row r="697" spans="5:18" s="7" customFormat="1">
      <c r="E697" s="879" t="str" cm="1">
        <f t="array" ref="E697">INDEX(K697:P697, , F$2)</f>
        <v>Financing and economic assumptions</v>
      </c>
      <c r="J697" s="869"/>
      <c r="K697" s="875" t="s">
        <v>2065</v>
      </c>
      <c r="L697" s="875" t="s">
        <v>2066</v>
      </c>
      <c r="M697" s="875" t="s">
        <v>2067</v>
      </c>
      <c r="N697" s="875"/>
      <c r="O697" s="875"/>
      <c r="P697" s="869"/>
      <c r="Q697" s="45"/>
      <c r="R697" s="45"/>
    </row>
    <row r="698" spans="5:18" s="7" customFormat="1">
      <c r="E698" s="879" t="str" cm="1">
        <f t="array" ref="E698">INDEX(K698:P698, , F$2)</f>
        <v>Project data</v>
      </c>
      <c r="J698" s="869"/>
      <c r="K698" s="875" t="s">
        <v>2068</v>
      </c>
      <c r="L698" s="875" t="s">
        <v>2069</v>
      </c>
      <c r="M698" s="875" t="s">
        <v>2070</v>
      </c>
      <c r="N698" s="875"/>
      <c r="O698" s="875"/>
      <c r="P698" s="869"/>
      <c r="Q698" s="45"/>
      <c r="R698" s="45"/>
    </row>
    <row r="699" spans="5:18" s="7" customFormat="1">
      <c r="E699" s="879" t="str" cm="1">
        <f t="array" ref="E699">INDEX(K699:P699, , F$2)</f>
        <v>Dashboard results</v>
      </c>
      <c r="J699" s="869"/>
      <c r="K699" s="875" t="s">
        <v>2071</v>
      </c>
      <c r="L699" s="875" t="s">
        <v>2072</v>
      </c>
      <c r="M699" s="875" t="s">
        <v>2073</v>
      </c>
      <c r="N699" s="875"/>
      <c r="O699" s="875"/>
      <c r="P699" s="869"/>
      <c r="Q699" s="45"/>
      <c r="R699" s="45"/>
    </row>
    <row r="700" spans="5:18" s="7" customFormat="1">
      <c r="E700" s="879" t="str" cm="1">
        <f t="array" ref="E700">INDEX(K700:P700, , F$2)</f>
        <v>Workings/calculations</v>
      </c>
      <c r="J700" s="869"/>
      <c r="K700" s="875" t="s">
        <v>2074</v>
      </c>
      <c r="L700" s="875" t="s">
        <v>2075</v>
      </c>
      <c r="M700" s="875" t="s">
        <v>2076</v>
      </c>
      <c r="N700" s="875"/>
      <c r="O700" s="875"/>
      <c r="P700" s="869"/>
      <c r="Q700" s="45"/>
      <c r="R700" s="45"/>
    </row>
    <row r="701" spans="5:18" s="7" customFormat="1">
      <c r="E701" s="879" t="str" cm="1">
        <f t="array" ref="E701">INDEX(K701:P701, , F$2)</f>
        <v>White</v>
      </c>
      <c r="J701" s="869"/>
      <c r="K701" s="875" t="s">
        <v>2077</v>
      </c>
      <c r="L701" s="875" t="s">
        <v>2078</v>
      </c>
      <c r="M701" s="875" t="s">
        <v>2079</v>
      </c>
      <c r="N701" s="875"/>
      <c r="O701" s="875"/>
      <c r="P701" s="869"/>
      <c r="Q701" s="45"/>
      <c r="R701" s="45"/>
    </row>
    <row r="702" spans="5:18" s="7" customFormat="1">
      <c r="E702" s="879" t="str" cm="1">
        <f t="array" ref="E702">INDEX(K702:P702, , F$2)</f>
        <v>Light yellow</v>
      </c>
      <c r="J702" s="869"/>
      <c r="K702" s="875" t="s">
        <v>2080</v>
      </c>
      <c r="L702" s="875" t="s">
        <v>2081</v>
      </c>
      <c r="M702" s="875" t="s">
        <v>2082</v>
      </c>
      <c r="N702" s="875"/>
      <c r="O702" s="875"/>
      <c r="P702" s="869"/>
      <c r="Q702" s="45"/>
      <c r="R702" s="45"/>
    </row>
    <row r="703" spans="5:18" s="7" customFormat="1">
      <c r="E703" s="879" t="str" cm="1">
        <f t="array" ref="E703">INDEX(K703:P703, , F$2)</f>
        <v>Transparent/light gray</v>
      </c>
      <c r="J703" s="869"/>
      <c r="K703" s="875" t="s">
        <v>2083</v>
      </c>
      <c r="L703" s="875" t="s">
        <v>2084</v>
      </c>
      <c r="M703" s="875" t="s">
        <v>2085</v>
      </c>
      <c r="N703" s="875"/>
      <c r="O703" s="875"/>
      <c r="P703" s="869"/>
      <c r="Q703" s="45"/>
      <c r="R703" s="45"/>
    </row>
    <row r="704" spans="5:18" s="7" customFormat="1">
      <c r="E704" s="879" t="str" cm="1">
        <f t="array" ref="E704">INDEX(K704:P704, , F$2)</f>
        <v>Pale blue</v>
      </c>
      <c r="J704" s="869"/>
      <c r="K704" s="875" t="s">
        <v>2086</v>
      </c>
      <c r="L704" s="875" t="s">
        <v>2087</v>
      </c>
      <c r="M704" s="875" t="s">
        <v>2088</v>
      </c>
      <c r="N704" s="875"/>
      <c r="O704" s="875"/>
      <c r="P704" s="869"/>
      <c r="Q704" s="45"/>
      <c r="R704" s="45"/>
    </row>
    <row r="705" spans="5:18" s="7" customFormat="1">
      <c r="E705" s="879" t="str" cm="1">
        <f t="array" ref="E705">INDEX(K705:P705, , F$2)</f>
        <v>Dark gray</v>
      </c>
      <c r="J705" s="869"/>
      <c r="K705" s="875" t="s">
        <v>2089</v>
      </c>
      <c r="L705" s="875" t="s">
        <v>2090</v>
      </c>
      <c r="M705" s="875" t="s">
        <v>2091</v>
      </c>
      <c r="N705" s="875"/>
      <c r="O705" s="875"/>
      <c r="P705" s="869"/>
      <c r="Q705" s="45"/>
      <c r="R705" s="45"/>
    </row>
    <row r="706" spans="5:18" s="7" customFormat="1">
      <c r="E706" s="879" t="str" cm="1">
        <f t="array" ref="E706">INDEX(K706:P706, , F$2)</f>
        <v>Turquoise</v>
      </c>
      <c r="J706" s="869"/>
      <c r="K706" s="875" t="s">
        <v>2092</v>
      </c>
      <c r="L706" s="875" t="s">
        <v>2092</v>
      </c>
      <c r="M706" s="875" t="s">
        <v>2093</v>
      </c>
      <c r="N706" s="875"/>
      <c r="O706" s="875"/>
      <c r="P706" s="869"/>
      <c r="Q706" s="45"/>
      <c r="R706" s="45"/>
    </row>
    <row r="707" spans="5:18" s="7" customFormat="1">
      <c r="E707" s="879" t="str" cm="1">
        <f t="array" ref="E707">INDEX(K707:P707, , F$2)</f>
        <v>Blue font</v>
      </c>
      <c r="J707" s="869"/>
      <c r="K707" s="875" t="s">
        <v>2094</v>
      </c>
      <c r="L707" s="875" t="s">
        <v>2095</v>
      </c>
      <c r="M707" s="875" t="s">
        <v>2096</v>
      </c>
      <c r="N707" s="875"/>
      <c r="O707" s="875"/>
      <c r="P707" s="869"/>
      <c r="Q707" s="45"/>
      <c r="R707" s="45"/>
    </row>
    <row r="708" spans="5:18" s="7" customFormat="1">
      <c r="E708" s="879" t="str" cm="1">
        <f t="array" ref="E708">INDEX(K708:P708, , F$2)</f>
        <v xml:space="preserve">Red font </v>
      </c>
      <c r="J708" s="869"/>
      <c r="K708" s="875" t="s">
        <v>2097</v>
      </c>
      <c r="L708" s="875" t="s">
        <v>2098</v>
      </c>
      <c r="M708" s="875" t="s">
        <v>2099</v>
      </c>
      <c r="N708" s="875"/>
      <c r="O708" s="875"/>
      <c r="P708" s="869"/>
      <c r="Q708" s="45"/>
      <c r="R708" s="45"/>
    </row>
    <row r="709" spans="5:18" s="7" customFormat="1">
      <c r="E709" s="879" t="str" cm="1">
        <f t="array" ref="E709">INDEX(K709:P709, , F$2)</f>
        <v>Black font</v>
      </c>
      <c r="J709" s="869"/>
      <c r="K709" s="875" t="s">
        <v>2100</v>
      </c>
      <c r="L709" s="875" t="s">
        <v>2101</v>
      </c>
      <c r="M709" s="875" t="s">
        <v>2102</v>
      </c>
      <c r="N709" s="875"/>
      <c r="O709" s="875"/>
      <c r="P709" s="869"/>
      <c r="Q709" s="45"/>
      <c r="R709" s="45"/>
    </row>
    <row r="710" spans="5:18" s="7" customFormat="1">
      <c r="E710" s="879" t="str" cm="1">
        <f t="array" ref="E710">INDEX(K710:P710, , F$2)</f>
        <v>Green font</v>
      </c>
      <c r="J710" s="869"/>
      <c r="K710" s="875" t="s">
        <v>2103</v>
      </c>
      <c r="L710" s="875" t="s">
        <v>2104</v>
      </c>
      <c r="M710" s="875" t="s">
        <v>2105</v>
      </c>
      <c r="N710" s="875"/>
      <c r="O710" s="875"/>
      <c r="P710" s="869"/>
      <c r="Q710" s="45"/>
      <c r="R710" s="45"/>
    </row>
    <row r="711" spans="5:18" s="7" customFormat="1">
      <c r="E711" s="879" t="str" cm="1">
        <f t="array" ref="E711">INDEX(K711:P711, , F$2)</f>
        <v>Black font + Light Yellow shade</v>
      </c>
      <c r="J711" s="869"/>
      <c r="K711" s="875" t="s">
        <v>2106</v>
      </c>
      <c r="L711" s="875" t="s">
        <v>2107</v>
      </c>
      <c r="M711" s="875" t="s">
        <v>2108</v>
      </c>
      <c r="N711" s="875"/>
      <c r="O711" s="875"/>
      <c r="P711" s="869"/>
      <c r="Q711" s="45"/>
      <c r="R711" s="45"/>
    </row>
    <row r="712" spans="5:18" s="7" customFormat="1">
      <c r="E712" s="879" t="str" cm="1">
        <f t="array" ref="E712">INDEX(K712:P712, , F$2)</f>
        <v>Transparent</v>
      </c>
      <c r="J712" s="869"/>
      <c r="K712" s="875" t="s">
        <v>2109</v>
      </c>
      <c r="L712" s="875" t="s">
        <v>2109</v>
      </c>
      <c r="M712" s="875" t="s">
        <v>2110</v>
      </c>
      <c r="N712" s="875"/>
      <c r="O712" s="875"/>
      <c r="P712" s="869"/>
      <c r="Q712" s="45"/>
      <c r="R712" s="45"/>
    </row>
    <row r="713" spans="5:18" s="7" customFormat="1">
      <c r="E713" s="879" t="str" cm="1">
        <f t="array" ref="E713">INDEX(K713:P713, , F$2)</f>
        <v>Blue font and blue shade</v>
      </c>
      <c r="J713" s="869"/>
      <c r="K713" s="875" t="s">
        <v>2111</v>
      </c>
      <c r="L713" s="875" t="s">
        <v>2112</v>
      </c>
      <c r="M713" s="875" t="s">
        <v>2113</v>
      </c>
      <c r="N713" s="875"/>
      <c r="O713" s="875"/>
      <c r="P713" s="869"/>
      <c r="Q713" s="45"/>
      <c r="R713" s="45"/>
    </row>
    <row r="714" spans="5:18" s="7" customFormat="1">
      <c r="E714" s="879" t="str" cm="1">
        <f t="array" ref="E714">INDEX(K714:P714, , F$2)</f>
        <v>Black font + light gray shade on entire row</v>
      </c>
      <c r="J714" s="869"/>
      <c r="K714" s="875" t="s">
        <v>2114</v>
      </c>
      <c r="L714" s="875" t="s">
        <v>2115</v>
      </c>
      <c r="M714" s="875" t="s">
        <v>2116</v>
      </c>
      <c r="N714" s="875"/>
      <c r="O714" s="875"/>
      <c r="P714" s="869"/>
      <c r="Q714" s="45"/>
      <c r="R714" s="45"/>
    </row>
    <row r="715" spans="5:18" s="7" customFormat="1">
      <c r="E715" s="879" t="str" cm="1">
        <f t="array" ref="E715">INDEX(K715:P715, , F$2)</f>
        <v>Empty cell with light gray shade</v>
      </c>
      <c r="J715" s="869"/>
      <c r="K715" s="875" t="s">
        <v>2117</v>
      </c>
      <c r="L715" s="875" t="s">
        <v>2118</v>
      </c>
      <c r="M715" s="875" t="s">
        <v>2119</v>
      </c>
      <c r="N715" s="875"/>
      <c r="O715" s="875"/>
      <c r="P715" s="869"/>
      <c r="Q715" s="45"/>
      <c r="R715" s="45"/>
    </row>
    <row r="716" spans="5:18" s="7" customFormat="1">
      <c r="E716" s="879" t="str" cm="1">
        <f t="array" ref="E716">INDEX(K716:P716, , F$2)</f>
        <v>White font + pale blue shade on entire row</v>
      </c>
      <c r="J716" s="869"/>
      <c r="K716" s="875" t="s">
        <v>2120</v>
      </c>
      <c r="L716" s="875" t="s">
        <v>2121</v>
      </c>
      <c r="M716" s="875" t="s">
        <v>2122</v>
      </c>
      <c r="N716" s="875"/>
      <c r="O716" s="875"/>
      <c r="P716" s="869"/>
      <c r="Q716" s="45"/>
      <c r="R716" s="45"/>
    </row>
    <row r="717" spans="5:18" s="7" customFormat="1">
      <c r="E717" s="879" t="str" cm="1">
        <f t="array" ref="E717">INDEX(K717:P717, , F$2)</f>
        <v>Green shade</v>
      </c>
      <c r="J717" s="869"/>
      <c r="K717" s="875" t="s">
        <v>2123</v>
      </c>
      <c r="L717" s="875" t="s">
        <v>2124</v>
      </c>
      <c r="M717" s="875" t="s">
        <v>2125</v>
      </c>
      <c r="N717" s="875"/>
      <c r="O717" s="875"/>
      <c r="P717" s="869"/>
      <c r="Q717" s="45"/>
      <c r="R717" s="45"/>
    </row>
    <row r="718" spans="5:18" s="7" customFormat="1">
      <c r="E718" s="879" t="str" cm="1">
        <f t="array" ref="E718">INDEX(K718:P718, , F$2)</f>
        <v>Red shade</v>
      </c>
      <c r="J718" s="869"/>
      <c r="K718" s="875" t="s">
        <v>2126</v>
      </c>
      <c r="L718" s="875" t="s">
        <v>2127</v>
      </c>
      <c r="M718" s="875" t="s">
        <v>2128</v>
      </c>
      <c r="N718" s="875"/>
      <c r="O718" s="875"/>
      <c r="P718" s="869"/>
      <c r="Q718" s="45"/>
      <c r="R718" s="45"/>
    </row>
    <row r="719" spans="5:18" s="7" customFormat="1">
      <c r="E719" s="879" t="str" cm="1">
        <f t="array" ref="E719">INDEX(K719:P719, , F$2)</f>
        <v>Gold shade</v>
      </c>
      <c r="J719" s="869"/>
      <c r="K719" s="875" t="s">
        <v>2129</v>
      </c>
      <c r="L719" s="875" t="s">
        <v>2130</v>
      </c>
      <c r="M719" s="875" t="s">
        <v>2131</v>
      </c>
      <c r="N719" s="875"/>
      <c r="O719" s="875"/>
      <c r="P719" s="869"/>
      <c r="Q719" s="45"/>
      <c r="R719" s="45"/>
    </row>
    <row r="720" spans="5:18" s="7" customFormat="1">
      <c r="E720" s="879" t="str" cm="1">
        <f t="array" ref="E720">INDEX(K720:P720, , F$2)</f>
        <v>United States Dollars</v>
      </c>
      <c r="J720" s="869"/>
      <c r="K720" s="875" t="s">
        <v>2132</v>
      </c>
      <c r="L720" s="875" t="s">
        <v>2133</v>
      </c>
      <c r="M720" s="875" t="s">
        <v>2134</v>
      </c>
      <c r="N720" s="875"/>
      <c r="O720" s="875"/>
      <c r="P720" s="869"/>
      <c r="Q720" s="45"/>
      <c r="R720" s="45"/>
    </row>
    <row r="721" spans="5:18" ht="90">
      <c r="E721" s="895" t="str" cm="1">
        <f t="array" ref="E721">INDEX(K721:P721, , F$2)</f>
        <v>Purpose of this sheet is to save a set of baseline results so that the model can be confirmed to be / brought back to baseline, or changes in results over time can be documented.
Process for creating a new saved case:</v>
      </c>
      <c r="J721" s="894"/>
      <c r="K721" s="875" t="s">
        <v>2135</v>
      </c>
      <c r="L721" s="995" t="s">
        <v>2136</v>
      </c>
      <c r="M721" s="875" t="s">
        <v>2137</v>
      </c>
      <c r="N721" s="875"/>
      <c r="O721" s="875"/>
      <c r="P721" s="894"/>
      <c r="Q721" s="985"/>
      <c r="R721" s="985"/>
    </row>
    <row r="722" spans="5:18" s="7" customFormat="1">
      <c r="E722" s="895" t="str" cm="1">
        <f t="array" ref="E722">INDEX(K722:P722, , F$2)</f>
        <v>1. Select column M</v>
      </c>
      <c r="J722" s="869"/>
      <c r="K722" s="875" t="s">
        <v>2138</v>
      </c>
      <c r="L722" s="875" t="s">
        <v>2139</v>
      </c>
      <c r="M722" s="875" t="s">
        <v>2140</v>
      </c>
      <c r="N722" s="875"/>
      <c r="O722" s="875"/>
      <c r="P722" s="869"/>
      <c r="Q722" s="45"/>
      <c r="R722" s="45"/>
    </row>
    <row r="723" spans="5:18" ht="45">
      <c r="E723" s="895" t="str" cm="1">
        <f t="array" ref="E723">INDEX(K723:P723, , F$2)</f>
        <v>2. Copy column M and immediately Right click insert copied cells. This duplicates the existing saved results set</v>
      </c>
      <c r="J723" s="894"/>
      <c r="K723" s="875" t="s">
        <v>2141</v>
      </c>
      <c r="L723" s="995" t="s">
        <v>2142</v>
      </c>
      <c r="M723" s="875" t="s">
        <v>2143</v>
      </c>
      <c r="N723" s="875"/>
      <c r="O723" s="875"/>
      <c r="P723" s="894"/>
      <c r="Q723" s="985"/>
      <c r="R723" s="985"/>
    </row>
    <row r="724" spans="5:18" ht="30">
      <c r="E724" s="895" t="str" cm="1">
        <f t="array" ref="E724">INDEX(K724:P724, , F$2)</f>
        <v>3. Now copy the live results from column F between Row 5 and 89 (i.e. each gray row)</v>
      </c>
      <c r="J724" s="894"/>
      <c r="K724" s="875" t="s">
        <v>2144</v>
      </c>
      <c r="L724" s="995" t="s">
        <v>2145</v>
      </c>
      <c r="M724" s="875" t="s">
        <v>2146</v>
      </c>
      <c r="N724" s="875"/>
      <c r="O724" s="875"/>
      <c r="P724" s="894"/>
      <c r="Q724" s="985"/>
      <c r="R724" s="985"/>
    </row>
    <row r="725" spans="5:18" s="7" customFormat="1" ht="30">
      <c r="E725" s="895" t="str" cm="1">
        <f t="array" ref="E725">INDEX(K725:P725, , F$2)</f>
        <v>4. Paste as values over the newly created duplicate saved results</v>
      </c>
      <c r="J725" s="869"/>
      <c r="K725" s="875" t="s">
        <v>2147</v>
      </c>
      <c r="L725" s="875" t="s">
        <v>2148</v>
      </c>
      <c r="M725" s="875" t="s">
        <v>2149</v>
      </c>
      <c r="N725" s="875"/>
      <c r="O725" s="875"/>
      <c r="P725" s="869"/>
      <c r="Q725" s="45"/>
      <c r="R725" s="45"/>
    </row>
    <row r="726" spans="5:18" s="7" customFormat="1" ht="30">
      <c r="E726" s="895" t="str" cm="1">
        <f t="array" ref="E726">INDEX(K726:P726, , F$2)</f>
        <v>5. Rename the new saved results case in row 4</v>
      </c>
      <c r="J726" s="869"/>
      <c r="K726" s="875" t="s">
        <v>2150</v>
      </c>
      <c r="L726" s="875" t="s">
        <v>2151</v>
      </c>
      <c r="M726" s="875" t="s">
        <v>2152</v>
      </c>
      <c r="N726" s="875"/>
      <c r="O726" s="875"/>
      <c r="P726" s="869"/>
      <c r="Q726" s="45"/>
      <c r="R726" s="45"/>
    </row>
    <row r="727" spans="5:18" s="7" customFormat="1" ht="30">
      <c r="E727" s="895" t="str" cm="1">
        <f t="array" ref="E727">INDEX(K727:P727, , F$2)</f>
        <v>6. Track sheet will show differences between live results and saved case selected at E2</v>
      </c>
      <c r="J727" s="869"/>
      <c r="K727" s="875" t="s">
        <v>2153</v>
      </c>
      <c r="L727" s="875" t="s">
        <v>2154</v>
      </c>
      <c r="M727" s="875" t="s">
        <v>2155</v>
      </c>
      <c r="N727" s="875"/>
      <c r="O727" s="875"/>
      <c r="P727" s="869"/>
      <c r="Q727" s="45"/>
      <c r="R727" s="45"/>
    </row>
    <row r="728" spans="5:18" s="7" customFormat="1" ht="60">
      <c r="E728" s="895" t="str" cm="1">
        <f t="array" ref="E728">INDEX(K728:P728, , F$2)</f>
        <v>7. Additional results and/or parameters can be added to results set. For example, fiscal parameters for baseline mission country regime could be captured to ensure no inadvertent changes</v>
      </c>
      <c r="J728" s="869"/>
      <c r="K728" s="875" t="s">
        <v>2156</v>
      </c>
      <c r="L728" s="875" t="s">
        <v>2157</v>
      </c>
      <c r="M728" s="875" t="s">
        <v>2158</v>
      </c>
      <c r="N728" s="875"/>
      <c r="O728" s="875"/>
      <c r="P728" s="869"/>
      <c r="Q728" s="45"/>
      <c r="R728" s="45"/>
    </row>
    <row r="729" spans="5:18" s="7" customFormat="1">
      <c r="E729" s="879" t="str" cm="1">
        <f t="array" ref="E729">INDEX(K729:P729, , F$2)</f>
        <v>Mn t CO2 eq</v>
      </c>
      <c r="J729" s="869"/>
      <c r="K729" s="900" t="s">
        <v>2159</v>
      </c>
      <c r="L729" s="900" t="s">
        <v>2160</v>
      </c>
      <c r="M729" s="1012" t="s">
        <v>2161</v>
      </c>
      <c r="N729" s="900"/>
      <c r="O729" s="900"/>
      <c r="P729" s="869"/>
      <c r="Q729" s="45"/>
      <c r="R729" s="45"/>
    </row>
    <row r="730" spans="5:18" s="7" customFormat="1">
      <c r="E730" s="879" t="str" cm="1">
        <f t="array" ref="E730">INDEX(K730:P730, , F$2)</f>
        <v>US$ / t CO2 eq</v>
      </c>
      <c r="J730" s="869"/>
      <c r="K730" s="900" t="s">
        <v>2162</v>
      </c>
      <c r="L730" s="900" t="s">
        <v>2163</v>
      </c>
      <c r="M730" s="1012" t="s">
        <v>2164</v>
      </c>
      <c r="N730" s="900"/>
      <c r="O730" s="900"/>
      <c r="P730" s="869"/>
      <c r="Q730" s="45"/>
      <c r="R730" s="45"/>
    </row>
    <row r="731" spans="5:18" s="7" customFormat="1">
      <c r="E731" s="879" t="str" cm="1">
        <f t="array" ref="E731">INDEX(K731:P731, , F$2)</f>
        <v>CO2 eq</v>
      </c>
      <c r="J731" s="869"/>
      <c r="K731" s="880" t="s">
        <v>2165</v>
      </c>
      <c r="L731" s="880" t="s">
        <v>2166</v>
      </c>
      <c r="M731" s="875" t="s">
        <v>2167</v>
      </c>
      <c r="N731" s="880"/>
      <c r="O731" s="880"/>
      <c r="P731" s="869"/>
      <c r="Q731" s="45"/>
      <c r="R731" s="45"/>
    </row>
    <row r="732" spans="5:18" s="7" customFormat="1">
      <c r="E732" s="879" t="str" cm="1">
        <f t="array" ref="E732">INDEX(K732:P732, , F$2)</f>
        <v>Key</v>
      </c>
      <c r="J732" s="869"/>
      <c r="K732" s="880" t="s">
        <v>2168</v>
      </c>
      <c r="L732" s="880" t="s">
        <v>2051</v>
      </c>
      <c r="M732" s="875" t="s">
        <v>2169</v>
      </c>
      <c r="N732" s="880"/>
      <c r="O732" s="880"/>
      <c r="P732" s="869"/>
      <c r="Q732" s="45"/>
      <c r="R732" s="45"/>
    </row>
    <row r="733" spans="5:18" s="7" customFormat="1">
      <c r="E733" s="879" t="str" cm="1">
        <f t="array" ref="E733">INDEX(K733:P733, , F$2)</f>
        <v>Enter Fiscal Regime Assumptions</v>
      </c>
      <c r="J733" s="869"/>
      <c r="K733" s="978" t="s">
        <v>2170</v>
      </c>
      <c r="L733" s="978" t="s">
        <v>2171</v>
      </c>
      <c r="M733" s="1136" t="s">
        <v>2172</v>
      </c>
      <c r="N733" s="978"/>
      <c r="O733" s="978"/>
      <c r="P733" s="869"/>
      <c r="Q733" s="45"/>
      <c r="R733" s="45"/>
    </row>
    <row r="734" spans="5:18">
      <c r="E734" s="895" t="str" cm="1">
        <f t="array" ref="E734">INDEX(K734:P734, , F$2)</f>
        <v>Enter Project Data</v>
      </c>
      <c r="J734" s="894"/>
      <c r="K734" s="1136" t="s">
        <v>2173</v>
      </c>
      <c r="L734" s="1003" t="s">
        <v>2174</v>
      </c>
      <c r="M734" s="1136" t="s">
        <v>2175</v>
      </c>
      <c r="N734" s="1136"/>
      <c r="O734" s="1136"/>
      <c r="P734" s="894"/>
      <c r="Q734" s="985"/>
      <c r="R734" s="985"/>
    </row>
    <row r="735" spans="5:18" s="7" customFormat="1">
      <c r="E735" s="879" t="str" cm="1">
        <f t="array" ref="E735">INDEX(K735:P735, , F$2)</f>
        <v>Select fiscal regime</v>
      </c>
      <c r="J735" s="869"/>
      <c r="K735" s="978" t="s">
        <v>2176</v>
      </c>
      <c r="L735" s="978" t="s">
        <v>2177</v>
      </c>
      <c r="M735" s="1136" t="s">
        <v>2178</v>
      </c>
      <c r="N735" s="978"/>
      <c r="O735" s="978"/>
      <c r="P735" s="869"/>
      <c r="Q735" s="45"/>
      <c r="R735" s="45"/>
    </row>
    <row r="736" spans="5:18" s="7" customFormat="1">
      <c r="E736" s="879" t="str" cm="1">
        <f t="array" ref="E736">INDEX(K736:P736, , F$2)</f>
        <v>Select project</v>
      </c>
      <c r="J736" s="869"/>
      <c r="K736" s="978" t="s">
        <v>2179</v>
      </c>
      <c r="L736" s="978" t="s">
        <v>1714</v>
      </c>
      <c r="M736" s="1136" t="s">
        <v>2180</v>
      </c>
      <c r="N736" s="978"/>
      <c r="O736" s="978"/>
      <c r="P736" s="869"/>
      <c r="Q736" s="45"/>
      <c r="R736" s="45"/>
    </row>
    <row r="737" spans="5:18" s="7" customFormat="1">
      <c r="E737" s="879" t="str" cm="1">
        <f t="array" ref="E737">INDEX(K737:P737, , F$2)</f>
        <v>Change mineral price</v>
      </c>
      <c r="J737" s="869"/>
      <c r="K737" s="978" t="s">
        <v>2181</v>
      </c>
      <c r="L737" s="978" t="s">
        <v>2182</v>
      </c>
      <c r="M737" s="1136" t="s">
        <v>2183</v>
      </c>
      <c r="N737" s="978"/>
      <c r="O737" s="978"/>
      <c r="P737" s="869"/>
      <c r="Q737" s="45"/>
      <c r="R737" s="45"/>
    </row>
    <row r="738" spans="5:18" s="7" customFormat="1">
      <c r="E738" s="879" t="str" cm="1">
        <f t="array" ref="E738">INDEX(K738:P738, , F$2)</f>
        <v>Review results</v>
      </c>
      <c r="J738" s="869"/>
      <c r="K738" s="978" t="s">
        <v>2184</v>
      </c>
      <c r="L738" s="978" t="s">
        <v>2185</v>
      </c>
      <c r="M738" s="1136" t="s">
        <v>2186</v>
      </c>
      <c r="N738" s="978"/>
      <c r="O738" s="978"/>
      <c r="P738" s="869"/>
      <c r="Q738" s="45"/>
      <c r="R738" s="45"/>
    </row>
    <row r="739" spans="5:18" s="7" customFormat="1">
      <c r="E739" s="879" t="str" cm="1">
        <f t="array" ref="E739">INDEX(K739:P739, , F$2)</f>
        <v>Review detailed results</v>
      </c>
      <c r="J739" s="869"/>
      <c r="K739" s="978" t="s">
        <v>2187</v>
      </c>
      <c r="L739" s="978" t="s">
        <v>2188</v>
      </c>
      <c r="M739" s="1136" t="s">
        <v>2189</v>
      </c>
      <c r="N739" s="978"/>
      <c r="O739" s="978"/>
      <c r="P739" s="869"/>
      <c r="Q739" s="45"/>
      <c r="R739" s="45"/>
    </row>
    <row r="740" spans="5:18">
      <c r="E740" s="895" t="str" cm="1">
        <f t="array" ref="E740">INDEX(K740:P740, , F$2)</f>
        <v>Analytical routines</v>
      </c>
      <c r="J740" s="894"/>
      <c r="K740" s="1136" t="s">
        <v>2190</v>
      </c>
      <c r="L740" s="1003" t="s">
        <v>2191</v>
      </c>
      <c r="M740" s="1136" t="s">
        <v>2192</v>
      </c>
      <c r="N740" s="1136"/>
      <c r="O740" s="1136"/>
      <c r="P740" s="894"/>
      <c r="Q740" s="985"/>
      <c r="R740" s="985"/>
    </row>
    <row r="741" spans="5:18" s="7" customFormat="1">
      <c r="E741" s="846" t="str" cm="1">
        <f t="array" ref="E741">INDEX(K741:P741, , F$2)</f>
        <v>Project examples</v>
      </c>
      <c r="J741" s="869"/>
      <c r="K741" s="880" t="s">
        <v>2193</v>
      </c>
      <c r="L741" s="880" t="s">
        <v>2194</v>
      </c>
      <c r="M741" s="875" t="s">
        <v>2195</v>
      </c>
      <c r="N741" s="880"/>
      <c r="O741" s="880"/>
      <c r="P741" s="869"/>
      <c r="Q741" s="45"/>
      <c r="R741" s="45"/>
    </row>
    <row r="742" spans="5:18" s="7" customFormat="1">
      <c r="E742" s="846" t="str" cm="1">
        <f t="array" ref="E742">INDEX(K742:P742, , F$2)</f>
        <v xml:space="preserve">To: </v>
      </c>
      <c r="J742" s="869"/>
      <c r="K742" s="880" t="s">
        <v>2196</v>
      </c>
      <c r="L742" s="880" t="s">
        <v>2197</v>
      </c>
      <c r="M742" s="875" t="s">
        <v>2198</v>
      </c>
      <c r="N742" s="880"/>
      <c r="O742" s="880"/>
      <c r="P742" s="869"/>
      <c r="Q742" s="45"/>
      <c r="R742" s="45"/>
    </row>
    <row r="743" spans="5:18" s="7" customFormat="1">
      <c r="E743" s="846" t="str" cm="1">
        <f t="array" ref="E743">INDEX(K743:P743, , F$2)</f>
        <v>Go to sheet:</v>
      </c>
      <c r="J743" s="869"/>
      <c r="K743" s="880" t="s">
        <v>2199</v>
      </c>
      <c r="L743" s="880" t="s">
        <v>2200</v>
      </c>
      <c r="M743" s="875" t="s">
        <v>2201</v>
      </c>
      <c r="N743" s="880"/>
      <c r="O743" s="880"/>
      <c r="P743" s="869"/>
      <c r="Q743" s="45"/>
      <c r="R743" s="45"/>
    </row>
    <row r="744" spans="5:18" s="7" customFormat="1">
      <c r="E744" s="846" t="str" cm="1">
        <f t="array" ref="E744">INDEX(K744:P744, , F$2)</f>
        <v>Sheets</v>
      </c>
      <c r="J744" s="869"/>
      <c r="K744" s="880" t="s">
        <v>2202</v>
      </c>
      <c r="L744" s="880" t="s">
        <v>2203</v>
      </c>
      <c r="M744" s="875" t="s">
        <v>2204</v>
      </c>
      <c r="N744" s="880"/>
      <c r="O744" s="880"/>
      <c r="P744" s="869"/>
      <c r="Q744" s="45"/>
      <c r="R744" s="45"/>
    </row>
    <row r="745" spans="5:18" s="7" customFormat="1">
      <c r="E745" s="846" t="str" cm="1">
        <f t="array" ref="E745">INDEX(K745:P745, , F$2)</f>
        <v>top row</v>
      </c>
      <c r="J745" s="869"/>
      <c r="K745" s="880" t="s">
        <v>2205</v>
      </c>
      <c r="L745" s="880" t="s">
        <v>2206</v>
      </c>
      <c r="M745" s="875" t="s">
        <v>2207</v>
      </c>
      <c r="N745" s="880"/>
      <c r="O745" s="880"/>
      <c r="P745" s="869"/>
      <c r="Q745" s="45"/>
      <c r="R745" s="45"/>
    </row>
    <row r="746" spans="5:18" s="7" customFormat="1">
      <c r="E746" s="846" t="str" cm="1">
        <f t="array" ref="E746">INDEX(K746:P746, , F$2)</f>
        <v>bottom row</v>
      </c>
      <c r="J746" s="869"/>
      <c r="K746" s="880" t="s">
        <v>2208</v>
      </c>
      <c r="L746" s="880" t="s">
        <v>2209</v>
      </c>
      <c r="M746" s="875" t="s">
        <v>2210</v>
      </c>
      <c r="N746" s="880"/>
      <c r="O746" s="880"/>
      <c r="P746" s="869"/>
      <c r="Q746" s="45"/>
      <c r="R746" s="45"/>
    </row>
    <row r="747" spans="5:18" s="7" customFormat="1">
      <c r="E747" s="846" t="str" cm="1">
        <f t="array" ref="E747">INDEX(K747:P747, , F$2)</f>
        <v>Difference between two selected regimes</v>
      </c>
      <c r="J747" s="869"/>
      <c r="K747" s="880" t="s">
        <v>2211</v>
      </c>
      <c r="L747" s="880" t="s">
        <v>2212</v>
      </c>
      <c r="M747" s="875" t="s">
        <v>2213</v>
      </c>
      <c r="N747" s="880"/>
      <c r="O747" s="880"/>
      <c r="P747" s="869"/>
      <c r="Q747" s="45"/>
      <c r="R747" s="45"/>
    </row>
    <row r="748" spans="5:18" s="7" customFormat="1">
      <c r="E748" s="846" t="str" cm="1">
        <f t="array" ref="E748">INDEX(K748:P748, , F$2)</f>
        <v>Range of price multipliers</v>
      </c>
      <c r="J748" s="869"/>
      <c r="K748" s="481" t="s">
        <v>2214</v>
      </c>
      <c r="L748" s="481" t="s">
        <v>2215</v>
      </c>
      <c r="M748" s="1013" t="s">
        <v>2216</v>
      </c>
      <c r="N748" s="481"/>
      <c r="O748" s="481"/>
      <c r="P748" s="869"/>
      <c r="Q748" s="45"/>
      <c r="R748" s="45"/>
    </row>
    <row r="749" spans="5:18" s="7" customFormat="1">
      <c r="E749" s="846" t="str" cm="1">
        <f t="array" ref="E749">INDEX(K749:P749, , F$2)</f>
        <v>Breakeven price</v>
      </c>
      <c r="J749" s="869"/>
      <c r="K749" s="880" t="s">
        <v>2217</v>
      </c>
      <c r="L749" s="880" t="s">
        <v>2218</v>
      </c>
      <c r="M749" s="875" t="s">
        <v>2219</v>
      </c>
      <c r="N749" s="880"/>
      <c r="O749" s="880"/>
      <c r="P749" s="869"/>
      <c r="Q749" s="45"/>
      <c r="R749" s="45"/>
    </row>
    <row r="750" spans="5:18" s="7" customFormat="1">
      <c r="E750" s="846" t="str" cm="1">
        <f t="array" ref="E750">INDEX(K750:P750, , F$2)</f>
        <v>Choose alternative discount rates</v>
      </c>
      <c r="J750" s="869"/>
      <c r="K750" s="481" t="s">
        <v>2220</v>
      </c>
      <c r="L750" s="481" t="s">
        <v>2221</v>
      </c>
      <c r="M750" s="1013" t="s">
        <v>2222</v>
      </c>
      <c r="N750" s="481"/>
      <c r="O750" s="481"/>
      <c r="P750" s="869"/>
      <c r="Q750" s="45"/>
      <c r="R750" s="45"/>
    </row>
    <row r="751" spans="5:18" s="7" customFormat="1">
      <c r="E751" s="846" t="str" cm="1">
        <f t="array" ref="E751">INDEX(K751:P751, , F$2)</f>
        <v>Btu</v>
      </c>
      <c r="J751" s="869"/>
      <c r="K751" s="880" t="s">
        <v>2223</v>
      </c>
      <c r="L751" s="880" t="s">
        <v>2223</v>
      </c>
      <c r="M751" s="875" t="s">
        <v>2223</v>
      </c>
      <c r="N751" s="880"/>
      <c r="O751" s="880"/>
      <c r="P751" s="869"/>
      <c r="Q751" s="45"/>
      <c r="R751" s="45"/>
    </row>
    <row r="752" spans="5:18">
      <c r="E752" s="984" t="str" cm="1">
        <f t="array" ref="E752">INDEX(K752:P752, , F$2)</f>
        <v>British thermal units</v>
      </c>
      <c r="J752" s="894"/>
      <c r="K752" s="875" t="s">
        <v>2224</v>
      </c>
      <c r="L752" s="995" t="s">
        <v>2225</v>
      </c>
      <c r="M752" s="875" t="s">
        <v>2226</v>
      </c>
      <c r="N752" s="875"/>
      <c r="O752" s="875"/>
      <c r="P752" s="894"/>
      <c r="Q752" s="985"/>
      <c r="R752" s="985"/>
    </row>
    <row r="753" spans="5:18" s="7" customFormat="1">
      <c r="E753" s="846" t="str" cm="1">
        <f t="array" ref="E753">INDEX(K753:P753, , F$2)</f>
        <v>kilograms of Carbon</v>
      </c>
      <c r="J753" s="869"/>
      <c r="K753" s="880" t="s">
        <v>2227</v>
      </c>
      <c r="L753" s="880" t="s">
        <v>2228</v>
      </c>
      <c r="M753" s="875" t="s">
        <v>2229</v>
      </c>
      <c r="N753" s="880"/>
      <c r="O753" s="880"/>
      <c r="P753" s="869"/>
      <c r="Q753" s="45"/>
      <c r="R753" s="45"/>
    </row>
    <row r="754" spans="5:18" s="7" customFormat="1">
      <c r="E754" s="846" t="str" cm="1">
        <f t="array" ref="E754">INDEX(K754:P754, , F$2)</f>
        <v>kilograms of CO2</v>
      </c>
      <c r="J754" s="869"/>
      <c r="K754" s="880" t="s">
        <v>2230</v>
      </c>
      <c r="L754" s="880" t="s">
        <v>2231</v>
      </c>
      <c r="M754" s="875" t="s">
        <v>2232</v>
      </c>
      <c r="N754" s="880"/>
      <c r="O754" s="880"/>
      <c r="P754" s="869"/>
      <c r="Q754" s="45"/>
      <c r="R754" s="45"/>
    </row>
    <row r="755" spans="5:18" s="7" customFormat="1">
      <c r="E755" s="846" t="str" cm="1">
        <f t="array" ref="E755">INDEX(K755:P755, , F$2)</f>
        <v>cumulative</v>
      </c>
      <c r="J755" s="869"/>
      <c r="K755" s="880" t="s">
        <v>2233</v>
      </c>
      <c r="L755" s="880" t="s">
        <v>2234</v>
      </c>
      <c r="M755" s="875" t="s">
        <v>2235</v>
      </c>
      <c r="N755" s="880"/>
      <c r="O755" s="880"/>
      <c r="P755" s="869"/>
      <c r="Q755" s="45"/>
      <c r="R755" s="45"/>
    </row>
    <row r="756" spans="5:18" s="7" customFormat="1">
      <c r="E756" s="846" t="str" cm="1">
        <f t="array" ref="E756">INDEX(K756:P756, , F$2)</f>
        <v>Operating unit costs</v>
      </c>
      <c r="J756" s="869"/>
      <c r="K756" s="880" t="s">
        <v>2236</v>
      </c>
      <c r="L756" s="880" t="s">
        <v>2237</v>
      </c>
      <c r="M756" s="875" t="s">
        <v>2238</v>
      </c>
      <c r="N756" s="880"/>
      <c r="O756" s="880"/>
      <c r="P756" s="869"/>
      <c r="Q756" s="45"/>
      <c r="R756" s="45"/>
    </row>
    <row r="757" spans="5:18" s="7" customFormat="1">
      <c r="E757" s="846" t="str" cm="1">
        <f t="array" ref="E757">INDEX(K757:P757, , F$2)</f>
        <v>Charts</v>
      </c>
      <c r="J757" s="869"/>
      <c r="K757" s="880" t="s">
        <v>2239</v>
      </c>
      <c r="L757" s="880" t="s">
        <v>2240</v>
      </c>
      <c r="M757" s="875" t="s">
        <v>2241</v>
      </c>
      <c r="N757" s="880"/>
      <c r="O757" s="880"/>
      <c r="P757" s="869"/>
      <c r="Q757" s="45"/>
      <c r="R757" s="45"/>
    </row>
    <row r="758" spans="5:18" s="7" customFormat="1">
      <c r="E758" s="846" t="str" cm="1">
        <f t="array" ref="E758">INDEX(K758:P758, , F$2)</f>
        <v>Greenhouse gas emissions</v>
      </c>
      <c r="J758" s="869"/>
      <c r="K758" s="880" t="s">
        <v>2242</v>
      </c>
      <c r="L758" s="880" t="s">
        <v>2243</v>
      </c>
      <c r="M758" s="875" t="s">
        <v>2244</v>
      </c>
      <c r="N758" s="880"/>
      <c r="O758" s="880"/>
      <c r="P758" s="869"/>
      <c r="Q758" s="45"/>
      <c r="R758" s="45"/>
    </row>
    <row r="759" spans="5:18" s="7" customFormat="1">
      <c r="E759" s="846" t="str" cm="1">
        <f t="array" ref="E759">INDEX(K759:P759, , F$2)</f>
        <v>GHG</v>
      </c>
      <c r="J759" s="869"/>
      <c r="K759" s="880" t="s">
        <v>2245</v>
      </c>
      <c r="L759" s="880" t="s">
        <v>2246</v>
      </c>
      <c r="M759" s="875" t="s">
        <v>2247</v>
      </c>
      <c r="N759" s="880"/>
      <c r="O759" s="880"/>
      <c r="P759" s="869"/>
      <c r="Q759" s="45"/>
      <c r="R759" s="45"/>
    </row>
    <row r="760" spans="5:18" ht="90">
      <c r="E760" s="970" t="str" cm="1">
        <f t="array" ref="E760">INDEX(K760:O760, , F$2)</f>
        <v>All checks related to the translation of options need to be green before using the model. After changing the language of the model, all drop-down options need to be re-selected for the model to function properly. Please click on each check to verify that the correct options are selected. All checks should be green.</v>
      </c>
      <c r="J760" s="894"/>
      <c r="K760" s="875" t="s">
        <v>2248</v>
      </c>
      <c r="L760" s="995" t="s">
        <v>2249</v>
      </c>
      <c r="M760" s="875" t="s">
        <v>2250</v>
      </c>
      <c r="N760" s="875"/>
      <c r="O760" s="875"/>
      <c r="P760" s="894"/>
      <c r="Q760" s="985"/>
    </row>
    <row r="761" spans="5:18" s="7" customFormat="1">
      <c r="E761" s="7" t="str" cm="1">
        <f t="array" ref="E761">INDEX(K761:O761, , F$2)</f>
        <v>Change model language</v>
      </c>
      <c r="J761" s="894"/>
      <c r="K761" s="971" t="s">
        <v>2251</v>
      </c>
      <c r="L761" s="971" t="s">
        <v>2252</v>
      </c>
      <c r="M761" s="1014" t="s">
        <v>2253</v>
      </c>
      <c r="N761" s="971"/>
      <c r="O761" s="880"/>
      <c r="P761" s="869"/>
      <c r="Q761" s="45"/>
    </row>
    <row r="762" spans="5:18" s="7" customFormat="1">
      <c r="E762" s="7" t="str" cm="1">
        <f t="array" ref="E762">INDEX(K762:O762, , F$2)</f>
        <v>Select language on DASHBOARD</v>
      </c>
      <c r="J762" s="894"/>
      <c r="K762" s="971" t="s">
        <v>2254</v>
      </c>
      <c r="L762" s="953" t="s">
        <v>2255</v>
      </c>
      <c r="M762" s="953" t="s">
        <v>2256</v>
      </c>
      <c r="N762" s="953"/>
      <c r="O762" s="880"/>
      <c r="P762" s="869"/>
      <c r="Q762" s="45"/>
    </row>
    <row r="763" spans="5:18" s="7" customFormat="1">
      <c r="E763" s="7" t="str" cm="1">
        <f t="array" ref="E763">INDEX(K763:O763, , F$2)</f>
        <v xml:space="preserve">Please verify that the translation checks in column I and between rows </v>
      </c>
      <c r="J763" s="894"/>
      <c r="K763" s="971" t="s">
        <v>2257</v>
      </c>
      <c r="L763" s="971" t="s">
        <v>2258</v>
      </c>
      <c r="M763" s="1014" t="s">
        <v>2259</v>
      </c>
      <c r="N763" s="971"/>
      <c r="O763" s="880"/>
      <c r="P763" s="869"/>
      <c r="Q763" s="45"/>
    </row>
    <row r="764" spans="5:18" s="7" customFormat="1">
      <c r="E764" s="7" t="str" cm="1">
        <f t="array" ref="E764">INDEX(K764:O764, , F$2)</f>
        <v>and</v>
      </c>
      <c r="J764" s="894"/>
      <c r="K764" s="971" t="s">
        <v>2260</v>
      </c>
      <c r="L764" s="953" t="s">
        <v>2261</v>
      </c>
      <c r="M764" s="953" t="s">
        <v>2262</v>
      </c>
      <c r="N764" s="953"/>
      <c r="O764" s="880"/>
      <c r="P764" s="869"/>
      <c r="Q764" s="45"/>
    </row>
    <row r="765" spans="5:18" s="7" customFormat="1">
      <c r="E765" s="7" t="str" cm="1">
        <f t="array" ref="E765">INDEX(K765:O765, , F$2)</f>
        <v>are green.</v>
      </c>
      <c r="J765" s="894"/>
      <c r="K765" s="971" t="s">
        <v>2263</v>
      </c>
      <c r="L765" s="971" t="s">
        <v>2264</v>
      </c>
      <c r="M765" s="1014" t="s">
        <v>2265</v>
      </c>
      <c r="N765" s="971"/>
      <c r="O765" s="880"/>
      <c r="P765" s="869"/>
      <c r="Q765" s="45"/>
    </row>
  </sheetData>
  <conditionalFormatting sqref="E761:E762">
    <cfRule type="duplicateValues" dxfId="13" priority="7"/>
    <cfRule type="duplicateValues" dxfId="12" priority="8"/>
  </conditionalFormatting>
  <conditionalFormatting sqref="E760">
    <cfRule type="duplicateValues" dxfId="11" priority="3"/>
    <cfRule type="duplicateValues" dxfId="10" priority="4"/>
  </conditionalFormatting>
  <conditionalFormatting sqref="E760">
    <cfRule type="duplicateValues" dxfId="9" priority="5"/>
    <cfRule type="duplicateValues" dxfId="8" priority="6"/>
  </conditionalFormatting>
  <conditionalFormatting sqref="E763:E765">
    <cfRule type="duplicateValues" dxfId="7" priority="226"/>
    <cfRule type="duplicateValues" dxfId="6" priority="22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pageSetUpPr autoPageBreaks="0"/>
  </sheetPr>
  <dimension ref="A1:AX3"/>
  <sheetViews>
    <sheetView zoomScale="85" zoomScaleNormal="85" workbookViewId="0">
      <pane xSplit="10" ySplit="3" topLeftCell="K4" activePane="bottomRight" state="frozen"/>
      <selection pane="bottomRight" activeCell="I4" sqref="I4"/>
      <selection pane="bottomLeft" activeCell="H1" sqref="H1:H1048576"/>
      <selection pane="topRight" activeCell="H1" sqref="H1:H1048576"/>
    </sheetView>
  </sheetViews>
  <sheetFormatPr defaultColWidth="10.7109375" defaultRowHeight="15" outlineLevelCol="1"/>
  <cols>
    <col min="1" max="4" width="1.28515625" style="4" customWidth="1"/>
    <col min="5" max="5" width="50.7109375" style="4" customWidth="1"/>
    <col min="6" max="6" width="12.7109375" style="4" customWidth="1"/>
    <col min="7" max="7" width="20.7109375" style="4" customWidth="1"/>
    <col min="8" max="8" width="40.7109375" style="4" hidden="1" customWidth="1" outlineLevel="1"/>
    <col min="9" max="9" width="12.7109375" style="4" customWidth="1" collapsed="1"/>
    <col min="10" max="10" width="3.7109375" style="4" customWidth="1"/>
    <col min="11" max="16384" width="10.7109375" style="4"/>
  </cols>
  <sheetData>
    <row r="1" spans="1:50" s="275" customFormat="1" ht="15" customHeight="1">
      <c r="A1" s="299" t="e">
        <f ca="1" xml:space="preserve"> RIGHT( CELL("filename",$A$1), LEN( CELL("filename",$A$1)) - SEARCH("]", CELL("filename",$A$1)))</f>
        <v>#VALUE!</v>
      </c>
      <c r="B1" s="267"/>
      <c r="C1" s="267"/>
      <c r="D1" s="267"/>
      <c r="E1" s="267"/>
      <c r="F1" s="267"/>
      <c r="G1" s="267"/>
      <c r="H1" s="267"/>
      <c r="I1" s="267"/>
      <c r="J1" s="267"/>
      <c r="K1" s="267">
        <f xml:space="preserve"> ProjectCashflows!K$48</f>
        <v>2021</v>
      </c>
      <c r="L1" s="267">
        <f xml:space="preserve"> ProjectCashflows!L$48</f>
        <v>2022</v>
      </c>
      <c r="M1" s="267">
        <f xml:space="preserve"> ProjectCashflows!M$48</f>
        <v>2023</v>
      </c>
      <c r="N1" s="267">
        <f xml:space="preserve"> ProjectCashflows!N$48</f>
        <v>2024</v>
      </c>
      <c r="O1" s="267">
        <f xml:space="preserve"> ProjectCashflows!O$48</f>
        <v>2025</v>
      </c>
      <c r="P1" s="267">
        <f xml:space="preserve"> ProjectCashflows!P$48</f>
        <v>2026</v>
      </c>
      <c r="Q1" s="267">
        <f xml:space="preserve"> ProjectCashflows!Q$48</f>
        <v>2027</v>
      </c>
      <c r="R1" s="267">
        <f xml:space="preserve"> ProjectCashflows!R$48</f>
        <v>2028</v>
      </c>
      <c r="S1" s="267">
        <f xml:space="preserve"> ProjectCashflows!S$48</f>
        <v>2029</v>
      </c>
      <c r="T1" s="267">
        <f xml:space="preserve"> ProjectCashflows!T$48</f>
        <v>2030</v>
      </c>
      <c r="U1" s="267">
        <f xml:space="preserve"> ProjectCashflows!U$48</f>
        <v>2031</v>
      </c>
      <c r="V1" s="267">
        <f xml:space="preserve"> ProjectCashflows!V$48</f>
        <v>2032</v>
      </c>
      <c r="W1" s="267">
        <f xml:space="preserve"> ProjectCashflows!W$48</f>
        <v>2033</v>
      </c>
      <c r="X1" s="267">
        <f xml:space="preserve"> ProjectCashflows!X$48</f>
        <v>2034</v>
      </c>
      <c r="Y1" s="267">
        <f xml:space="preserve"> ProjectCashflows!Y$48</f>
        <v>2035</v>
      </c>
      <c r="Z1" s="267">
        <f xml:space="preserve"> ProjectCashflows!Z$48</f>
        <v>2036</v>
      </c>
      <c r="AA1" s="267">
        <f xml:space="preserve"> ProjectCashflows!AA$48</f>
        <v>2037</v>
      </c>
      <c r="AB1" s="267">
        <f xml:space="preserve"> ProjectCashflows!AB$48</f>
        <v>2038</v>
      </c>
      <c r="AC1" s="267">
        <f xml:space="preserve"> ProjectCashflows!AC$48</f>
        <v>2039</v>
      </c>
      <c r="AD1" s="267">
        <f xml:space="preserve"> ProjectCashflows!AD$48</f>
        <v>2040</v>
      </c>
      <c r="AE1" s="267">
        <f xml:space="preserve"> ProjectCashflows!AE$48</f>
        <v>2041</v>
      </c>
      <c r="AF1" s="267">
        <f xml:space="preserve"> ProjectCashflows!AF$48</f>
        <v>2042</v>
      </c>
      <c r="AG1" s="267">
        <f xml:space="preserve"> ProjectCashflows!AG$48</f>
        <v>2043</v>
      </c>
      <c r="AH1" s="267">
        <f xml:space="preserve"> ProjectCashflows!AH$48</f>
        <v>2044</v>
      </c>
      <c r="AI1" s="267">
        <f xml:space="preserve"> ProjectCashflows!AI$48</f>
        <v>2045</v>
      </c>
      <c r="AJ1" s="267">
        <f xml:space="preserve"> ProjectCashflows!AJ$48</f>
        <v>2046</v>
      </c>
      <c r="AK1" s="267">
        <f xml:space="preserve"> ProjectCashflows!AK$48</f>
        <v>2047</v>
      </c>
      <c r="AL1" s="267">
        <f xml:space="preserve"> ProjectCashflows!AL$48</f>
        <v>2048</v>
      </c>
      <c r="AM1" s="267">
        <f xml:space="preserve"> ProjectCashflows!AM$48</f>
        <v>2049</v>
      </c>
      <c r="AN1" s="267">
        <f xml:space="preserve"> ProjectCashflows!AN$48</f>
        <v>2050</v>
      </c>
      <c r="AO1" s="267">
        <f xml:space="preserve"> ProjectCashflows!AO$48</f>
        <v>2051</v>
      </c>
      <c r="AP1" s="267">
        <f xml:space="preserve"> ProjectCashflows!AP$48</f>
        <v>2052</v>
      </c>
      <c r="AQ1" s="267">
        <f xml:space="preserve"> ProjectCashflows!AQ$48</f>
        <v>2053</v>
      </c>
      <c r="AR1" s="267">
        <f xml:space="preserve"> ProjectCashflows!AR$48</f>
        <v>2054</v>
      </c>
      <c r="AS1" s="267">
        <f xml:space="preserve"> ProjectCashflows!AS$48</f>
        <v>2055</v>
      </c>
      <c r="AT1" s="267">
        <f xml:space="preserve"> ProjectCashflows!AT$48</f>
        <v>2056</v>
      </c>
      <c r="AU1" s="267">
        <f xml:space="preserve"> ProjectCashflows!AU$48</f>
        <v>2057</v>
      </c>
      <c r="AV1" s="267">
        <f xml:space="preserve"> ProjectCashflows!AV$48</f>
        <v>2058</v>
      </c>
      <c r="AW1" s="267">
        <f xml:space="preserve"> ProjectCashflows!AW$48</f>
        <v>2059</v>
      </c>
      <c r="AX1" s="267">
        <f xml:space="preserve"> ProjectCashflows!AX$48</f>
        <v>2060</v>
      </c>
    </row>
    <row r="2" spans="1:50" ht="15" customHeight="1">
      <c r="A2" s="80"/>
      <c r="B2" s="81"/>
      <c r="C2" s="82"/>
      <c r="D2" s="82"/>
      <c r="E2" s="76" t="str">
        <f>Translate!$E$391</f>
        <v>Row description</v>
      </c>
      <c r="F2" s="866" t="str">
        <f xml:space="preserve"> Translate!E$554</f>
        <v>Constant</v>
      </c>
      <c r="G2" s="857" t="str">
        <f xml:space="preserve"> Translate!E$445</f>
        <v>Units</v>
      </c>
      <c r="H2" s="1052" t="str">
        <f>Translate!$E$280</f>
        <v>Comments</v>
      </c>
      <c r="I2" s="77" t="str">
        <f xml:space="preserve"> Translate!E$19</f>
        <v>Total</v>
      </c>
      <c r="J2" s="41"/>
      <c r="K2" s="12"/>
      <c r="L2" s="12"/>
      <c r="M2" s="12"/>
      <c r="N2" s="84"/>
      <c r="O2" s="85"/>
      <c r="P2" s="85"/>
      <c r="Q2" s="85"/>
      <c r="R2" s="85"/>
      <c r="S2" s="85"/>
      <c r="T2" s="85"/>
      <c r="U2" s="85"/>
      <c r="V2" s="85"/>
      <c r="W2" s="85"/>
      <c r="X2" s="85"/>
      <c r="Y2" s="85"/>
      <c r="Z2" s="85"/>
      <c r="AA2" s="85"/>
      <c r="AB2" s="85"/>
      <c r="AC2" s="85"/>
      <c r="AD2" s="85"/>
      <c r="AE2" s="85"/>
      <c r="AF2" s="85"/>
      <c r="AG2" s="85"/>
      <c r="AH2" s="85"/>
      <c r="AI2" s="85"/>
      <c r="AJ2" s="85"/>
      <c r="AK2" s="85"/>
      <c r="AL2" s="85"/>
      <c r="AM2" s="85"/>
      <c r="AN2" s="85"/>
      <c r="AO2" s="85"/>
      <c r="AP2" s="85"/>
      <c r="AQ2" s="85"/>
      <c r="AR2" s="85"/>
      <c r="AS2" s="85"/>
      <c r="AT2" s="85"/>
      <c r="AU2" s="85"/>
      <c r="AV2" s="85"/>
      <c r="AW2" s="85"/>
      <c r="AX2" s="85"/>
    </row>
    <row r="3" spans="1:50" ht="15" customHeight="1">
      <c r="A3" s="76"/>
      <c r="B3" s="76"/>
      <c r="C3" s="76"/>
      <c r="D3" s="76"/>
      <c r="E3" s="76"/>
      <c r="F3" s="128">
        <f ca="1" xml:space="preserve"> ReadMe!$D$7</f>
        <v>0</v>
      </c>
      <c r="G3" s="77" t="str">
        <f xml:space="preserve"> ReadMe!$E$7</f>
        <v>Checks</v>
      </c>
      <c r="H3" s="76"/>
      <c r="I3" s="76"/>
      <c r="J3" s="76"/>
      <c r="K3" s="512">
        <f ca="1" xml:space="preserve"> Track!$F$1</f>
        <v>0</v>
      </c>
      <c r="L3" s="1041" t="str">
        <f xml:space="preserve"> Track!$G$1</f>
        <v>Track changes</v>
      </c>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row>
  </sheetData>
  <conditionalFormatting sqref="F3">
    <cfRule type="cellIs" dxfId="5" priority="9" stopIfTrue="1" operator="notEqual">
      <formula>0</formula>
    </cfRule>
    <cfRule type="cellIs" dxfId="4" priority="10" stopIfTrue="1" operator="equal">
      <formula>""</formula>
    </cfRule>
  </conditionalFormatting>
  <conditionalFormatting sqref="F3">
    <cfRule type="cellIs" dxfId="3" priority="7" stopIfTrue="1" operator="notEqual">
      <formula>0</formula>
    </cfRule>
    <cfRule type="cellIs" dxfId="2" priority="8" stopIfTrue="1" operator="equal">
      <formula>""</formula>
    </cfRule>
  </conditionalFormatting>
  <conditionalFormatting sqref="K3">
    <cfRule type="cellIs" dxfId="1" priority="1" stopIfTrue="1" operator="notEqual">
      <formula>0</formula>
    </cfRule>
    <cfRule type="cellIs" dxfId="0" priority="2" stopIfTrue="1" operator="equal">
      <formula>""</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 Online</Application>
  <Manager/>
  <Company>International Monetary Fund</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Mining FARI model (2021)</dc:title>
  <dc:subject/>
  <dc:creator>International Monetary Fund. Fiscal Affairs Dept.</dc:creator>
  <cp:keywords/>
  <dc:description/>
  <cp:lastModifiedBy>Matheson, Thornton</cp:lastModifiedBy>
  <cp:revision/>
  <dcterms:created xsi:type="dcterms:W3CDTF">2015-09-09T20:49:50Z</dcterms:created>
  <dcterms:modified xsi:type="dcterms:W3CDTF">2023-03-06T21:56:37Z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eDOCS AutoSave">
    <vt:lpwstr/>
  </property>
  <property fmtid="{D5CDD505-2E9C-101B-9397-08002B2CF9AE}" pid="4" name="{A44787D4-0540-4523-9961-78E4036D8C6D}">
    <vt:lpwstr>{FF8C7E9B-1C67-4511-8D5B-0396FD9977D8}</vt:lpwstr>
  </property>
</Properties>
</file>